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8.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7.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alacesorg-my.sharepoint.com/personal/andrewsf_calaces_org/Documents/Documents/CIT/2020/CIT 2020 0201-0220/0211-20/"/>
    </mc:Choice>
  </mc:AlternateContent>
  <xr:revisionPtr revIDLastSave="0" documentId="8_{647C691C-7C60-4E30-86C2-BD808DF7BE36}" xr6:coauthVersionLast="44" xr6:coauthVersionMax="44" xr10:uidLastSave="{00000000-0000-0000-0000-000000000000}"/>
  <bookViews>
    <workbookView xWindow="-110" yWindow="-110" windowWidth="19420" windowHeight="10420" tabRatio="917" xr2:uid="{00000000-000D-0000-FFFF-FFFF00000000}"/>
  </bookViews>
  <sheets>
    <sheet name="4th Q SFY 1920 Co Share Summary" sheetId="2" r:id="rId1"/>
    <sheet name="4th Q SFY 1920 Co Share by Proj" sheetId="4" r:id="rId2"/>
    <sheet name="4th Q Co Share Calculations" sheetId="3" r:id="rId3"/>
    <sheet name="4th Q CalACES MO CH CS CE " sheetId="5" r:id="rId4"/>
    <sheet name="4th Q C-IV M&amp;O " sheetId="6" r:id="rId5"/>
    <sheet name="4th Q C-IV CalHEERS " sheetId="7" r:id="rId6"/>
    <sheet name="4th Q C-IV Covered CA" sheetId="8" r:id="rId7"/>
    <sheet name="4th Q LRS M&amp;O" sheetId="9" r:id="rId8"/>
    <sheet name="4th Q LRS CalHEERS" sheetId="10" r:id="rId9"/>
    <sheet name="3rd Q LRS Cloud Enablement" sheetId="26" state="hidden" r:id="rId10"/>
    <sheet name="SFY 1920 M&amp;O CAP" sheetId="39" r:id="rId11"/>
    <sheet name="4th Q CalACES ABAWD" sheetId="16" r:id="rId12"/>
    <sheet name="SFY 19-20 ABAWD CAP" sheetId="40" r:id="rId13"/>
    <sheet name="4th Q CalSAWS" sheetId="27" r:id="rId14"/>
    <sheet name="SFY 1920 CalSAWS CAP" sheetId="41" r:id="rId15"/>
    <sheet name="4th Q CalWIN M&amp;O TOTAL" sheetId="62" r:id="rId16"/>
    <sheet name="4th Q CalWIN M&amp;O" sheetId="63" r:id="rId17"/>
    <sheet name="4th Q CalWIN M&amp;O (County)" sheetId="70" r:id="rId18"/>
    <sheet name="4th Q CalWIN QA" sheetId="64" r:id="rId19"/>
    <sheet name="4th Q CalWIN MO CH Non-App Main" sheetId="65" r:id="rId20"/>
    <sheet name="4th Q CalWIN MO CH App Maint" sheetId="66" r:id="rId21"/>
    <sheet name="4th Q CalWIN MO CH CSCN Exp" sheetId="67" r:id="rId22"/>
    <sheet name="4th Q CalWIN ABAWD" sheetId="69" r:id="rId23"/>
    <sheet name="SFY 1920 CalWIN M&amp;O CAP" sheetId="68" r:id="rId24"/>
    <sheet name="SFY 1920 CalWIN ABAWD CAP" sheetId="61" r:id="rId25"/>
    <sheet name="58C SFY 17-18 Persons Count" sheetId="37" r:id="rId26"/>
    <sheet name="1920 CalWIN Sharing Tables" sheetId="6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1000___Project_Management" localSheetId="26">#REF!</definedName>
    <definedName name="_1000___Project_Management" localSheetId="9">#REF!</definedName>
    <definedName name="_1000___Project_Management" localSheetId="13">#REF!</definedName>
    <definedName name="_1000___Project_Management" localSheetId="22">#REF!</definedName>
    <definedName name="_1000___Project_Management" localSheetId="16">#REF!</definedName>
    <definedName name="_1000___Project_Management" localSheetId="17">#REF!</definedName>
    <definedName name="_1000___Project_Management" localSheetId="15">#REF!</definedName>
    <definedName name="_1000___Project_Management" localSheetId="20">#REF!</definedName>
    <definedName name="_1000___Project_Management" localSheetId="18">#REF!</definedName>
    <definedName name="_1000___Project_Management" localSheetId="7">#REF!</definedName>
    <definedName name="_1000___Project_Management" localSheetId="0">#REF!</definedName>
    <definedName name="_1000___Project_Management">#REF!</definedName>
    <definedName name="_1100__Project_Initiation" localSheetId="9">#REF!</definedName>
    <definedName name="_1100__Project_Initiation" localSheetId="13">#REF!</definedName>
    <definedName name="_1100__Project_Initiation" localSheetId="22">#REF!</definedName>
    <definedName name="_1100__Project_Initiation" localSheetId="16">#REF!</definedName>
    <definedName name="_1100__Project_Initiation" localSheetId="17">#REF!</definedName>
    <definedName name="_1100__Project_Initiation" localSheetId="15">#REF!</definedName>
    <definedName name="_1100__Project_Initiation" localSheetId="20">#REF!</definedName>
    <definedName name="_1100__Project_Initiation" localSheetId="18">#REF!</definedName>
    <definedName name="_1100__Project_Initiation" localSheetId="7">#REF!</definedName>
    <definedName name="_1100__Project_Initiation" localSheetId="0">#REF!</definedName>
    <definedName name="_1100__Project_Initiation">#REF!</definedName>
    <definedName name="_1200__Confirm_Project_Expectations" localSheetId="9">#REF!</definedName>
    <definedName name="_1200__Confirm_Project_Expectations" localSheetId="13">#REF!</definedName>
    <definedName name="_1200__Confirm_Project_Expectations" localSheetId="22">#REF!</definedName>
    <definedName name="_1200__Confirm_Project_Expectations" localSheetId="16">#REF!</definedName>
    <definedName name="_1200__Confirm_Project_Expectations" localSheetId="17">#REF!</definedName>
    <definedName name="_1200__Confirm_Project_Expectations" localSheetId="15">#REF!</definedName>
    <definedName name="_1200__Confirm_Project_Expectations" localSheetId="20">#REF!</definedName>
    <definedName name="_1200__Confirm_Project_Expectations" localSheetId="18">#REF!</definedName>
    <definedName name="_1200__Confirm_Project_Expectations" localSheetId="7">#REF!</definedName>
    <definedName name="_1200__Confirm_Project_Expectations" localSheetId="0">#REF!</definedName>
    <definedName name="_1200__Confirm_Project_Expectations">#REF!</definedName>
    <definedName name="_1300__Project_Management_Processes" localSheetId="9">#REF!</definedName>
    <definedName name="_1300__Project_Management_Processes" localSheetId="13">#REF!</definedName>
    <definedName name="_1300__Project_Management_Processes" localSheetId="22">#REF!</definedName>
    <definedName name="_1300__Project_Management_Processes" localSheetId="16">#REF!</definedName>
    <definedName name="_1300__Project_Management_Processes" localSheetId="17">#REF!</definedName>
    <definedName name="_1300__Project_Management_Processes" localSheetId="15">#REF!</definedName>
    <definedName name="_1300__Project_Management_Processes" localSheetId="20">#REF!</definedName>
    <definedName name="_1300__Project_Management_Processes" localSheetId="18">#REF!</definedName>
    <definedName name="_1300__Project_Management_Processes" localSheetId="7">#REF!</definedName>
    <definedName name="_1300__Project_Management_Processes" localSheetId="0">#REF!</definedName>
    <definedName name="_1300__Project_Management_Processes">#REF!</definedName>
    <definedName name="_1400__Status_Meetings" localSheetId="9">#REF!</definedName>
    <definedName name="_1400__Status_Meetings" localSheetId="13">#REF!</definedName>
    <definedName name="_1400__Status_Meetings" localSheetId="22">#REF!</definedName>
    <definedName name="_1400__Status_Meetings" localSheetId="16">#REF!</definedName>
    <definedName name="_1400__Status_Meetings" localSheetId="17">#REF!</definedName>
    <definedName name="_1400__Status_Meetings" localSheetId="15">#REF!</definedName>
    <definedName name="_1400__Status_Meetings" localSheetId="20">#REF!</definedName>
    <definedName name="_1400__Status_Meetings" localSheetId="18">#REF!</definedName>
    <definedName name="_1400__Status_Meetings" localSheetId="7">#REF!</definedName>
    <definedName name="_1400__Status_Meetings" localSheetId="0">#REF!</definedName>
    <definedName name="_1400__Status_Meetings">#REF!</definedName>
    <definedName name="_1500_Change_Management" localSheetId="9">#REF!</definedName>
    <definedName name="_1500_Change_Management" localSheetId="13">#REF!</definedName>
    <definedName name="_1500_Change_Management" localSheetId="22">#REF!</definedName>
    <definedName name="_1500_Change_Management" localSheetId="16">#REF!</definedName>
    <definedName name="_1500_Change_Management" localSheetId="17">#REF!</definedName>
    <definedName name="_1500_Change_Management" localSheetId="15">#REF!</definedName>
    <definedName name="_1500_Change_Management" localSheetId="20">#REF!</definedName>
    <definedName name="_1500_Change_Management" localSheetId="18">#REF!</definedName>
    <definedName name="_1500_Change_Management" localSheetId="7">#REF!</definedName>
    <definedName name="_1500_Change_Management" localSheetId="0">#REF!</definedName>
    <definedName name="_1500_Change_Management">#REF!</definedName>
    <definedName name="_1600_Planning" localSheetId="9">#REF!</definedName>
    <definedName name="_1600_Planning" localSheetId="13">#REF!</definedName>
    <definedName name="_1600_Planning" localSheetId="22">#REF!</definedName>
    <definedName name="_1600_Planning" localSheetId="16">#REF!</definedName>
    <definedName name="_1600_Planning" localSheetId="17">#REF!</definedName>
    <definedName name="_1600_Planning" localSheetId="15">#REF!</definedName>
    <definedName name="_1600_Planning" localSheetId="20">#REF!</definedName>
    <definedName name="_1600_Planning" localSheetId="18">#REF!</definedName>
    <definedName name="_1600_Planning" localSheetId="7">#REF!</definedName>
    <definedName name="_1600_Planning" localSheetId="0">#REF!</definedName>
    <definedName name="_1600_Planning">#REF!</definedName>
    <definedName name="_1700__CQMA" localSheetId="9">#REF!</definedName>
    <definedName name="_1700__CQMA" localSheetId="13">#REF!</definedName>
    <definedName name="_1700__CQMA" localSheetId="22">#REF!</definedName>
    <definedName name="_1700__CQMA" localSheetId="16">#REF!</definedName>
    <definedName name="_1700__CQMA" localSheetId="17">#REF!</definedName>
    <definedName name="_1700__CQMA" localSheetId="15">#REF!</definedName>
    <definedName name="_1700__CQMA" localSheetId="20">#REF!</definedName>
    <definedName name="_1700__CQMA" localSheetId="18">#REF!</definedName>
    <definedName name="_1700__CQMA" localSheetId="7">#REF!</definedName>
    <definedName name="_1700__CQMA" localSheetId="0">#REF!</definedName>
    <definedName name="_1700__CQMA">#REF!</definedName>
    <definedName name="_1800__Certification_Support" localSheetId="9">#REF!</definedName>
    <definedName name="_1800__Certification_Support" localSheetId="13">#REF!</definedName>
    <definedName name="_1800__Certification_Support" localSheetId="22">#REF!</definedName>
    <definedName name="_1800__Certification_Support" localSheetId="16">#REF!</definedName>
    <definedName name="_1800__Certification_Support" localSheetId="17">#REF!</definedName>
    <definedName name="_1800__Certification_Support" localSheetId="15">#REF!</definedName>
    <definedName name="_1800__Certification_Support" localSheetId="20">#REF!</definedName>
    <definedName name="_1800__Certification_Support" localSheetId="18">#REF!</definedName>
    <definedName name="_1800__Certification_Support" localSheetId="7">#REF!</definedName>
    <definedName name="_1800__Certification_Support" localSheetId="0">#REF!</definedName>
    <definedName name="_1800__Certification_Support">#REF!</definedName>
    <definedName name="_1900__Project_Management_for_Tasks" localSheetId="9">#REF!</definedName>
    <definedName name="_1900__Project_Management_for_Tasks" localSheetId="13">#REF!</definedName>
    <definedName name="_1900__Project_Management_for_Tasks" localSheetId="22">#REF!</definedName>
    <definedName name="_1900__Project_Management_for_Tasks" localSheetId="16">#REF!</definedName>
    <definedName name="_1900__Project_Management_for_Tasks" localSheetId="17">#REF!</definedName>
    <definedName name="_1900__Project_Management_for_Tasks" localSheetId="15">#REF!</definedName>
    <definedName name="_1900__Project_Management_for_Tasks" localSheetId="20">#REF!</definedName>
    <definedName name="_1900__Project_Management_for_Tasks" localSheetId="18">#REF!</definedName>
    <definedName name="_1900__Project_Management_for_Tasks" localSheetId="7">#REF!</definedName>
    <definedName name="_1900__Project_Management_for_Tasks" localSheetId="0">#REF!</definedName>
    <definedName name="_1900__Project_Management_for_Tasks">#REF!</definedName>
    <definedName name="_2000__Site_Preparation" localSheetId="9">#REF!</definedName>
    <definedName name="_2000__Site_Preparation" localSheetId="13">#REF!</definedName>
    <definedName name="_2000__Site_Preparation" localSheetId="22">#REF!</definedName>
    <definedName name="_2000__Site_Preparation" localSheetId="16">#REF!</definedName>
    <definedName name="_2000__Site_Preparation" localSheetId="17">#REF!</definedName>
    <definedName name="_2000__Site_Preparation" localSheetId="15">#REF!</definedName>
    <definedName name="_2000__Site_Preparation" localSheetId="20">#REF!</definedName>
    <definedName name="_2000__Site_Preparation" localSheetId="18">#REF!</definedName>
    <definedName name="_2000__Site_Preparation" localSheetId="7">#REF!</definedName>
    <definedName name="_2000__Site_Preparation" localSheetId="0">#REF!</definedName>
    <definedName name="_2000__Site_Preparation">#REF!</definedName>
    <definedName name="_3000__Telecommunications_Design___Install" localSheetId="9">#REF!</definedName>
    <definedName name="_3000__Telecommunications_Design___Install" localSheetId="13">#REF!</definedName>
    <definedName name="_3000__Telecommunications_Design___Install" localSheetId="22">#REF!</definedName>
    <definedName name="_3000__Telecommunications_Design___Install" localSheetId="16">#REF!</definedName>
    <definedName name="_3000__Telecommunications_Design___Install" localSheetId="17">#REF!</definedName>
    <definedName name="_3000__Telecommunications_Design___Install" localSheetId="15">#REF!</definedName>
    <definedName name="_3000__Telecommunications_Design___Install" localSheetId="20">#REF!</definedName>
    <definedName name="_3000__Telecommunications_Design___Install" localSheetId="18">#REF!</definedName>
    <definedName name="_3000__Telecommunications_Design___Install" localSheetId="7">#REF!</definedName>
    <definedName name="_3000__Telecommunications_Design___Install" localSheetId="0">#REF!</definedName>
    <definedName name="_3000__Telecommunications_Design___Install">#REF!</definedName>
    <definedName name="_4000__System_Design_Development_Methodology" localSheetId="9">#REF!</definedName>
    <definedName name="_4000__System_Design_Development_Methodology" localSheetId="13">#REF!</definedName>
    <definedName name="_4000__System_Design_Development_Methodology" localSheetId="22">#REF!</definedName>
    <definedName name="_4000__System_Design_Development_Methodology" localSheetId="16">#REF!</definedName>
    <definedName name="_4000__System_Design_Development_Methodology" localSheetId="17">#REF!</definedName>
    <definedName name="_4000__System_Design_Development_Methodology" localSheetId="15">#REF!</definedName>
    <definedName name="_4000__System_Design_Development_Methodology" localSheetId="20">#REF!</definedName>
    <definedName name="_4000__System_Design_Development_Methodology" localSheetId="18">#REF!</definedName>
    <definedName name="_4000__System_Design_Development_Methodology" localSheetId="7">#REF!</definedName>
    <definedName name="_4000__System_Design_Development_Methodology" localSheetId="0">#REF!</definedName>
    <definedName name="_4000__System_Design_Development_Methodology">#REF!</definedName>
    <definedName name="_4100_Analysis" localSheetId="9">#REF!</definedName>
    <definedName name="_4100_Analysis" localSheetId="13">#REF!</definedName>
    <definedName name="_4100_Analysis" localSheetId="22">#REF!</definedName>
    <definedName name="_4100_Analysis" localSheetId="16">#REF!</definedName>
    <definedName name="_4100_Analysis" localSheetId="17">#REF!</definedName>
    <definedName name="_4100_Analysis" localSheetId="15">#REF!</definedName>
    <definedName name="_4100_Analysis" localSheetId="20">#REF!</definedName>
    <definedName name="_4100_Analysis" localSheetId="18">#REF!</definedName>
    <definedName name="_4100_Analysis" localSheetId="7">#REF!</definedName>
    <definedName name="_4100_Analysis" localSheetId="0">#REF!</definedName>
    <definedName name="_4100_Analysis">#REF!</definedName>
    <definedName name="_4200__Technical_Architecture" localSheetId="9">#REF!</definedName>
    <definedName name="_4200__Technical_Architecture" localSheetId="13">#REF!</definedName>
    <definedName name="_4200__Technical_Architecture" localSheetId="22">#REF!</definedName>
    <definedName name="_4200__Technical_Architecture" localSheetId="16">#REF!</definedName>
    <definedName name="_4200__Technical_Architecture" localSheetId="17">#REF!</definedName>
    <definedName name="_4200__Technical_Architecture" localSheetId="15">#REF!</definedName>
    <definedName name="_4200__Technical_Architecture" localSheetId="20">#REF!</definedName>
    <definedName name="_4200__Technical_Architecture" localSheetId="18">#REF!</definedName>
    <definedName name="_4200__Technical_Architecture" localSheetId="7">#REF!</definedName>
    <definedName name="_4200__Technical_Architecture" localSheetId="0">#REF!</definedName>
    <definedName name="_4200__Technical_Architecture">#REF!</definedName>
    <definedName name="_4300__Release_1" localSheetId="9">#REF!</definedName>
    <definedName name="_4300__Release_1" localSheetId="13">#REF!</definedName>
    <definedName name="_4300__Release_1" localSheetId="22">#REF!</definedName>
    <definedName name="_4300__Release_1" localSheetId="16">#REF!</definedName>
    <definedName name="_4300__Release_1" localSheetId="17">#REF!</definedName>
    <definedName name="_4300__Release_1" localSheetId="15">#REF!</definedName>
    <definedName name="_4300__Release_1" localSheetId="20">#REF!</definedName>
    <definedName name="_4300__Release_1" localSheetId="18">#REF!</definedName>
    <definedName name="_4300__Release_1" localSheetId="7">#REF!</definedName>
    <definedName name="_4300__Release_1" localSheetId="0">#REF!</definedName>
    <definedName name="_4300__Release_1">#REF!</definedName>
    <definedName name="_4400__Release_2" localSheetId="9">#REF!</definedName>
    <definedName name="_4400__Release_2" localSheetId="13">#REF!</definedName>
    <definedName name="_4400__Release_2" localSheetId="22">#REF!</definedName>
    <definedName name="_4400__Release_2" localSheetId="16">#REF!</definedName>
    <definedName name="_4400__Release_2" localSheetId="17">#REF!</definedName>
    <definedName name="_4400__Release_2" localSheetId="15">#REF!</definedName>
    <definedName name="_4400__Release_2" localSheetId="20">#REF!</definedName>
    <definedName name="_4400__Release_2" localSheetId="18">#REF!</definedName>
    <definedName name="_4400__Release_2" localSheetId="7">#REF!</definedName>
    <definedName name="_4400__Release_2" localSheetId="0">#REF!</definedName>
    <definedName name="_4400__Release_2">#REF!</definedName>
    <definedName name="_4500__Release_3" localSheetId="9">#REF!</definedName>
    <definedName name="_4500__Release_3" localSheetId="13">#REF!</definedName>
    <definedName name="_4500__Release_3" localSheetId="22">#REF!</definedName>
    <definedName name="_4500__Release_3" localSheetId="16">#REF!</definedName>
    <definedName name="_4500__Release_3" localSheetId="17">#REF!</definedName>
    <definedName name="_4500__Release_3" localSheetId="15">#REF!</definedName>
    <definedName name="_4500__Release_3" localSheetId="20">#REF!</definedName>
    <definedName name="_4500__Release_3" localSheetId="18">#REF!</definedName>
    <definedName name="_4500__Release_3" localSheetId="7">#REF!</definedName>
    <definedName name="_4500__Release_3" localSheetId="0">#REF!</definedName>
    <definedName name="_4500__Release_3">#REF!</definedName>
    <definedName name="_4600__Release_4" localSheetId="9">#REF!</definedName>
    <definedName name="_4600__Release_4" localSheetId="13">#REF!</definedName>
    <definedName name="_4600__Release_4" localSheetId="22">#REF!</definedName>
    <definedName name="_4600__Release_4" localSheetId="16">#REF!</definedName>
    <definedName name="_4600__Release_4" localSheetId="17">#REF!</definedName>
    <definedName name="_4600__Release_4" localSheetId="15">#REF!</definedName>
    <definedName name="_4600__Release_4" localSheetId="20">#REF!</definedName>
    <definedName name="_4600__Release_4" localSheetId="18">#REF!</definedName>
    <definedName name="_4600__Release_4" localSheetId="7">#REF!</definedName>
    <definedName name="_4600__Release_4" localSheetId="0">#REF!</definedName>
    <definedName name="_4600__Release_4">#REF!</definedName>
    <definedName name="_5000__Training" localSheetId="9">#REF!</definedName>
    <definedName name="_5000__Training" localSheetId="13">#REF!</definedName>
    <definedName name="_5000__Training" localSheetId="22">#REF!</definedName>
    <definedName name="_5000__Training" localSheetId="16">#REF!</definedName>
    <definedName name="_5000__Training" localSheetId="17">#REF!</definedName>
    <definedName name="_5000__Training" localSheetId="15">#REF!</definedName>
    <definedName name="_5000__Training" localSheetId="20">#REF!</definedName>
    <definedName name="_5000__Training" localSheetId="18">#REF!</definedName>
    <definedName name="_5000__Training" localSheetId="7">#REF!</definedName>
    <definedName name="_5000__Training" localSheetId="0">#REF!</definedName>
    <definedName name="_5000__Training">#REF!</definedName>
    <definedName name="_5100___Analysis" localSheetId="9">#REF!</definedName>
    <definedName name="_5100___Analysis" localSheetId="13">#REF!</definedName>
    <definedName name="_5100___Analysis" localSheetId="22">#REF!</definedName>
    <definedName name="_5100___Analysis" localSheetId="16">#REF!</definedName>
    <definedName name="_5100___Analysis" localSheetId="17">#REF!</definedName>
    <definedName name="_5100___Analysis" localSheetId="15">#REF!</definedName>
    <definedName name="_5100___Analysis" localSheetId="20">#REF!</definedName>
    <definedName name="_5100___Analysis" localSheetId="18">#REF!</definedName>
    <definedName name="_5100___Analysis" localSheetId="7">#REF!</definedName>
    <definedName name="_5100___Analysis" localSheetId="0">#REF!</definedName>
    <definedName name="_5100___Analysis">#REF!</definedName>
    <definedName name="_5200___Release_1" localSheetId="9">#REF!</definedName>
    <definedName name="_5200___Release_1" localSheetId="13">#REF!</definedName>
    <definedName name="_5200___Release_1" localSheetId="22">#REF!</definedName>
    <definedName name="_5200___Release_1" localSheetId="16">#REF!</definedName>
    <definedName name="_5200___Release_1" localSheetId="17">#REF!</definedName>
    <definedName name="_5200___Release_1" localSheetId="15">#REF!</definedName>
    <definedName name="_5200___Release_1" localSheetId="20">#REF!</definedName>
    <definedName name="_5200___Release_1" localSheetId="18">#REF!</definedName>
    <definedName name="_5200___Release_1" localSheetId="7">#REF!</definedName>
    <definedName name="_5200___Release_1" localSheetId="0">#REF!</definedName>
    <definedName name="_5200___Release_1">#REF!</definedName>
    <definedName name="_5300___Release_2" localSheetId="9">#REF!</definedName>
    <definedName name="_5300___Release_2" localSheetId="13">#REF!</definedName>
    <definedName name="_5300___Release_2" localSheetId="22">#REF!</definedName>
    <definedName name="_5300___Release_2" localSheetId="16">#REF!</definedName>
    <definedName name="_5300___Release_2" localSheetId="17">#REF!</definedName>
    <definedName name="_5300___Release_2" localSheetId="15">#REF!</definedName>
    <definedName name="_5300___Release_2" localSheetId="20">#REF!</definedName>
    <definedName name="_5300___Release_2" localSheetId="18">#REF!</definedName>
    <definedName name="_5300___Release_2" localSheetId="7">#REF!</definedName>
    <definedName name="_5300___Release_2" localSheetId="0">#REF!</definedName>
    <definedName name="_5300___Release_2">#REF!</definedName>
    <definedName name="_5400___Release_3" localSheetId="9">#REF!</definedName>
    <definedName name="_5400___Release_3" localSheetId="13">#REF!</definedName>
    <definedName name="_5400___Release_3" localSheetId="22">#REF!</definedName>
    <definedName name="_5400___Release_3" localSheetId="16">#REF!</definedName>
    <definedName name="_5400___Release_3" localSheetId="17">#REF!</definedName>
    <definedName name="_5400___Release_3" localSheetId="15">#REF!</definedName>
    <definedName name="_5400___Release_3" localSheetId="20">#REF!</definedName>
    <definedName name="_5400___Release_3" localSheetId="18">#REF!</definedName>
    <definedName name="_5400___Release_3" localSheetId="7">#REF!</definedName>
    <definedName name="_5400___Release_3" localSheetId="0">#REF!</definedName>
    <definedName name="_5400___Release_3">#REF!</definedName>
    <definedName name="_5500___Release_4" localSheetId="9">#REF!</definedName>
    <definedName name="_5500___Release_4" localSheetId="13">#REF!</definedName>
    <definedName name="_5500___Release_4" localSheetId="22">#REF!</definedName>
    <definedName name="_5500___Release_4" localSheetId="16">#REF!</definedName>
    <definedName name="_5500___Release_4" localSheetId="17">#REF!</definedName>
    <definedName name="_5500___Release_4" localSheetId="15">#REF!</definedName>
    <definedName name="_5500___Release_4" localSheetId="20">#REF!</definedName>
    <definedName name="_5500___Release_4" localSheetId="18">#REF!</definedName>
    <definedName name="_5500___Release_4" localSheetId="7">#REF!</definedName>
    <definedName name="_5500___Release_4" localSheetId="0">#REF!</definedName>
    <definedName name="_5500___Release_4">#REF!</definedName>
    <definedName name="_6000__Conversion" localSheetId="9">#REF!</definedName>
    <definedName name="_6000__Conversion" localSheetId="13">#REF!</definedName>
    <definedName name="_6000__Conversion" localSheetId="22">#REF!</definedName>
    <definedName name="_6000__Conversion" localSheetId="16">#REF!</definedName>
    <definedName name="_6000__Conversion" localSheetId="17">#REF!</definedName>
    <definedName name="_6000__Conversion" localSheetId="15">#REF!</definedName>
    <definedName name="_6000__Conversion" localSheetId="20">#REF!</definedName>
    <definedName name="_6000__Conversion" localSheetId="18">#REF!</definedName>
    <definedName name="_6000__Conversion" localSheetId="7">#REF!</definedName>
    <definedName name="_6000__Conversion" localSheetId="0">#REF!</definedName>
    <definedName name="_6000__Conversion">#REF!</definedName>
    <definedName name="_7000__Implementation" localSheetId="9">#REF!</definedName>
    <definedName name="_7000__Implementation" localSheetId="13">#REF!</definedName>
    <definedName name="_7000__Implementation" localSheetId="22">#REF!</definedName>
    <definedName name="_7000__Implementation" localSheetId="16">#REF!</definedName>
    <definedName name="_7000__Implementation" localSheetId="17">#REF!</definedName>
    <definedName name="_7000__Implementation" localSheetId="15">#REF!</definedName>
    <definedName name="_7000__Implementation" localSheetId="20">#REF!</definedName>
    <definedName name="_7000__Implementation" localSheetId="18">#REF!</definedName>
    <definedName name="_7000__Implementation" localSheetId="7">#REF!</definedName>
    <definedName name="_7000__Implementation" localSheetId="0">#REF!</definedName>
    <definedName name="_7000__Implementation">#REF!</definedName>
    <definedName name="_7110__Release_1_Pilot" localSheetId="9">#REF!</definedName>
    <definedName name="_7110__Release_1_Pilot" localSheetId="13">#REF!</definedName>
    <definedName name="_7110__Release_1_Pilot" localSheetId="22">#REF!</definedName>
    <definedName name="_7110__Release_1_Pilot" localSheetId="16">#REF!</definedName>
    <definedName name="_7110__Release_1_Pilot" localSheetId="17">#REF!</definedName>
    <definedName name="_7110__Release_1_Pilot" localSheetId="15">#REF!</definedName>
    <definedName name="_7110__Release_1_Pilot" localSheetId="20">#REF!</definedName>
    <definedName name="_7110__Release_1_Pilot" localSheetId="18">#REF!</definedName>
    <definedName name="_7110__Release_1_Pilot" localSheetId="7">#REF!</definedName>
    <definedName name="_7110__Release_1_Pilot" localSheetId="0">#REF!</definedName>
    <definedName name="_7110__Release_1_Pilot">#REF!</definedName>
    <definedName name="_7120__Release_1_Consortium_Wide" localSheetId="9">#REF!</definedName>
    <definedName name="_7120__Release_1_Consortium_Wide" localSheetId="13">#REF!</definedName>
    <definedName name="_7120__Release_1_Consortium_Wide" localSheetId="22">#REF!</definedName>
    <definedName name="_7120__Release_1_Consortium_Wide" localSheetId="16">#REF!</definedName>
    <definedName name="_7120__Release_1_Consortium_Wide" localSheetId="17">#REF!</definedName>
    <definedName name="_7120__Release_1_Consortium_Wide" localSheetId="15">#REF!</definedName>
    <definedName name="_7120__Release_1_Consortium_Wide" localSheetId="20">#REF!</definedName>
    <definedName name="_7120__Release_1_Consortium_Wide" localSheetId="18">#REF!</definedName>
    <definedName name="_7120__Release_1_Consortium_Wide" localSheetId="7">#REF!</definedName>
    <definedName name="_7120__Release_1_Consortium_Wide" localSheetId="0">#REF!</definedName>
    <definedName name="_7120__Release_1_Consortium_Wide">#REF!</definedName>
    <definedName name="_7210__Release_2_Pilot" localSheetId="9">#REF!</definedName>
    <definedName name="_7210__Release_2_Pilot" localSheetId="13">#REF!</definedName>
    <definedName name="_7210__Release_2_Pilot" localSheetId="22">#REF!</definedName>
    <definedName name="_7210__Release_2_Pilot" localSheetId="16">#REF!</definedName>
    <definedName name="_7210__Release_2_Pilot" localSheetId="17">#REF!</definedName>
    <definedName name="_7210__Release_2_Pilot" localSheetId="15">#REF!</definedName>
    <definedName name="_7210__Release_2_Pilot" localSheetId="20">#REF!</definedName>
    <definedName name="_7210__Release_2_Pilot" localSheetId="18">#REF!</definedName>
    <definedName name="_7210__Release_2_Pilot" localSheetId="7">#REF!</definedName>
    <definedName name="_7210__Release_2_Pilot" localSheetId="0">#REF!</definedName>
    <definedName name="_7210__Release_2_Pilot">#REF!</definedName>
    <definedName name="_7220__Release_2_Consortium_Wide" localSheetId="9">#REF!</definedName>
    <definedName name="_7220__Release_2_Consortium_Wide" localSheetId="13">#REF!</definedName>
    <definedName name="_7220__Release_2_Consortium_Wide" localSheetId="22">#REF!</definedName>
    <definedName name="_7220__Release_2_Consortium_Wide" localSheetId="16">#REF!</definedName>
    <definedName name="_7220__Release_2_Consortium_Wide" localSheetId="17">#REF!</definedName>
    <definedName name="_7220__Release_2_Consortium_Wide" localSheetId="15">#REF!</definedName>
    <definedName name="_7220__Release_2_Consortium_Wide" localSheetId="20">#REF!</definedName>
    <definedName name="_7220__Release_2_Consortium_Wide" localSheetId="18">#REF!</definedName>
    <definedName name="_7220__Release_2_Consortium_Wide" localSheetId="7">#REF!</definedName>
    <definedName name="_7220__Release_2_Consortium_Wide" localSheetId="0">#REF!</definedName>
    <definedName name="_7220__Release_2_Consortium_Wide">#REF!</definedName>
    <definedName name="_7310__Release_3_Pilot" localSheetId="9">#REF!</definedName>
    <definedName name="_7310__Release_3_Pilot" localSheetId="13">#REF!</definedName>
    <definedName name="_7310__Release_3_Pilot" localSheetId="22">#REF!</definedName>
    <definedName name="_7310__Release_3_Pilot" localSheetId="16">#REF!</definedName>
    <definedName name="_7310__Release_3_Pilot" localSheetId="17">#REF!</definedName>
    <definedName name="_7310__Release_3_Pilot" localSheetId="15">#REF!</definedName>
    <definedName name="_7310__Release_3_Pilot" localSheetId="20">#REF!</definedName>
    <definedName name="_7310__Release_3_Pilot" localSheetId="18">#REF!</definedName>
    <definedName name="_7310__Release_3_Pilot" localSheetId="7">#REF!</definedName>
    <definedName name="_7310__Release_3_Pilot" localSheetId="0">#REF!</definedName>
    <definedName name="_7310__Release_3_Pilot">#REF!</definedName>
    <definedName name="_7320__Release_3_Consortium_Wide" localSheetId="9">#REF!</definedName>
    <definedName name="_7320__Release_3_Consortium_Wide" localSheetId="13">#REF!</definedName>
    <definedName name="_7320__Release_3_Consortium_Wide" localSheetId="22">#REF!</definedName>
    <definedName name="_7320__Release_3_Consortium_Wide" localSheetId="16">#REF!</definedName>
    <definedName name="_7320__Release_3_Consortium_Wide" localSheetId="17">#REF!</definedName>
    <definedName name="_7320__Release_3_Consortium_Wide" localSheetId="15">#REF!</definedName>
    <definedName name="_7320__Release_3_Consortium_Wide" localSheetId="20">#REF!</definedName>
    <definedName name="_7320__Release_3_Consortium_Wide" localSheetId="18">#REF!</definedName>
    <definedName name="_7320__Release_3_Consortium_Wide" localSheetId="7">#REF!</definedName>
    <definedName name="_7320__Release_3_Consortium_Wide" localSheetId="0">#REF!</definedName>
    <definedName name="_7320__Release_3_Consortium_Wide">#REF!</definedName>
    <definedName name="_7400__Release_4_Consortium_Wide" localSheetId="9">#REF!</definedName>
    <definedName name="_7400__Release_4_Consortium_Wide" localSheetId="13">#REF!</definedName>
    <definedName name="_7400__Release_4_Consortium_Wide" localSheetId="22">#REF!</definedName>
    <definedName name="_7400__Release_4_Consortium_Wide" localSheetId="16">#REF!</definedName>
    <definedName name="_7400__Release_4_Consortium_Wide" localSheetId="17">#REF!</definedName>
    <definedName name="_7400__Release_4_Consortium_Wide" localSheetId="15">#REF!</definedName>
    <definedName name="_7400__Release_4_Consortium_Wide" localSheetId="20">#REF!</definedName>
    <definedName name="_7400__Release_4_Consortium_Wide" localSheetId="18">#REF!</definedName>
    <definedName name="_7400__Release_4_Consortium_Wide" localSheetId="7">#REF!</definedName>
    <definedName name="_7400__Release_4_Consortium_Wide" localSheetId="0">#REF!</definedName>
    <definedName name="_7400__Release_4_Consortium_Wide">#REF!</definedName>
    <definedName name="_8.1__Service_Operations_Stage" localSheetId="9">#REF!</definedName>
    <definedName name="_8.1__Service_Operations_Stage" localSheetId="13">#REF!</definedName>
    <definedName name="_8.1__Service_Operations_Stage" localSheetId="22">#REF!</definedName>
    <definedName name="_8.1__Service_Operations_Stage" localSheetId="16">#REF!</definedName>
    <definedName name="_8.1__Service_Operations_Stage" localSheetId="17">#REF!</definedName>
    <definedName name="_8.1__Service_Operations_Stage" localSheetId="15">#REF!</definedName>
    <definedName name="_8.1__Service_Operations_Stage" localSheetId="20">#REF!</definedName>
    <definedName name="_8.1__Service_Operations_Stage" localSheetId="18">#REF!</definedName>
    <definedName name="_8.1__Service_Operations_Stage" localSheetId="7">#REF!</definedName>
    <definedName name="_8.1__Service_Operations_Stage" localSheetId="0">#REF!</definedName>
    <definedName name="_8.1__Service_Operations_Stage">#REF!</definedName>
    <definedName name="_8000___Maintenance___Operation_Support" localSheetId="9">#REF!</definedName>
    <definedName name="_8000___Maintenance___Operation_Support" localSheetId="13">#REF!</definedName>
    <definedName name="_8000___Maintenance___Operation_Support" localSheetId="22">#REF!</definedName>
    <definedName name="_8000___Maintenance___Operation_Support" localSheetId="16">#REF!</definedName>
    <definedName name="_8000___Maintenance___Operation_Support" localSheetId="17">#REF!</definedName>
    <definedName name="_8000___Maintenance___Operation_Support" localSheetId="15">#REF!</definedName>
    <definedName name="_8000___Maintenance___Operation_Support" localSheetId="20">#REF!</definedName>
    <definedName name="_8000___Maintenance___Operation_Support" localSheetId="18">#REF!</definedName>
    <definedName name="_8000___Maintenance___Operation_Support" localSheetId="7">#REF!</definedName>
    <definedName name="_8000___Maintenance___Operation_Support" localSheetId="0">#REF!</definedName>
    <definedName name="_8000___Maintenance___Operation_Support">#REF!</definedName>
    <definedName name="_8000x__Alternative_Maintenance___Operations_Support" localSheetId="9">#REF!</definedName>
    <definedName name="_8000x__Alternative_Maintenance___Operations_Support" localSheetId="13">#REF!</definedName>
    <definedName name="_8000x__Alternative_Maintenance___Operations_Support" localSheetId="22">#REF!</definedName>
    <definedName name="_8000x__Alternative_Maintenance___Operations_Support" localSheetId="16">#REF!</definedName>
    <definedName name="_8000x__Alternative_Maintenance___Operations_Support" localSheetId="17">#REF!</definedName>
    <definedName name="_8000x__Alternative_Maintenance___Operations_Support" localSheetId="15">#REF!</definedName>
    <definedName name="_8000x__Alternative_Maintenance___Operations_Support" localSheetId="20">#REF!</definedName>
    <definedName name="_8000x__Alternative_Maintenance___Operations_Support" localSheetId="18">#REF!</definedName>
    <definedName name="_8000x__Alternative_Maintenance___Operations_Support" localSheetId="7">#REF!</definedName>
    <definedName name="_8000x__Alternative_Maintenance___Operations_Support" localSheetId="0">#REF!</definedName>
    <definedName name="_8000x__Alternative_Maintenance___Operations_Support">#REF!</definedName>
    <definedName name="_xlnm._FilterDatabase" localSheetId="9" hidden="1">'3rd Q LRS Cloud Enablement'!$A$3:$J$5</definedName>
    <definedName name="_xlnm._FilterDatabase" localSheetId="11" hidden="1">'4th Q CalACES ABAWD'!$A$3:$K$6</definedName>
    <definedName name="_xlnm._FilterDatabase" localSheetId="3" hidden="1">'4th Q CalACES MO CH CS CE '!$A$3:$J$27</definedName>
    <definedName name="_xlnm._FilterDatabase" localSheetId="13" hidden="1">'4th Q CalSAWS'!$A$3:$J$136</definedName>
    <definedName name="_xlnm._FilterDatabase" localSheetId="22" hidden="1">'4th Q CalWIN ABAWD'!#REF!</definedName>
    <definedName name="_xlnm._FilterDatabase" localSheetId="16" hidden="1">'4th Q CalWIN M&amp;O'!#REF!</definedName>
    <definedName name="_xlnm._FilterDatabase" localSheetId="17" hidden="1">'4th Q CalWIN M&amp;O (County)'!#REF!</definedName>
    <definedName name="_xlnm._FilterDatabase" localSheetId="15" hidden="1">'4th Q CalWIN M&amp;O TOTAL'!#REF!</definedName>
    <definedName name="_xlnm._FilterDatabase" localSheetId="20" hidden="1">'4th Q CalWIN MO CH App Maint'!#REF!</definedName>
    <definedName name="_xlnm._FilterDatabase" localSheetId="18" hidden="1">'4th Q CalWIN QA'!#REF!</definedName>
    <definedName name="_xlnm._FilterDatabase" localSheetId="5" hidden="1">'4th Q C-IV CalHEERS '!$A$3:$P$9</definedName>
    <definedName name="_xlnm._FilterDatabase" localSheetId="6" hidden="1">'4th Q C-IV Covered CA'!$A$3:$P$9</definedName>
    <definedName name="_xlnm._FilterDatabase" localSheetId="4" hidden="1">'4th Q C-IV M&amp;O '!$A$3:$P$24</definedName>
    <definedName name="_xlnm._FilterDatabase" localSheetId="8" hidden="1">'4th Q LRS CalHEERS'!$A$3:$K$17</definedName>
    <definedName name="_xlnm._FilterDatabase" localSheetId="7" hidden="1">'4th Q LRS M&amp;O'!$A$3:$J$8</definedName>
    <definedName name="Accenture_Rate">'[1]Cost Summary'!$M$11</definedName>
    <definedName name="AllKits" localSheetId="26">#REF!</definedName>
    <definedName name="AllKits" localSheetId="9">#REF!</definedName>
    <definedName name="AllKits" localSheetId="13">#REF!</definedName>
    <definedName name="AllKits" localSheetId="22">#REF!</definedName>
    <definedName name="AllKits" localSheetId="16">#REF!</definedName>
    <definedName name="AllKits" localSheetId="17">#REF!</definedName>
    <definedName name="AllKits" localSheetId="15">#REF!</definedName>
    <definedName name="AllKits" localSheetId="20">#REF!</definedName>
    <definedName name="AllKits" localSheetId="18">#REF!</definedName>
    <definedName name="AllKits" localSheetId="7">#REF!</definedName>
    <definedName name="AllKits" localSheetId="0">#REF!</definedName>
    <definedName name="AllKits">#REF!</definedName>
    <definedName name="Allocation_DB" localSheetId="26">'[2]Allocation-Resource'!$A$3:$E$19</definedName>
    <definedName name="Allocation_DB">'[3]Allocation-Resource'!$A$3:$E$19</definedName>
    <definedName name="Allocation_Resource" localSheetId="26">'[4]Allocation-Resource'!$A$3:$E$19</definedName>
    <definedName name="Allocation_Resource">'[5]Allocation-Resource'!$A$3:$E$19</definedName>
    <definedName name="BA" localSheetId="26">'[6]3. Tasks'!$L$41</definedName>
    <definedName name="BA">'[7]3. Tasks'!$L$41</definedName>
    <definedName name="Batch_AT_Factor" localSheetId="26">#REF!</definedName>
    <definedName name="Batch_AT_Factor" localSheetId="9">#REF!</definedName>
    <definedName name="Batch_AT_Factor" localSheetId="13">#REF!</definedName>
    <definedName name="Batch_AT_Factor" localSheetId="22">#REF!</definedName>
    <definedName name="Batch_AT_Factor" localSheetId="16">#REF!</definedName>
    <definedName name="Batch_AT_Factor" localSheetId="17">#REF!</definedName>
    <definedName name="Batch_AT_Factor" localSheetId="15">#REF!</definedName>
    <definedName name="Batch_AT_Factor" localSheetId="20">#REF!</definedName>
    <definedName name="Batch_AT_Factor" localSheetId="18">#REF!</definedName>
    <definedName name="Batch_AT_Factor" localSheetId="7">#REF!</definedName>
    <definedName name="Batch_AT_Factor" localSheetId="0">#REF!</definedName>
    <definedName name="Batch_AT_Factor">#REF!</definedName>
    <definedName name="Batch_DAO_Factor" localSheetId="9">#REF!</definedName>
    <definedName name="Batch_DAO_Factor" localSheetId="13">#REF!</definedName>
    <definedName name="Batch_DAO_Factor" localSheetId="22">#REF!</definedName>
    <definedName name="Batch_DAO_Factor" localSheetId="16">#REF!</definedName>
    <definedName name="Batch_DAO_Factor" localSheetId="17">#REF!</definedName>
    <definedName name="Batch_DAO_Factor" localSheetId="15">#REF!</definedName>
    <definedName name="Batch_DAO_Factor" localSheetId="20">#REF!</definedName>
    <definedName name="Batch_DAO_Factor" localSheetId="18">#REF!</definedName>
    <definedName name="Batch_DAO_Factor" localSheetId="7">#REF!</definedName>
    <definedName name="Batch_DAO_Factor" localSheetId="0">#REF!</definedName>
    <definedName name="Batch_DAO_Factor">#REF!</definedName>
    <definedName name="Batch_VBean_Factor" localSheetId="9">#REF!</definedName>
    <definedName name="Batch_VBean_Factor" localSheetId="13">#REF!</definedName>
    <definedName name="Batch_VBean_Factor" localSheetId="22">#REF!</definedName>
    <definedName name="Batch_VBean_Factor" localSheetId="16">#REF!</definedName>
    <definedName name="Batch_VBean_Factor" localSheetId="17">#REF!</definedName>
    <definedName name="Batch_VBean_Factor" localSheetId="15">#REF!</definedName>
    <definedName name="Batch_VBean_Factor" localSheetId="20">#REF!</definedName>
    <definedName name="Batch_VBean_Factor" localSheetId="18">#REF!</definedName>
    <definedName name="Batch_VBean_Factor" localSheetId="7">#REF!</definedName>
    <definedName name="Batch_VBean_Factor" localSheetId="0">#REF!</definedName>
    <definedName name="Batch_VBean_Factor">#REF!</definedName>
    <definedName name="BDlist" localSheetId="9">#REF!</definedName>
    <definedName name="BDlist" localSheetId="13">#REF!</definedName>
    <definedName name="BDlist" localSheetId="22">#REF!</definedName>
    <definedName name="BDlist" localSheetId="16">#REF!</definedName>
    <definedName name="BDlist" localSheetId="17">#REF!</definedName>
    <definedName name="BDlist" localSheetId="15">#REF!</definedName>
    <definedName name="BDlist" localSheetId="20">#REF!</definedName>
    <definedName name="BDlist" localSheetId="18">#REF!</definedName>
    <definedName name="BDlist" localSheetId="7">#REF!</definedName>
    <definedName name="BDlist" localSheetId="0">#REF!</definedName>
    <definedName name="BDlist">#REF!</definedName>
    <definedName name="BillCodes" localSheetId="26">[8]Lookups!$M$2:$M$81</definedName>
    <definedName name="BillCodes">[9]Lookups!$M$2:$M$81</definedName>
    <definedName name="BillRate" localSheetId="26">'[10]5. Tasks'!$H$36</definedName>
    <definedName name="BillRate">'[11]5. Tasks'!$H$36</definedName>
    <definedName name="BuildPct" localSheetId="26">#REF!</definedName>
    <definedName name="BuildPct" localSheetId="9">#REF!</definedName>
    <definedName name="BuildPct" localSheetId="13">#REF!</definedName>
    <definedName name="BuildPct" localSheetId="22">#REF!</definedName>
    <definedName name="BuildPct" localSheetId="16">#REF!</definedName>
    <definedName name="BuildPct" localSheetId="17">#REF!</definedName>
    <definedName name="BuildPct" localSheetId="15">#REF!</definedName>
    <definedName name="BuildPct" localSheetId="20">#REF!</definedName>
    <definedName name="BuildPct" localSheetId="18">#REF!</definedName>
    <definedName name="BuildPct" localSheetId="7">#REF!</definedName>
    <definedName name="BuildPct" localSheetId="0">#REF!</definedName>
    <definedName name="BuildPct">#REF!</definedName>
    <definedName name="Category" localSheetId="9">#REF!</definedName>
    <definedName name="Category" localSheetId="13">#REF!</definedName>
    <definedName name="Category" localSheetId="22">#REF!</definedName>
    <definedName name="Category" localSheetId="16">#REF!</definedName>
    <definedName name="Category" localSheetId="17">#REF!</definedName>
    <definedName name="Category" localSheetId="15">#REF!</definedName>
    <definedName name="Category" localSheetId="20">#REF!</definedName>
    <definedName name="Category" localSheetId="18">#REF!</definedName>
    <definedName name="Category" localSheetId="7">#REF!</definedName>
    <definedName name="Category" localSheetId="0">#REF!</definedName>
    <definedName name="Category">#REF!</definedName>
    <definedName name="Class_DropDown" localSheetId="9">#REF!</definedName>
    <definedName name="Class_DropDown" localSheetId="13">#REF!</definedName>
    <definedName name="Class_DropDown" localSheetId="22">#REF!</definedName>
    <definedName name="Class_DropDown" localSheetId="16">#REF!</definedName>
    <definedName name="Class_DropDown" localSheetId="17">#REF!</definedName>
    <definedName name="Class_DropDown" localSheetId="15">#REF!</definedName>
    <definedName name="Class_DropDown" localSheetId="20">#REF!</definedName>
    <definedName name="Class_DropDown" localSheetId="18">#REF!</definedName>
    <definedName name="Class_DropDown" localSheetId="7">#REF!</definedName>
    <definedName name="Class_DropDown" localSheetId="0">#REF!</definedName>
    <definedName name="Class_DropDown">#REF!</definedName>
    <definedName name="Class_List">'[12]Standard Rates'!$B$1:$B$44</definedName>
    <definedName name="Count_Online_Panel_Medium" localSheetId="9">'[13]Mod List'!#REF!</definedName>
    <definedName name="Count_Online_Panel_Medium" localSheetId="13">'[13]Mod List'!#REF!</definedName>
    <definedName name="Count_Online_Panel_Medium" localSheetId="22">'[13]Mod List'!#REF!</definedName>
    <definedName name="Count_Online_Panel_Medium" localSheetId="16">'[13]Mod List'!#REF!</definedName>
    <definedName name="Count_Online_Panel_Medium" localSheetId="17">'[13]Mod List'!#REF!</definedName>
    <definedName name="Count_Online_Panel_Medium" localSheetId="15">'[13]Mod List'!#REF!</definedName>
    <definedName name="Count_Online_Panel_Medium" localSheetId="20">'[13]Mod List'!#REF!</definedName>
    <definedName name="Count_Online_Panel_Medium" localSheetId="18">'[13]Mod List'!#REF!</definedName>
    <definedName name="Count_Online_Panel_Medium" localSheetId="7">'[13]Mod List'!#REF!</definedName>
    <definedName name="Count_Online_Panel_Medium" localSheetId="0">'[13]Mod List'!#REF!</definedName>
    <definedName name="Count_Online_Panel_Medium">'[13]Mod List'!#REF!</definedName>
    <definedName name="Countries" localSheetId="26">[8]Lookups!$C$2:$C$4</definedName>
    <definedName name="Countries">[9]Lookups!$C$2:$C$4</definedName>
    <definedName name="Del_Allocation_DB" localSheetId="26">#REF!</definedName>
    <definedName name="Del_Allocation_DB" localSheetId="9">#REF!</definedName>
    <definedName name="Del_Allocation_DB" localSheetId="13">#REF!</definedName>
    <definedName name="Del_Allocation_DB" localSheetId="22">#REF!</definedName>
    <definedName name="Del_Allocation_DB" localSheetId="16">#REF!</definedName>
    <definedName name="Del_Allocation_DB" localSheetId="17">#REF!</definedName>
    <definedName name="Del_Allocation_DB" localSheetId="15">#REF!</definedName>
    <definedName name="Del_Allocation_DB" localSheetId="20">#REF!</definedName>
    <definedName name="Del_Allocation_DB" localSheetId="18">#REF!</definedName>
    <definedName name="Del_Allocation_DB" localSheetId="7">#REF!</definedName>
    <definedName name="Del_Allocation_DB" localSheetId="0">#REF!</definedName>
    <definedName name="Del_Allocation_DB">#REF!</definedName>
    <definedName name="Dev_Alloc_DB" localSheetId="9">#REF!</definedName>
    <definedName name="Dev_Alloc_DB" localSheetId="13">#REF!</definedName>
    <definedName name="Dev_Alloc_DB" localSheetId="22">#REF!</definedName>
    <definedName name="Dev_Alloc_DB" localSheetId="16">#REF!</definedName>
    <definedName name="Dev_Alloc_DB" localSheetId="17">#REF!</definedName>
    <definedName name="Dev_Alloc_DB" localSheetId="15">#REF!</definedName>
    <definedName name="Dev_Alloc_DB" localSheetId="20">#REF!</definedName>
    <definedName name="Dev_Alloc_DB" localSheetId="18">#REF!</definedName>
    <definedName name="Dev_Alloc_DB" localSheetId="7">#REF!</definedName>
    <definedName name="Dev_Alloc_DB" localSheetId="0">#REF!</definedName>
    <definedName name="Dev_Alloc_DB">#REF!</definedName>
    <definedName name="Development_Phase___months">[14]Assumptions!$D$12</definedName>
    <definedName name="DifAT" localSheetId="26">#REF!</definedName>
    <definedName name="DifAT" localSheetId="9">#REF!</definedName>
    <definedName name="DifAT" localSheetId="13">#REF!</definedName>
    <definedName name="DifAT" localSheetId="22">#REF!</definedName>
    <definedName name="DifAT" localSheetId="16">#REF!</definedName>
    <definedName name="DifAT" localSheetId="17">#REF!</definedName>
    <definedName name="DifAT" localSheetId="15">#REF!</definedName>
    <definedName name="DifAT" localSheetId="20">#REF!</definedName>
    <definedName name="DifAT" localSheetId="18">#REF!</definedName>
    <definedName name="DifAT" localSheetId="7">#REF!</definedName>
    <definedName name="DifAT" localSheetId="0">#REF!</definedName>
    <definedName name="DifAT">#REF!</definedName>
    <definedName name="DifBatch" localSheetId="9">#REF!</definedName>
    <definedName name="DifBatch" localSheetId="13">#REF!</definedName>
    <definedName name="DifBatch" localSheetId="22">#REF!</definedName>
    <definedName name="DifBatch" localSheetId="16">#REF!</definedName>
    <definedName name="DifBatch" localSheetId="17">#REF!</definedName>
    <definedName name="DifBatch" localSheetId="15">#REF!</definedName>
    <definedName name="DifBatch" localSheetId="20">#REF!</definedName>
    <definedName name="DifBatch" localSheetId="18">#REF!</definedName>
    <definedName name="DifBatch" localSheetId="7">#REF!</definedName>
    <definedName name="DifBatch" localSheetId="0">#REF!</definedName>
    <definedName name="DifBatch">#REF!</definedName>
    <definedName name="DifChg" localSheetId="9">#REF!</definedName>
    <definedName name="DifChg" localSheetId="13">#REF!</definedName>
    <definedName name="DifChg" localSheetId="22">#REF!</definedName>
    <definedName name="DifChg" localSheetId="16">#REF!</definedName>
    <definedName name="DifChg" localSheetId="17">#REF!</definedName>
    <definedName name="DifChg" localSheetId="15">#REF!</definedName>
    <definedName name="DifChg" localSheetId="20">#REF!</definedName>
    <definedName name="DifChg" localSheetId="18">#REF!</definedName>
    <definedName name="DifChg" localSheetId="7">#REF!</definedName>
    <definedName name="DifChg" localSheetId="0">#REF!</definedName>
    <definedName name="DifChg">#REF!</definedName>
    <definedName name="DifCommon" localSheetId="9">#REF!</definedName>
    <definedName name="DifCommon" localSheetId="13">#REF!</definedName>
    <definedName name="DifCommon" localSheetId="22">#REF!</definedName>
    <definedName name="DifCommon" localSheetId="16">#REF!</definedName>
    <definedName name="DifCommon" localSheetId="17">#REF!</definedName>
    <definedName name="DifCommon" localSheetId="15">#REF!</definedName>
    <definedName name="DifCommon" localSheetId="20">#REF!</definedName>
    <definedName name="DifCommon" localSheetId="18">#REF!</definedName>
    <definedName name="DifCommon" localSheetId="7">#REF!</definedName>
    <definedName name="DifCommon" localSheetId="0">#REF!</definedName>
    <definedName name="DifCommon">#REF!</definedName>
    <definedName name="DifConv" localSheetId="9">#REF!</definedName>
    <definedName name="DifConv" localSheetId="13">#REF!</definedName>
    <definedName name="DifConv" localSheetId="22">#REF!</definedName>
    <definedName name="DifConv" localSheetId="16">#REF!</definedName>
    <definedName name="DifConv" localSheetId="17">#REF!</definedName>
    <definedName name="DifConv" localSheetId="15">#REF!</definedName>
    <definedName name="DifConv" localSheetId="20">#REF!</definedName>
    <definedName name="DifConv" localSheetId="18">#REF!</definedName>
    <definedName name="DifConv" localSheetId="7">#REF!</definedName>
    <definedName name="DifConv" localSheetId="0">#REF!</definedName>
    <definedName name="DifConv">#REF!</definedName>
    <definedName name="DifDAO" localSheetId="9">#REF!</definedName>
    <definedName name="DifDAO" localSheetId="13">#REF!</definedName>
    <definedName name="DifDAO" localSheetId="22">#REF!</definedName>
    <definedName name="DifDAO" localSheetId="16">#REF!</definedName>
    <definedName name="DifDAO" localSheetId="17">#REF!</definedName>
    <definedName name="DifDAO" localSheetId="15">#REF!</definedName>
    <definedName name="DifDAO" localSheetId="20">#REF!</definedName>
    <definedName name="DifDAO" localSheetId="18">#REF!</definedName>
    <definedName name="DifDAO" localSheetId="7">#REF!</definedName>
    <definedName name="DifDAO" localSheetId="0">#REF!</definedName>
    <definedName name="DifDAO">#REF!</definedName>
    <definedName name="DifEJB" localSheetId="9">#REF!</definedName>
    <definedName name="DifEJB" localSheetId="13">#REF!</definedName>
    <definedName name="DifEJB" localSheetId="22">#REF!</definedName>
    <definedName name="DifEJB" localSheetId="16">#REF!</definedName>
    <definedName name="DifEJB" localSheetId="17">#REF!</definedName>
    <definedName name="DifEJB" localSheetId="15">#REF!</definedName>
    <definedName name="DifEJB" localSheetId="20">#REF!</definedName>
    <definedName name="DifEJB" localSheetId="18">#REF!</definedName>
    <definedName name="DifEJB" localSheetId="7">#REF!</definedName>
    <definedName name="DifEJB" localSheetId="0">#REF!</definedName>
    <definedName name="DifEJB">#REF!</definedName>
    <definedName name="DiffChg" localSheetId="9">#REF!</definedName>
    <definedName name="DiffChg" localSheetId="13">#REF!</definedName>
    <definedName name="DiffChg" localSheetId="22">#REF!</definedName>
    <definedName name="DiffChg" localSheetId="16">#REF!</definedName>
    <definedName name="DiffChg" localSheetId="17">#REF!</definedName>
    <definedName name="DiffChg" localSheetId="15">#REF!</definedName>
    <definedName name="DiffChg" localSheetId="20">#REF!</definedName>
    <definedName name="DiffChg" localSheetId="18">#REF!</definedName>
    <definedName name="DiffChg" localSheetId="7">#REF!</definedName>
    <definedName name="DiffChg" localSheetId="0">#REF!</definedName>
    <definedName name="DiffChg">#REF!</definedName>
    <definedName name="DiffDAO" localSheetId="9">#REF!</definedName>
    <definedName name="DiffDAO" localSheetId="13">#REF!</definedName>
    <definedName name="DiffDAO" localSheetId="22">#REF!</definedName>
    <definedName name="DiffDAO" localSheetId="16">#REF!</definedName>
    <definedName name="DiffDAO" localSheetId="17">#REF!</definedName>
    <definedName name="DiffDAO" localSheetId="15">#REF!</definedName>
    <definedName name="DiffDAO" localSheetId="20">#REF!</definedName>
    <definedName name="DiffDAO" localSheetId="18">#REF!</definedName>
    <definedName name="DiffDAO" localSheetId="7">#REF!</definedName>
    <definedName name="DiffDAO" localSheetId="0">#REF!</definedName>
    <definedName name="DiffDAO">#REF!</definedName>
    <definedName name="DifForm" localSheetId="9">#REF!</definedName>
    <definedName name="DifForm" localSheetId="13">#REF!</definedName>
    <definedName name="DifForm" localSheetId="22">#REF!</definedName>
    <definedName name="DifForm" localSheetId="16">#REF!</definedName>
    <definedName name="DifForm" localSheetId="17">#REF!</definedName>
    <definedName name="DifForm" localSheetId="15">#REF!</definedName>
    <definedName name="DifForm" localSheetId="20">#REF!</definedName>
    <definedName name="DifForm" localSheetId="18">#REF!</definedName>
    <definedName name="DifForm" localSheetId="7">#REF!</definedName>
    <definedName name="DifForm" localSheetId="0">#REF!</definedName>
    <definedName name="DifForm">#REF!</definedName>
    <definedName name="DifJSP" localSheetId="9">#REF!</definedName>
    <definedName name="DifJSP" localSheetId="13">#REF!</definedName>
    <definedName name="DifJSP" localSheetId="22">#REF!</definedName>
    <definedName name="DifJSP" localSheetId="16">#REF!</definedName>
    <definedName name="DifJSP" localSheetId="17">#REF!</definedName>
    <definedName name="DifJSP" localSheetId="15">#REF!</definedName>
    <definedName name="DifJSP" localSheetId="20">#REF!</definedName>
    <definedName name="DifJSP" localSheetId="18">#REF!</definedName>
    <definedName name="DifJSP" localSheetId="7">#REF!</definedName>
    <definedName name="DifJSP" localSheetId="0">#REF!</definedName>
    <definedName name="DifJSP">#REF!</definedName>
    <definedName name="DifRpt" localSheetId="9">#REF!</definedName>
    <definedName name="DifRpt" localSheetId="13">#REF!</definedName>
    <definedName name="DifRpt" localSheetId="22">#REF!</definedName>
    <definedName name="DifRpt" localSheetId="16">#REF!</definedName>
    <definedName name="DifRpt" localSheetId="17">#REF!</definedName>
    <definedName name="DifRpt" localSheetId="15">#REF!</definedName>
    <definedName name="DifRpt" localSheetId="20">#REF!</definedName>
    <definedName name="DifRpt" localSheetId="18">#REF!</definedName>
    <definedName name="DifRpt" localSheetId="7">#REF!</definedName>
    <definedName name="DifRpt" localSheetId="0">#REF!</definedName>
    <definedName name="DifRpt">#REF!</definedName>
    <definedName name="DifRule" localSheetId="9">#REF!</definedName>
    <definedName name="DifRule" localSheetId="13">#REF!</definedName>
    <definedName name="DifRule" localSheetId="22">#REF!</definedName>
    <definedName name="DifRule" localSheetId="16">#REF!</definedName>
    <definedName name="DifRule" localSheetId="17">#REF!</definedName>
    <definedName name="DifRule" localSheetId="15">#REF!</definedName>
    <definedName name="DifRule" localSheetId="20">#REF!</definedName>
    <definedName name="DifRule" localSheetId="18">#REF!</definedName>
    <definedName name="DifRule" localSheetId="7">#REF!</definedName>
    <definedName name="DifRule" localSheetId="0">#REF!</definedName>
    <definedName name="DifRule">#REF!</definedName>
    <definedName name="DifVBean" localSheetId="9">#REF!</definedName>
    <definedName name="DifVBean" localSheetId="13">#REF!</definedName>
    <definedName name="DifVBean" localSheetId="22">#REF!</definedName>
    <definedName name="DifVBean" localSheetId="16">#REF!</definedName>
    <definedName name="DifVBean" localSheetId="17">#REF!</definedName>
    <definedName name="DifVBean" localSheetId="15">#REF!</definedName>
    <definedName name="DifVBean" localSheetId="20">#REF!</definedName>
    <definedName name="DifVBean" localSheetId="18">#REF!</definedName>
    <definedName name="DifVBean" localSheetId="7">#REF!</definedName>
    <definedName name="DifVBean" localSheetId="0">#REF!</definedName>
    <definedName name="DifVBean">#REF!</definedName>
    <definedName name="DropdownLookupArray" localSheetId="26">[8]Lookups!$A$2:$B$171</definedName>
    <definedName name="DropdownLookupArray">[9]Lookups!$A$2:$B$171</definedName>
    <definedName name="ds" hidden="1">{"'Sheet1'!$B$2:$F$25"}</definedName>
    <definedName name="DS3_Install" localSheetId="9">[15]LoE!#REF!</definedName>
    <definedName name="DS3_Install" localSheetId="13">[15]LoE!#REF!</definedName>
    <definedName name="DS3_Install" localSheetId="22">[15]LoE!#REF!</definedName>
    <definedName name="DS3_Install" localSheetId="16">[15]LoE!#REF!</definedName>
    <definedName name="DS3_Install" localSheetId="17">[15]LoE!#REF!</definedName>
    <definedName name="DS3_Install" localSheetId="15">[15]LoE!#REF!</definedName>
    <definedName name="DS3_Install" localSheetId="20">[15]LoE!#REF!</definedName>
    <definedName name="DS3_Install" localSheetId="18">[15]LoE!#REF!</definedName>
    <definedName name="DS3_Install" localSheetId="7">[15]LoE!#REF!</definedName>
    <definedName name="DS3_Install" localSheetId="0">[15]LoE!#REF!</definedName>
    <definedName name="DS3_Install">[15]LoE!#REF!</definedName>
    <definedName name="DS3_Recurring_Cost" localSheetId="9">[15]LoE!#REF!</definedName>
    <definedName name="DS3_Recurring_Cost" localSheetId="13">[15]LoE!#REF!</definedName>
    <definedName name="DS3_Recurring_Cost" localSheetId="22">[15]LoE!#REF!</definedName>
    <definedName name="DS3_Recurring_Cost" localSheetId="16">[15]LoE!#REF!</definedName>
    <definedName name="DS3_Recurring_Cost" localSheetId="17">[15]LoE!#REF!</definedName>
    <definedName name="DS3_Recurring_Cost" localSheetId="15">[15]LoE!#REF!</definedName>
    <definedName name="DS3_Recurring_Cost" localSheetId="20">[15]LoE!#REF!</definedName>
    <definedName name="DS3_Recurring_Cost" localSheetId="18">[15]LoE!#REF!</definedName>
    <definedName name="DS3_Recurring_Cost" localSheetId="7">[15]LoE!#REF!</definedName>
    <definedName name="DS3_Recurring_Cost" localSheetId="0">[15]LoE!#REF!</definedName>
    <definedName name="DS3_Recurring_Cost">[15]LoE!#REF!</definedName>
    <definedName name="DSL_Install" localSheetId="9">[15]LoE!#REF!</definedName>
    <definedName name="DSL_Install" localSheetId="13">[15]LoE!#REF!</definedName>
    <definedName name="DSL_Install" localSheetId="22">[15]LoE!#REF!</definedName>
    <definedName name="DSL_Install" localSheetId="16">[15]LoE!#REF!</definedName>
    <definedName name="DSL_Install" localSheetId="17">[15]LoE!#REF!</definedName>
    <definedName name="DSL_Install" localSheetId="15">[15]LoE!#REF!</definedName>
    <definedName name="DSL_Install" localSheetId="20">[15]LoE!#REF!</definedName>
    <definedName name="DSL_Install" localSheetId="18">[15]LoE!#REF!</definedName>
    <definedName name="DSL_Install" localSheetId="7">[15]LoE!#REF!</definedName>
    <definedName name="DSL_Install" localSheetId="0">[15]LoE!#REF!</definedName>
    <definedName name="DSL_Install">[15]LoE!#REF!</definedName>
    <definedName name="DSL_Recurring_Cost" localSheetId="9">[15]LoE!#REF!</definedName>
    <definedName name="DSL_Recurring_Cost" localSheetId="13">[15]LoE!#REF!</definedName>
    <definedName name="DSL_Recurring_Cost" localSheetId="22">[15]LoE!#REF!</definedName>
    <definedName name="DSL_Recurring_Cost" localSheetId="16">[15]LoE!#REF!</definedName>
    <definedName name="DSL_Recurring_Cost" localSheetId="17">[15]LoE!#REF!</definedName>
    <definedName name="DSL_Recurring_Cost" localSheetId="15">[15]LoE!#REF!</definedName>
    <definedName name="DSL_Recurring_Cost" localSheetId="20">[15]LoE!#REF!</definedName>
    <definedName name="DSL_Recurring_Cost" localSheetId="18">[15]LoE!#REF!</definedName>
    <definedName name="DSL_Recurring_Cost" localSheetId="7">[15]LoE!#REF!</definedName>
    <definedName name="DSL_Recurring_Cost" localSheetId="0">[15]LoE!#REF!</definedName>
    <definedName name="DSL_Recurring_Cost">[15]LoE!#REF!</definedName>
    <definedName name="EasyAT" localSheetId="26">#REF!</definedName>
    <definedName name="EasyAT" localSheetId="9">#REF!</definedName>
    <definedName name="EasyAT" localSheetId="13">#REF!</definedName>
    <definedName name="EasyAT" localSheetId="22">#REF!</definedName>
    <definedName name="EasyAT" localSheetId="16">#REF!</definedName>
    <definedName name="EasyAT" localSheetId="17">#REF!</definedName>
    <definedName name="EasyAT" localSheetId="15">#REF!</definedName>
    <definedName name="EasyAT" localSheetId="20">#REF!</definedName>
    <definedName name="EasyAT" localSheetId="18">#REF!</definedName>
    <definedName name="EasyAT" localSheetId="7">#REF!</definedName>
    <definedName name="EasyAT" localSheetId="0">#REF!</definedName>
    <definedName name="EasyAT">#REF!</definedName>
    <definedName name="EasyBatch" localSheetId="9">#REF!</definedName>
    <definedName name="EasyBatch" localSheetId="13">#REF!</definedName>
    <definedName name="EasyBatch" localSheetId="22">#REF!</definedName>
    <definedName name="EasyBatch" localSheetId="16">#REF!</definedName>
    <definedName name="EasyBatch" localSheetId="17">#REF!</definedName>
    <definedName name="EasyBatch" localSheetId="15">#REF!</definedName>
    <definedName name="EasyBatch" localSheetId="20">#REF!</definedName>
    <definedName name="EasyBatch" localSheetId="18">#REF!</definedName>
    <definedName name="EasyBatch" localSheetId="7">#REF!</definedName>
    <definedName name="EasyBatch" localSheetId="0">#REF!</definedName>
    <definedName name="EasyBatch">#REF!</definedName>
    <definedName name="EasyChg" localSheetId="9">#REF!</definedName>
    <definedName name="EasyChg" localSheetId="13">#REF!</definedName>
    <definedName name="EasyChg" localSheetId="22">#REF!</definedName>
    <definedName name="EasyChg" localSheetId="16">#REF!</definedName>
    <definedName name="EasyChg" localSheetId="17">#REF!</definedName>
    <definedName name="EasyChg" localSheetId="15">#REF!</definedName>
    <definedName name="EasyChg" localSheetId="20">#REF!</definedName>
    <definedName name="EasyChg" localSheetId="18">#REF!</definedName>
    <definedName name="EasyChg" localSheetId="7">#REF!</definedName>
    <definedName name="EasyChg" localSheetId="0">#REF!</definedName>
    <definedName name="EasyChg">#REF!</definedName>
    <definedName name="EasyCommon" localSheetId="9">#REF!</definedName>
    <definedName name="EasyCommon" localSheetId="13">#REF!</definedName>
    <definedName name="EasyCommon" localSheetId="22">#REF!</definedName>
    <definedName name="EasyCommon" localSheetId="16">#REF!</definedName>
    <definedName name="EasyCommon" localSheetId="17">#REF!</definedName>
    <definedName name="EasyCommon" localSheetId="15">#REF!</definedName>
    <definedName name="EasyCommon" localSheetId="20">#REF!</definedName>
    <definedName name="EasyCommon" localSheetId="18">#REF!</definedName>
    <definedName name="EasyCommon" localSheetId="7">#REF!</definedName>
    <definedName name="EasyCommon" localSheetId="0">#REF!</definedName>
    <definedName name="EasyCommon">#REF!</definedName>
    <definedName name="EasyConv" localSheetId="9">#REF!</definedName>
    <definedName name="EasyConv" localSheetId="13">#REF!</definedName>
    <definedName name="EasyConv" localSheetId="22">#REF!</definedName>
    <definedName name="EasyConv" localSheetId="16">#REF!</definedName>
    <definedName name="EasyConv" localSheetId="17">#REF!</definedName>
    <definedName name="EasyConv" localSheetId="15">#REF!</definedName>
    <definedName name="EasyConv" localSheetId="20">#REF!</definedName>
    <definedName name="EasyConv" localSheetId="18">#REF!</definedName>
    <definedName name="EasyConv" localSheetId="7">#REF!</definedName>
    <definedName name="EasyConv" localSheetId="0">#REF!</definedName>
    <definedName name="EasyConv">#REF!</definedName>
    <definedName name="EasyDAO" localSheetId="9">#REF!</definedName>
    <definedName name="EasyDAO" localSheetId="13">#REF!</definedName>
    <definedName name="EasyDAO" localSheetId="22">#REF!</definedName>
    <definedName name="EasyDAO" localSheetId="16">#REF!</definedName>
    <definedName name="EasyDAO" localSheetId="17">#REF!</definedName>
    <definedName name="EasyDAO" localSheetId="15">#REF!</definedName>
    <definedName name="EasyDAO" localSheetId="20">#REF!</definedName>
    <definedName name="EasyDAO" localSheetId="18">#REF!</definedName>
    <definedName name="EasyDAO" localSheetId="7">#REF!</definedName>
    <definedName name="EasyDAO" localSheetId="0">#REF!</definedName>
    <definedName name="EasyDAO">#REF!</definedName>
    <definedName name="EasyEJB" localSheetId="9">#REF!</definedName>
    <definedName name="EasyEJB" localSheetId="13">#REF!</definedName>
    <definedName name="EasyEJB" localSheetId="22">#REF!</definedName>
    <definedName name="EasyEJB" localSheetId="16">#REF!</definedName>
    <definedName name="EasyEJB" localSheetId="17">#REF!</definedName>
    <definedName name="EasyEJB" localSheetId="15">#REF!</definedName>
    <definedName name="EasyEJB" localSheetId="20">#REF!</definedName>
    <definedName name="EasyEJB" localSheetId="18">#REF!</definedName>
    <definedName name="EasyEJB" localSheetId="7">#REF!</definedName>
    <definedName name="EasyEJB" localSheetId="0">#REF!</definedName>
    <definedName name="EasyEJB">#REF!</definedName>
    <definedName name="EasyForm" localSheetId="9">#REF!</definedName>
    <definedName name="EasyForm" localSheetId="13">#REF!</definedName>
    <definedName name="EasyForm" localSheetId="22">#REF!</definedName>
    <definedName name="EasyForm" localSheetId="16">#REF!</definedName>
    <definedName name="EasyForm" localSheetId="17">#REF!</definedName>
    <definedName name="EasyForm" localSheetId="15">#REF!</definedName>
    <definedName name="EasyForm" localSheetId="20">#REF!</definedName>
    <definedName name="EasyForm" localSheetId="18">#REF!</definedName>
    <definedName name="EasyForm" localSheetId="7">#REF!</definedName>
    <definedName name="EasyForm" localSheetId="0">#REF!</definedName>
    <definedName name="EasyForm">#REF!</definedName>
    <definedName name="EasyJSP" localSheetId="9">#REF!</definedName>
    <definedName name="EasyJSP" localSheetId="13">#REF!</definedName>
    <definedName name="EasyJSP" localSheetId="22">#REF!</definedName>
    <definedName name="EasyJSP" localSheetId="16">#REF!</definedName>
    <definedName name="EasyJSP" localSheetId="17">#REF!</definedName>
    <definedName name="EasyJSP" localSheetId="15">#REF!</definedName>
    <definedName name="EasyJSP" localSheetId="20">#REF!</definedName>
    <definedName name="EasyJSP" localSheetId="18">#REF!</definedName>
    <definedName name="EasyJSP" localSheetId="7">#REF!</definedName>
    <definedName name="EasyJSP" localSheetId="0">#REF!</definedName>
    <definedName name="EasyJSP">#REF!</definedName>
    <definedName name="EasyRpt" localSheetId="9">#REF!</definedName>
    <definedName name="EasyRpt" localSheetId="13">#REF!</definedName>
    <definedName name="EasyRpt" localSheetId="22">#REF!</definedName>
    <definedName name="EasyRpt" localSheetId="16">#REF!</definedName>
    <definedName name="EasyRpt" localSheetId="17">#REF!</definedName>
    <definedName name="EasyRpt" localSheetId="15">#REF!</definedName>
    <definedName name="EasyRpt" localSheetId="20">#REF!</definedName>
    <definedName name="EasyRpt" localSheetId="18">#REF!</definedName>
    <definedName name="EasyRpt" localSheetId="7">#REF!</definedName>
    <definedName name="EasyRpt" localSheetId="0">#REF!</definedName>
    <definedName name="EasyRpt">#REF!</definedName>
    <definedName name="EasyRule" localSheetId="9">#REF!</definedName>
    <definedName name="EasyRule" localSheetId="13">#REF!</definedName>
    <definedName name="EasyRule" localSheetId="22">#REF!</definedName>
    <definedName name="EasyRule" localSheetId="16">#REF!</definedName>
    <definedName name="EasyRule" localSheetId="17">#REF!</definedName>
    <definedName name="EasyRule" localSheetId="15">#REF!</definedName>
    <definedName name="EasyRule" localSheetId="20">#REF!</definedName>
    <definedName name="EasyRule" localSheetId="18">#REF!</definedName>
    <definedName name="EasyRule" localSheetId="7">#REF!</definedName>
    <definedName name="EasyRule" localSheetId="0">#REF!</definedName>
    <definedName name="EasyRule">#REF!</definedName>
    <definedName name="EasyVBean" localSheetId="9">#REF!</definedName>
    <definedName name="EasyVBean" localSheetId="13">#REF!</definedName>
    <definedName name="EasyVBean" localSheetId="22">#REF!</definedName>
    <definedName name="EasyVBean" localSheetId="16">#REF!</definedName>
    <definedName name="EasyVBean" localSheetId="17">#REF!</definedName>
    <definedName name="EasyVBean" localSheetId="15">#REF!</definedName>
    <definedName name="EasyVBean" localSheetId="20">#REF!</definedName>
    <definedName name="EasyVBean" localSheetId="18">#REF!</definedName>
    <definedName name="EasyVBean" localSheetId="7">#REF!</definedName>
    <definedName name="EasyVBean" localSheetId="0">#REF!</definedName>
    <definedName name="EasyVBean">#REF!</definedName>
    <definedName name="Exhibit_A_DB" localSheetId="9">#REF!</definedName>
    <definedName name="Exhibit_A_DB" localSheetId="13">#REF!</definedName>
    <definedName name="Exhibit_A_DB" localSheetId="22">#REF!</definedName>
    <definedName name="Exhibit_A_DB" localSheetId="16">#REF!</definedName>
    <definedName name="Exhibit_A_DB" localSheetId="17">#REF!</definedName>
    <definedName name="Exhibit_A_DB" localSheetId="15">#REF!</definedName>
    <definedName name="Exhibit_A_DB" localSheetId="20">#REF!</definedName>
    <definedName name="Exhibit_A_DB" localSheetId="18">#REF!</definedName>
    <definedName name="Exhibit_A_DB" localSheetId="7">#REF!</definedName>
    <definedName name="Exhibit_A_DB" localSheetId="0">#REF!</definedName>
    <definedName name="Exhibit_A_DB">#REF!</definedName>
    <definedName name="Form_AT_Factor" localSheetId="9">#REF!</definedName>
    <definedName name="Form_AT_Factor" localSheetId="13">#REF!</definedName>
    <definedName name="Form_AT_Factor" localSheetId="22">#REF!</definedName>
    <definedName name="Form_AT_Factor" localSheetId="16">#REF!</definedName>
    <definedName name="Form_AT_Factor" localSheetId="17">#REF!</definedName>
    <definedName name="Form_AT_Factor" localSheetId="15">#REF!</definedName>
    <definedName name="Form_AT_Factor" localSheetId="20">#REF!</definedName>
    <definedName name="Form_AT_Factor" localSheetId="18">#REF!</definedName>
    <definedName name="Form_AT_Factor" localSheetId="7">#REF!</definedName>
    <definedName name="Form_AT_Factor" localSheetId="0">#REF!</definedName>
    <definedName name="Form_AT_Factor">#REF!</definedName>
    <definedName name="Form_DAO_Factor" localSheetId="9">#REF!</definedName>
    <definedName name="Form_DAO_Factor" localSheetId="13">#REF!</definedName>
    <definedName name="Form_DAO_Factor" localSheetId="22">#REF!</definedName>
    <definedName name="Form_DAO_Factor" localSheetId="16">#REF!</definedName>
    <definedName name="Form_DAO_Factor" localSheetId="17">#REF!</definedName>
    <definedName name="Form_DAO_Factor" localSheetId="15">#REF!</definedName>
    <definedName name="Form_DAO_Factor" localSheetId="20">#REF!</definedName>
    <definedName name="Form_DAO_Factor" localSheetId="18">#REF!</definedName>
    <definedName name="Form_DAO_Factor" localSheetId="7">#REF!</definedName>
    <definedName name="Form_DAO_Factor" localSheetId="0">#REF!</definedName>
    <definedName name="Form_DAO_Factor">#REF!</definedName>
    <definedName name="FTE_Days_Per_Month" localSheetId="9">'[16]B Tasks and Deliv''s'!#REF!</definedName>
    <definedName name="FTE_Days_Per_Month" localSheetId="13">'[16]B Tasks and Deliv''s'!#REF!</definedName>
    <definedName name="FTE_Days_Per_Month" localSheetId="22">'[16]B Tasks and Deliv''s'!#REF!</definedName>
    <definedName name="FTE_Days_Per_Month" localSheetId="16">'[16]B Tasks and Deliv''s'!#REF!</definedName>
    <definedName name="FTE_Days_Per_Month" localSheetId="17">'[16]B Tasks and Deliv''s'!#REF!</definedName>
    <definedName name="FTE_Days_Per_Month" localSheetId="15">'[16]B Tasks and Deliv''s'!#REF!</definedName>
    <definedName name="FTE_Days_Per_Month" localSheetId="20">'[16]B Tasks and Deliv''s'!#REF!</definedName>
    <definedName name="FTE_Days_Per_Month" localSheetId="18">'[16]B Tasks and Deliv''s'!#REF!</definedName>
    <definedName name="FTE_Days_Per_Month" localSheetId="7">'[16]B Tasks and Deliv''s'!#REF!</definedName>
    <definedName name="FTE_Days_Per_Month" localSheetId="0">'[16]B Tasks and Deliv''s'!#REF!</definedName>
    <definedName name="FTE_Days_Per_Month">'[16]B Tasks and Deliv''s'!#REF!</definedName>
    <definedName name="hgg" localSheetId="22">#REF!</definedName>
    <definedName name="hgg" localSheetId="16">#REF!</definedName>
    <definedName name="hgg" localSheetId="17">#REF!</definedName>
    <definedName name="hgg" localSheetId="15">#REF!</definedName>
    <definedName name="hgg" localSheetId="20">#REF!</definedName>
    <definedName name="hgg" localSheetId="18">#REF!</definedName>
    <definedName name="hgg">#REF!</definedName>
    <definedName name="Hours_per_month" localSheetId="26">#REF!</definedName>
    <definedName name="Hours_per_month" localSheetId="9">#REF!</definedName>
    <definedName name="Hours_per_month" localSheetId="13">#REF!</definedName>
    <definedName name="Hours_per_month" localSheetId="22">#REF!</definedName>
    <definedName name="Hours_per_month" localSheetId="16">#REF!</definedName>
    <definedName name="Hours_per_month" localSheetId="17">#REF!</definedName>
    <definedName name="Hours_per_month" localSheetId="15">#REF!</definedName>
    <definedName name="Hours_per_month" localSheetId="20">#REF!</definedName>
    <definedName name="Hours_per_month" localSheetId="18">#REF!</definedName>
    <definedName name="Hours_per_month" localSheetId="7">#REF!</definedName>
    <definedName name="Hours_per_month" localSheetId="0">#REF!</definedName>
    <definedName name="Hours_per_month">#REF!</definedName>
    <definedName name="HTML_CodePage" hidden="1">1252</definedName>
    <definedName name="HTML_Control" localSheetId="26" hidden="1">{"'Sheet1'!$B$2:$F$25"}</definedName>
    <definedName name="HTML_Control" localSheetId="9" hidden="1">{"'Sheet1'!$B$2:$F$25"}</definedName>
    <definedName name="HTML_Control" localSheetId="11" hidden="1">{"'Sheet1'!$B$2:$F$25"}</definedName>
    <definedName name="HTML_Control" localSheetId="3" hidden="1">{"'Sheet1'!$B$2:$F$25"}</definedName>
    <definedName name="HTML_Control" localSheetId="13" hidden="1">{"'Sheet1'!$B$2:$F$25"}</definedName>
    <definedName name="HTML_Control" localSheetId="22" hidden="1">{"'Sheet1'!$B$2:$F$25"}</definedName>
    <definedName name="HTML_Control" localSheetId="16" hidden="1">{"'Sheet1'!$B$2:$F$25"}</definedName>
    <definedName name="HTML_Control" localSheetId="17" hidden="1">{"'Sheet1'!$B$2:$F$25"}</definedName>
    <definedName name="HTML_Control" localSheetId="15" hidden="1">{"'Sheet1'!$B$2:$F$25"}</definedName>
    <definedName name="HTML_Control" localSheetId="20" hidden="1">{"'Sheet1'!$B$2:$F$25"}</definedName>
    <definedName name="HTML_Control" localSheetId="18" hidden="1">{"'Sheet1'!$B$2:$F$25"}</definedName>
    <definedName name="HTML_Control" localSheetId="5" hidden="1">{"'Sheet1'!$B$2:$F$25"}</definedName>
    <definedName name="HTML_Control" localSheetId="6" hidden="1">{"'Sheet1'!$B$2:$F$25"}</definedName>
    <definedName name="HTML_Control" localSheetId="4" hidden="1">{"'Sheet1'!$B$2:$F$25"}</definedName>
    <definedName name="HTML_Control" localSheetId="2" hidden="1">{"'Sheet1'!$B$2:$F$25"}</definedName>
    <definedName name="HTML_Control" localSheetId="8" hidden="1">{"'Sheet1'!$B$2:$F$25"}</definedName>
    <definedName name="HTML_Control" localSheetId="7" hidden="1">{"'Sheet1'!$B$2:$F$25"}</definedName>
    <definedName name="HTML_Control" localSheetId="1" hidden="1">{"'Sheet1'!$B$2:$F$25"}</definedName>
    <definedName name="HTML_Control" localSheetId="24" hidden="1">{"'Sheet1'!$B$2:$F$25"}</definedName>
    <definedName name="HTML_Control" hidden="1">{"'Sheet1'!$B$2:$F$25"}</definedName>
    <definedName name="HTML_Control2" hidden="1">{"'Sheet1'!$B$2:$F$25"}</definedName>
    <definedName name="HTML_Description" hidden="1">""</definedName>
    <definedName name="HTML_Email" hidden="1">""</definedName>
    <definedName name="HTML_Header" hidden="1">""</definedName>
    <definedName name="HTML_LastUpdate" hidden="1">"5/14/2001"</definedName>
    <definedName name="HTML_LineAfter" hidden="1">FALSE</definedName>
    <definedName name="HTML_LineBefore" hidden="1">FALSE</definedName>
    <definedName name="HTML_Name" hidden="1">"pcinstall"</definedName>
    <definedName name="HTML_OBDlg2" hidden="1">TRUE</definedName>
    <definedName name="HTML_OBDlg4" hidden="1">TRUE</definedName>
    <definedName name="HTML_OS" hidden="1">0</definedName>
    <definedName name="HTML_PathFile" hidden="1">"G:\Internet\Erika\MyHTML.htm"</definedName>
    <definedName name="HTML_Title" hidden="1">"Conversion"</definedName>
    <definedName name="IAPDU" localSheetId="26">#REF!</definedName>
    <definedName name="IAPDU" localSheetId="9">#REF!</definedName>
    <definedName name="IAPDU" localSheetId="13">#REF!</definedName>
    <definedName name="IAPDU" localSheetId="22">#REF!</definedName>
    <definedName name="IAPDU" localSheetId="16">#REF!</definedName>
    <definedName name="IAPDU" localSheetId="17">#REF!</definedName>
    <definedName name="IAPDU" localSheetId="15">#REF!</definedName>
    <definedName name="IAPDU" localSheetId="20">#REF!</definedName>
    <definedName name="IAPDU" localSheetId="18">#REF!</definedName>
    <definedName name="IAPDU" localSheetId="7">#REF!</definedName>
    <definedName name="IAPDU" localSheetId="0">#REF!</definedName>
    <definedName name="IAPDU">#REF!</definedName>
    <definedName name="ICRECON" localSheetId="26">'[17]Monthly Detail'!#REF!</definedName>
    <definedName name="ICRECON" localSheetId="9">'[17]Monthly Detail'!#REF!</definedName>
    <definedName name="ICRECON" localSheetId="13">'[17]Monthly Detail'!#REF!</definedName>
    <definedName name="ICRECON" localSheetId="22">'[17]Monthly Detail'!#REF!</definedName>
    <definedName name="ICRECON" localSheetId="16">'[17]Monthly Detail'!#REF!</definedName>
    <definedName name="ICRECON" localSheetId="17">'[17]Monthly Detail'!#REF!</definedName>
    <definedName name="ICRECON" localSheetId="15">'[17]Monthly Detail'!#REF!</definedName>
    <definedName name="ICRECON" localSheetId="20">'[17]Monthly Detail'!#REF!</definedName>
    <definedName name="ICRECON" localSheetId="18">'[17]Monthly Detail'!#REF!</definedName>
    <definedName name="ICRECON" localSheetId="7">'[17]Monthly Detail'!#REF!</definedName>
    <definedName name="ICRECON" localSheetId="0">'[17]Monthly Detail'!#REF!</definedName>
    <definedName name="ICRECON">'[17]Monthly Detail'!#REF!</definedName>
    <definedName name="Implementation_Phase___months">[14]Assumptions!$D$13</definedName>
    <definedName name="INDIRECT" localSheetId="26">'[17]Monthly Detail'!#REF!</definedName>
    <definedName name="INDIRECT" localSheetId="9">'[17]Monthly Detail'!#REF!</definedName>
    <definedName name="INDIRECT" localSheetId="13">'[17]Monthly Detail'!#REF!</definedName>
    <definedName name="INDIRECT" localSheetId="22">'[17]Monthly Detail'!#REF!</definedName>
    <definedName name="INDIRECT" localSheetId="16">'[17]Monthly Detail'!#REF!</definedName>
    <definedName name="INDIRECT" localSheetId="17">'[17]Monthly Detail'!#REF!</definedName>
    <definedName name="INDIRECT" localSheetId="15">'[17]Monthly Detail'!#REF!</definedName>
    <definedName name="INDIRECT" localSheetId="20">'[17]Monthly Detail'!#REF!</definedName>
    <definedName name="INDIRECT" localSheetId="18">'[17]Monthly Detail'!#REF!</definedName>
    <definedName name="INDIRECT" localSheetId="7">'[17]Monthly Detail'!#REF!</definedName>
    <definedName name="INDIRECT" localSheetId="0">'[17]Monthly Detail'!#REF!</definedName>
    <definedName name="INDIRECT">'[17]Monthly Detail'!#REF!</definedName>
    <definedName name="Itemized_Software_Description">[18]Sheet3!$D$1:$D$16</definedName>
    <definedName name="JSP_AT_Factor" localSheetId="26">#REF!</definedName>
    <definedName name="JSP_AT_Factor" localSheetId="9">#REF!</definedName>
    <definedName name="JSP_AT_Factor" localSheetId="13">#REF!</definedName>
    <definedName name="JSP_AT_Factor" localSheetId="22">#REF!</definedName>
    <definedName name="JSP_AT_Factor" localSheetId="16">#REF!</definedName>
    <definedName name="JSP_AT_Factor" localSheetId="17">#REF!</definedName>
    <definedName name="JSP_AT_Factor" localSheetId="15">#REF!</definedName>
    <definedName name="JSP_AT_Factor" localSheetId="20">#REF!</definedName>
    <definedName name="JSP_AT_Factor" localSheetId="18">#REF!</definedName>
    <definedName name="JSP_AT_Factor" localSheetId="7">#REF!</definedName>
    <definedName name="JSP_AT_Factor" localSheetId="0">#REF!</definedName>
    <definedName name="JSP_AT_Factor">#REF!</definedName>
    <definedName name="JSP_Conv_Factor" localSheetId="9">#REF!</definedName>
    <definedName name="JSP_Conv_Factor" localSheetId="13">#REF!</definedName>
    <definedName name="JSP_Conv_Factor" localSheetId="22">#REF!</definedName>
    <definedName name="JSP_Conv_Factor" localSheetId="16">#REF!</definedName>
    <definedName name="JSP_Conv_Factor" localSheetId="17">#REF!</definedName>
    <definedName name="JSP_Conv_Factor" localSheetId="15">#REF!</definedName>
    <definedName name="JSP_Conv_Factor" localSheetId="20">#REF!</definedName>
    <definedName name="JSP_Conv_Factor" localSheetId="18">#REF!</definedName>
    <definedName name="JSP_Conv_Factor" localSheetId="7">#REF!</definedName>
    <definedName name="JSP_Conv_Factor" localSheetId="0">#REF!</definedName>
    <definedName name="JSP_Conv_Factor">#REF!</definedName>
    <definedName name="JSP_DAO_Factor" localSheetId="9">#REF!</definedName>
    <definedName name="JSP_DAO_Factor" localSheetId="13">#REF!</definedName>
    <definedName name="JSP_DAO_Factor" localSheetId="22">#REF!</definedName>
    <definedName name="JSP_DAO_Factor" localSheetId="16">#REF!</definedName>
    <definedName name="JSP_DAO_Factor" localSheetId="17">#REF!</definedName>
    <definedName name="JSP_DAO_Factor" localSheetId="15">#REF!</definedName>
    <definedName name="JSP_DAO_Factor" localSheetId="20">#REF!</definedName>
    <definedName name="JSP_DAO_Factor" localSheetId="18">#REF!</definedName>
    <definedName name="JSP_DAO_Factor" localSheetId="7">#REF!</definedName>
    <definedName name="JSP_DAO_Factor" localSheetId="0">#REF!</definedName>
    <definedName name="JSP_DAO_Factor">#REF!</definedName>
    <definedName name="JSP_EJB_Factor" localSheetId="9">#REF!</definedName>
    <definedName name="JSP_EJB_Factor" localSheetId="13">#REF!</definedName>
    <definedName name="JSP_EJB_Factor" localSheetId="22">#REF!</definedName>
    <definedName name="JSP_EJB_Factor" localSheetId="16">#REF!</definedName>
    <definedName name="JSP_EJB_Factor" localSheetId="17">#REF!</definedName>
    <definedName name="JSP_EJB_Factor" localSheetId="15">#REF!</definedName>
    <definedName name="JSP_EJB_Factor" localSheetId="20">#REF!</definedName>
    <definedName name="JSP_EJB_Factor" localSheetId="18">#REF!</definedName>
    <definedName name="JSP_EJB_Factor" localSheetId="7">#REF!</definedName>
    <definedName name="JSP_EJB_Factor" localSheetId="0">#REF!</definedName>
    <definedName name="JSP_EJB_Factor">#REF!</definedName>
    <definedName name="JSP_VBean_Factor" localSheetId="9">#REF!</definedName>
    <definedName name="JSP_VBean_Factor" localSheetId="13">#REF!</definedName>
    <definedName name="JSP_VBean_Factor" localSheetId="22">#REF!</definedName>
    <definedName name="JSP_VBean_Factor" localSheetId="16">#REF!</definedName>
    <definedName name="JSP_VBean_Factor" localSheetId="17">#REF!</definedName>
    <definedName name="JSP_VBean_Factor" localSheetId="15">#REF!</definedName>
    <definedName name="JSP_VBean_Factor" localSheetId="20">#REF!</definedName>
    <definedName name="JSP_VBean_Factor" localSheetId="18">#REF!</definedName>
    <definedName name="JSP_VBean_Factor" localSheetId="7">#REF!</definedName>
    <definedName name="JSP_VBean_Factor" localSheetId="0">#REF!</definedName>
    <definedName name="JSP_VBean_Factor">#REF!</definedName>
    <definedName name="Margin" localSheetId="26">'[19]New Servers'!$I$1</definedName>
    <definedName name="Margin" localSheetId="24">'[20]New Servers'!$I$1</definedName>
    <definedName name="Margin" localSheetId="23">'[20]New Servers'!$I$1</definedName>
    <definedName name="Margin">'[21]New Servers'!$I$1</definedName>
    <definedName name="MedAT" localSheetId="26">#REF!</definedName>
    <definedName name="MedAT" localSheetId="9">#REF!</definedName>
    <definedName name="MedAT" localSheetId="13">#REF!</definedName>
    <definedName name="MedAT" localSheetId="22">#REF!</definedName>
    <definedName name="MedAT" localSheetId="16">#REF!</definedName>
    <definedName name="MedAT" localSheetId="17">#REF!</definedName>
    <definedName name="MedAT" localSheetId="15">#REF!</definedName>
    <definedName name="MedAT" localSheetId="20">#REF!</definedName>
    <definedName name="MedAT" localSheetId="18">#REF!</definedName>
    <definedName name="MedAT" localSheetId="7">#REF!</definedName>
    <definedName name="MedAT" localSheetId="0">#REF!</definedName>
    <definedName name="MedAT">#REF!</definedName>
    <definedName name="MedBatch" localSheetId="9">#REF!</definedName>
    <definedName name="MedBatch" localSheetId="13">#REF!</definedName>
    <definedName name="MedBatch" localSheetId="22">#REF!</definedName>
    <definedName name="MedBatch" localSheetId="16">#REF!</definedName>
    <definedName name="MedBatch" localSheetId="17">#REF!</definedName>
    <definedName name="MedBatch" localSheetId="15">#REF!</definedName>
    <definedName name="MedBatch" localSheetId="20">#REF!</definedName>
    <definedName name="MedBatch" localSheetId="18">#REF!</definedName>
    <definedName name="MedBatch" localSheetId="7">#REF!</definedName>
    <definedName name="MedBatch" localSheetId="0">#REF!</definedName>
    <definedName name="MedBatch">#REF!</definedName>
    <definedName name="MedChg" localSheetId="9">#REF!</definedName>
    <definedName name="MedChg" localSheetId="13">#REF!</definedName>
    <definedName name="MedChg" localSheetId="22">#REF!</definedName>
    <definedName name="MedChg" localSheetId="16">#REF!</definedName>
    <definedName name="MedChg" localSheetId="17">#REF!</definedName>
    <definedName name="MedChg" localSheetId="15">#REF!</definedName>
    <definedName name="MedChg" localSheetId="20">#REF!</definedName>
    <definedName name="MedChg" localSheetId="18">#REF!</definedName>
    <definedName name="MedChg" localSheetId="7">#REF!</definedName>
    <definedName name="MedChg" localSheetId="0">#REF!</definedName>
    <definedName name="MedChg">#REF!</definedName>
    <definedName name="MedCommon" localSheetId="9">#REF!</definedName>
    <definedName name="MedCommon" localSheetId="13">#REF!</definedName>
    <definedName name="MedCommon" localSheetId="22">#REF!</definedName>
    <definedName name="MedCommon" localSheetId="16">#REF!</definedName>
    <definedName name="MedCommon" localSheetId="17">#REF!</definedName>
    <definedName name="MedCommon" localSheetId="15">#REF!</definedName>
    <definedName name="MedCommon" localSheetId="20">#REF!</definedName>
    <definedName name="MedCommon" localSheetId="18">#REF!</definedName>
    <definedName name="MedCommon" localSheetId="7">#REF!</definedName>
    <definedName name="MedCommon" localSheetId="0">#REF!</definedName>
    <definedName name="MedCommon">#REF!</definedName>
    <definedName name="MedConv" localSheetId="9">#REF!</definedName>
    <definedName name="MedConv" localSheetId="13">#REF!</definedName>
    <definedName name="MedConv" localSheetId="22">#REF!</definedName>
    <definedName name="MedConv" localSheetId="16">#REF!</definedName>
    <definedName name="MedConv" localSheetId="17">#REF!</definedName>
    <definedName name="MedConv" localSheetId="15">#REF!</definedName>
    <definedName name="MedConv" localSheetId="20">#REF!</definedName>
    <definedName name="MedConv" localSheetId="18">#REF!</definedName>
    <definedName name="MedConv" localSheetId="7">#REF!</definedName>
    <definedName name="MedConv" localSheetId="0">#REF!</definedName>
    <definedName name="MedConv">#REF!</definedName>
    <definedName name="MedDAO" localSheetId="9">#REF!</definedName>
    <definedName name="MedDAO" localSheetId="13">#REF!</definedName>
    <definedName name="MedDAO" localSheetId="22">#REF!</definedName>
    <definedName name="MedDAO" localSheetId="16">#REF!</definedName>
    <definedName name="MedDAO" localSheetId="17">#REF!</definedName>
    <definedName name="MedDAO" localSheetId="15">#REF!</definedName>
    <definedName name="MedDAO" localSheetId="20">#REF!</definedName>
    <definedName name="MedDAO" localSheetId="18">#REF!</definedName>
    <definedName name="MedDAO" localSheetId="7">#REF!</definedName>
    <definedName name="MedDAO" localSheetId="0">#REF!</definedName>
    <definedName name="MedDAO">#REF!</definedName>
    <definedName name="MedEJB" localSheetId="9">#REF!</definedName>
    <definedName name="MedEJB" localSheetId="13">#REF!</definedName>
    <definedName name="MedEJB" localSheetId="22">#REF!</definedName>
    <definedName name="MedEJB" localSheetId="16">#REF!</definedName>
    <definedName name="MedEJB" localSheetId="17">#REF!</definedName>
    <definedName name="MedEJB" localSheetId="15">#REF!</definedName>
    <definedName name="MedEJB" localSheetId="20">#REF!</definedName>
    <definedName name="MedEJB" localSheetId="18">#REF!</definedName>
    <definedName name="MedEJB" localSheetId="7">#REF!</definedName>
    <definedName name="MedEJB" localSheetId="0">#REF!</definedName>
    <definedName name="MedEJB">#REF!</definedName>
    <definedName name="MedForm" localSheetId="9">#REF!</definedName>
    <definedName name="MedForm" localSheetId="13">#REF!</definedName>
    <definedName name="MedForm" localSheetId="22">#REF!</definedName>
    <definedName name="MedForm" localSheetId="16">#REF!</definedName>
    <definedName name="MedForm" localSheetId="17">#REF!</definedName>
    <definedName name="MedForm" localSheetId="15">#REF!</definedName>
    <definedName name="MedForm" localSheetId="20">#REF!</definedName>
    <definedName name="MedForm" localSheetId="18">#REF!</definedName>
    <definedName name="MedForm" localSheetId="7">#REF!</definedName>
    <definedName name="MedForm" localSheetId="0">#REF!</definedName>
    <definedName name="MedForm">#REF!</definedName>
    <definedName name="MedJSP" localSheetId="9">#REF!</definedName>
    <definedName name="MedJSP" localSheetId="13">#REF!</definedName>
    <definedName name="MedJSP" localSheetId="22">#REF!</definedName>
    <definedName name="MedJSP" localSheetId="16">#REF!</definedName>
    <definedName name="MedJSP" localSheetId="17">#REF!</definedName>
    <definedName name="MedJSP" localSheetId="15">#REF!</definedName>
    <definedName name="MedJSP" localSheetId="20">#REF!</definedName>
    <definedName name="MedJSP" localSheetId="18">#REF!</definedName>
    <definedName name="MedJSP" localSheetId="7">#REF!</definedName>
    <definedName name="MedJSP" localSheetId="0">#REF!</definedName>
    <definedName name="MedJSP">#REF!</definedName>
    <definedName name="MedRpt" localSheetId="9">#REF!</definedName>
    <definedName name="MedRpt" localSheetId="13">#REF!</definedName>
    <definedName name="MedRpt" localSheetId="22">#REF!</definedName>
    <definedName name="MedRpt" localSheetId="16">#REF!</definedName>
    <definedName name="MedRpt" localSheetId="17">#REF!</definedName>
    <definedName name="MedRpt" localSheetId="15">#REF!</definedName>
    <definedName name="MedRpt" localSheetId="20">#REF!</definedName>
    <definedName name="MedRpt" localSheetId="18">#REF!</definedName>
    <definedName name="MedRpt" localSheetId="7">#REF!</definedName>
    <definedName name="MedRpt" localSheetId="0">#REF!</definedName>
    <definedName name="MedRpt">#REF!</definedName>
    <definedName name="MedRule" localSheetId="9">#REF!</definedName>
    <definedName name="MedRule" localSheetId="13">#REF!</definedName>
    <definedName name="MedRule" localSheetId="22">#REF!</definedName>
    <definedName name="MedRule" localSheetId="16">#REF!</definedName>
    <definedName name="MedRule" localSheetId="17">#REF!</definedName>
    <definedName name="MedRule" localSheetId="15">#REF!</definedName>
    <definedName name="MedRule" localSheetId="20">#REF!</definedName>
    <definedName name="MedRule" localSheetId="18">#REF!</definedName>
    <definedName name="MedRule" localSheetId="7">#REF!</definedName>
    <definedName name="MedRule" localSheetId="0">#REF!</definedName>
    <definedName name="MedRule">#REF!</definedName>
    <definedName name="MedVBean" localSheetId="9">#REF!</definedName>
    <definedName name="MedVBean" localSheetId="13">#REF!</definedName>
    <definedName name="MedVBean" localSheetId="22">#REF!</definedName>
    <definedName name="MedVBean" localSheetId="16">#REF!</definedName>
    <definedName name="MedVBean" localSheetId="17">#REF!</definedName>
    <definedName name="MedVBean" localSheetId="15">#REF!</definedName>
    <definedName name="MedVBean" localSheetId="20">#REF!</definedName>
    <definedName name="MedVBean" localSheetId="18">#REF!</definedName>
    <definedName name="MedVBean" localSheetId="7">#REF!</definedName>
    <definedName name="MedVBean" localSheetId="0">#REF!</definedName>
    <definedName name="MedVBean">#REF!</definedName>
    <definedName name="MONTHSUM" localSheetId="9">'[17]Monthly Detail'!#REF!</definedName>
    <definedName name="MONTHSUM" localSheetId="13">'[17]Monthly Detail'!#REF!</definedName>
    <definedName name="MONTHSUM" localSheetId="22">'[17]Monthly Detail'!#REF!</definedName>
    <definedName name="MONTHSUM" localSheetId="16">'[17]Monthly Detail'!#REF!</definedName>
    <definedName name="MONTHSUM" localSheetId="17">'[17]Monthly Detail'!#REF!</definedName>
    <definedName name="MONTHSUM" localSheetId="15">'[17]Monthly Detail'!#REF!</definedName>
    <definedName name="MONTHSUM" localSheetId="20">'[17]Monthly Detail'!#REF!</definedName>
    <definedName name="MONTHSUM" localSheetId="18">'[17]Monthly Detail'!#REF!</definedName>
    <definedName name="MONTHSUM" localSheetId="7">'[17]Monthly Detail'!#REF!</definedName>
    <definedName name="MONTHSUM" localSheetId="0">'[17]Monthly Detail'!#REF!</definedName>
    <definedName name="MONTHSUM">'[17]Monthly Detail'!#REF!</definedName>
    <definedName name="Number_of_users_to_be_supported_during_implementation">[22]Assumptions!$D$11</definedName>
    <definedName name="of_Application_Teams_AD" localSheetId="26">#REF!</definedName>
    <definedName name="of_Application_Teams_AD" localSheetId="9">#REF!</definedName>
    <definedName name="of_Application_Teams_AD" localSheetId="13">#REF!</definedName>
    <definedName name="of_Application_Teams_AD" localSheetId="22">#REF!</definedName>
    <definedName name="of_Application_Teams_AD" localSheetId="16">#REF!</definedName>
    <definedName name="of_Application_Teams_AD" localSheetId="17">#REF!</definedName>
    <definedName name="of_Application_Teams_AD" localSheetId="15">#REF!</definedName>
    <definedName name="of_Application_Teams_AD" localSheetId="20">#REF!</definedName>
    <definedName name="of_Application_Teams_AD" localSheetId="18">#REF!</definedName>
    <definedName name="of_Application_Teams_AD" localSheetId="7">#REF!</definedName>
    <definedName name="of_Application_Teams_AD" localSheetId="0">#REF!</definedName>
    <definedName name="of_Application_Teams_AD">#REF!</definedName>
    <definedName name="of_Application_Teams_FA" localSheetId="9">#REF!</definedName>
    <definedName name="of_Application_Teams_FA" localSheetId="13">#REF!</definedName>
    <definedName name="of_Application_Teams_FA" localSheetId="22">#REF!</definedName>
    <definedName name="of_Application_Teams_FA" localSheetId="16">#REF!</definedName>
    <definedName name="of_Application_Teams_FA" localSheetId="17">#REF!</definedName>
    <definedName name="of_Application_Teams_FA" localSheetId="15">#REF!</definedName>
    <definedName name="of_Application_Teams_FA" localSheetId="20">#REF!</definedName>
    <definedName name="of_Application_Teams_FA" localSheetId="18">#REF!</definedName>
    <definedName name="of_Application_Teams_FA" localSheetId="7">#REF!</definedName>
    <definedName name="of_Application_Teams_FA" localSheetId="0">#REF!</definedName>
    <definedName name="of_Application_Teams_FA">#REF!</definedName>
    <definedName name="of_Application_Teams_SF" localSheetId="9">#REF!</definedName>
    <definedName name="of_Application_Teams_SF" localSheetId="13">#REF!</definedName>
    <definedName name="of_Application_Teams_SF" localSheetId="22">#REF!</definedName>
    <definedName name="of_Application_Teams_SF" localSheetId="16">#REF!</definedName>
    <definedName name="of_Application_Teams_SF" localSheetId="17">#REF!</definedName>
    <definedName name="of_Application_Teams_SF" localSheetId="15">#REF!</definedName>
    <definedName name="of_Application_Teams_SF" localSheetId="20">#REF!</definedName>
    <definedName name="of_Application_Teams_SF" localSheetId="18">#REF!</definedName>
    <definedName name="of_Application_Teams_SF" localSheetId="7">#REF!</definedName>
    <definedName name="of_Application_Teams_SF" localSheetId="0">#REF!</definedName>
    <definedName name="of_Application_Teams_SF">#REF!</definedName>
    <definedName name="of_Application_Teams_SR" localSheetId="9">#REF!</definedName>
    <definedName name="of_Application_Teams_SR" localSheetId="13">#REF!</definedName>
    <definedName name="of_Application_Teams_SR" localSheetId="22">#REF!</definedName>
    <definedName name="of_Application_Teams_SR" localSheetId="16">#REF!</definedName>
    <definedName name="of_Application_Teams_SR" localSheetId="17">#REF!</definedName>
    <definedName name="of_Application_Teams_SR" localSheetId="15">#REF!</definedName>
    <definedName name="of_Application_Teams_SR" localSheetId="20">#REF!</definedName>
    <definedName name="of_Application_Teams_SR" localSheetId="18">#REF!</definedName>
    <definedName name="of_Application_Teams_SR" localSheetId="7">#REF!</definedName>
    <definedName name="of_Application_Teams_SR" localSheetId="0">#REF!</definedName>
    <definedName name="of_Application_Teams_SR">#REF!</definedName>
    <definedName name="of_Applications_AD" localSheetId="9">#REF!</definedName>
    <definedName name="of_Applications_AD" localSheetId="13">#REF!</definedName>
    <definedName name="of_Applications_AD" localSheetId="22">#REF!</definedName>
    <definedName name="of_Applications_AD" localSheetId="16">#REF!</definedName>
    <definedName name="of_Applications_AD" localSheetId="17">#REF!</definedName>
    <definedName name="of_Applications_AD" localSheetId="15">#REF!</definedName>
    <definedName name="of_Applications_AD" localSheetId="20">#REF!</definedName>
    <definedName name="of_Applications_AD" localSheetId="18">#REF!</definedName>
    <definedName name="of_Applications_AD" localSheetId="7">#REF!</definedName>
    <definedName name="of_Applications_AD" localSheetId="0">#REF!</definedName>
    <definedName name="of_Applications_AD">#REF!</definedName>
    <definedName name="of_Applications_FA" localSheetId="9">#REF!</definedName>
    <definedName name="of_Applications_FA" localSheetId="13">#REF!</definedName>
    <definedName name="of_Applications_FA" localSheetId="22">#REF!</definedName>
    <definedName name="of_Applications_FA" localSheetId="16">#REF!</definedName>
    <definedName name="of_Applications_FA" localSheetId="17">#REF!</definedName>
    <definedName name="of_Applications_FA" localSheetId="15">#REF!</definedName>
    <definedName name="of_Applications_FA" localSheetId="20">#REF!</definedName>
    <definedName name="of_Applications_FA" localSheetId="18">#REF!</definedName>
    <definedName name="of_Applications_FA" localSheetId="7">#REF!</definedName>
    <definedName name="of_Applications_FA" localSheetId="0">#REF!</definedName>
    <definedName name="of_Applications_FA">#REF!</definedName>
    <definedName name="of_Applications_SF" localSheetId="9">#REF!</definedName>
    <definedName name="of_Applications_SF" localSheetId="13">#REF!</definedName>
    <definedName name="of_Applications_SF" localSheetId="22">#REF!</definedName>
    <definedName name="of_Applications_SF" localSheetId="16">#REF!</definedName>
    <definedName name="of_Applications_SF" localSheetId="17">#REF!</definedName>
    <definedName name="of_Applications_SF" localSheetId="15">#REF!</definedName>
    <definedName name="of_Applications_SF" localSheetId="20">#REF!</definedName>
    <definedName name="of_Applications_SF" localSheetId="18">#REF!</definedName>
    <definedName name="of_Applications_SF" localSheetId="7">#REF!</definedName>
    <definedName name="of_Applications_SF" localSheetId="0">#REF!</definedName>
    <definedName name="of_Applications_SF">#REF!</definedName>
    <definedName name="of_Applications_SR" localSheetId="9">#REF!</definedName>
    <definedName name="of_Applications_SR" localSheetId="13">#REF!</definedName>
    <definedName name="of_Applications_SR" localSheetId="22">#REF!</definedName>
    <definedName name="of_Applications_SR" localSheetId="16">#REF!</definedName>
    <definedName name="of_Applications_SR" localSheetId="17">#REF!</definedName>
    <definedName name="of_Applications_SR" localSheetId="15">#REF!</definedName>
    <definedName name="of_Applications_SR" localSheetId="20">#REF!</definedName>
    <definedName name="of_Applications_SR" localSheetId="18">#REF!</definedName>
    <definedName name="of_Applications_SR" localSheetId="7">#REF!</definedName>
    <definedName name="of_Applications_SR" localSheetId="0">#REF!</definedName>
    <definedName name="of_Applications_SR">#REF!</definedName>
    <definedName name="of_Conversions_AD" localSheetId="9">#REF!</definedName>
    <definedName name="of_Conversions_AD" localSheetId="13">#REF!</definedName>
    <definedName name="of_Conversions_AD" localSheetId="22">#REF!</definedName>
    <definedName name="of_Conversions_AD" localSheetId="16">#REF!</definedName>
    <definedName name="of_Conversions_AD" localSheetId="17">#REF!</definedName>
    <definedName name="of_Conversions_AD" localSheetId="15">#REF!</definedName>
    <definedName name="of_Conversions_AD" localSheetId="20">#REF!</definedName>
    <definedName name="of_Conversions_AD" localSheetId="18">#REF!</definedName>
    <definedName name="of_Conversions_AD" localSheetId="7">#REF!</definedName>
    <definedName name="of_Conversions_AD" localSheetId="0">#REF!</definedName>
    <definedName name="of_Conversions_AD">#REF!</definedName>
    <definedName name="of_Conversions_FA" localSheetId="9">#REF!</definedName>
    <definedName name="of_Conversions_FA" localSheetId="13">#REF!</definedName>
    <definedName name="of_Conversions_FA" localSheetId="22">#REF!</definedName>
    <definedName name="of_Conversions_FA" localSheetId="16">#REF!</definedName>
    <definedName name="of_Conversions_FA" localSheetId="17">#REF!</definedName>
    <definedName name="of_Conversions_FA" localSheetId="15">#REF!</definedName>
    <definedName name="of_Conversions_FA" localSheetId="20">#REF!</definedName>
    <definedName name="of_Conversions_FA" localSheetId="18">#REF!</definedName>
    <definedName name="of_Conversions_FA" localSheetId="7">#REF!</definedName>
    <definedName name="of_Conversions_FA" localSheetId="0">#REF!</definedName>
    <definedName name="of_Conversions_FA">#REF!</definedName>
    <definedName name="of_Conversions_SF" localSheetId="9">#REF!</definedName>
    <definedName name="of_Conversions_SF" localSheetId="13">#REF!</definedName>
    <definedName name="of_Conversions_SF" localSheetId="22">#REF!</definedName>
    <definedName name="of_Conversions_SF" localSheetId="16">#REF!</definedName>
    <definedName name="of_Conversions_SF" localSheetId="17">#REF!</definedName>
    <definedName name="of_Conversions_SF" localSheetId="15">#REF!</definedName>
    <definedName name="of_Conversions_SF" localSheetId="20">#REF!</definedName>
    <definedName name="of_Conversions_SF" localSheetId="18">#REF!</definedName>
    <definedName name="of_Conversions_SF" localSheetId="7">#REF!</definedName>
    <definedName name="of_Conversions_SF" localSheetId="0">#REF!</definedName>
    <definedName name="of_Conversions_SF">#REF!</definedName>
    <definedName name="of_Conversions_SR" localSheetId="9">#REF!</definedName>
    <definedName name="of_Conversions_SR" localSheetId="13">#REF!</definedName>
    <definedName name="of_Conversions_SR" localSheetId="22">#REF!</definedName>
    <definedName name="of_Conversions_SR" localSheetId="16">#REF!</definedName>
    <definedName name="of_Conversions_SR" localSheetId="17">#REF!</definedName>
    <definedName name="of_Conversions_SR" localSheetId="15">#REF!</definedName>
    <definedName name="of_Conversions_SR" localSheetId="20">#REF!</definedName>
    <definedName name="of_Conversions_SR" localSheetId="18">#REF!</definedName>
    <definedName name="of_Conversions_SR" localSheetId="7">#REF!</definedName>
    <definedName name="of_Conversions_SR" localSheetId="0">#REF!</definedName>
    <definedName name="of_Conversions_SR">#REF!</definedName>
    <definedName name="of_Current_Business_Processes_AD" localSheetId="9">#REF!</definedName>
    <definedName name="of_Current_Business_Processes_AD" localSheetId="13">#REF!</definedName>
    <definedName name="of_Current_Business_Processes_AD" localSheetId="22">#REF!</definedName>
    <definedName name="of_Current_Business_Processes_AD" localSheetId="16">#REF!</definedName>
    <definedName name="of_Current_Business_Processes_AD" localSheetId="17">#REF!</definedName>
    <definedName name="of_Current_Business_Processes_AD" localSheetId="15">#REF!</definedName>
    <definedName name="of_Current_Business_Processes_AD" localSheetId="20">#REF!</definedName>
    <definedName name="of_Current_Business_Processes_AD" localSheetId="18">#REF!</definedName>
    <definedName name="of_Current_Business_Processes_AD" localSheetId="7">#REF!</definedName>
    <definedName name="of_Current_Business_Processes_AD" localSheetId="0">#REF!</definedName>
    <definedName name="of_Current_Business_Processes_AD">#REF!</definedName>
    <definedName name="of_Current_Business_Processes_FA" localSheetId="9">#REF!</definedName>
    <definedName name="of_Current_Business_Processes_FA" localSheetId="13">#REF!</definedName>
    <definedName name="of_Current_Business_Processes_FA" localSheetId="22">#REF!</definedName>
    <definedName name="of_Current_Business_Processes_FA" localSheetId="16">#REF!</definedName>
    <definedName name="of_Current_Business_Processes_FA" localSheetId="17">#REF!</definedName>
    <definedName name="of_Current_Business_Processes_FA" localSheetId="15">#REF!</definedName>
    <definedName name="of_Current_Business_Processes_FA" localSheetId="20">#REF!</definedName>
    <definedName name="of_Current_Business_Processes_FA" localSheetId="18">#REF!</definedName>
    <definedName name="of_Current_Business_Processes_FA" localSheetId="7">#REF!</definedName>
    <definedName name="of_Current_Business_Processes_FA" localSheetId="0">#REF!</definedName>
    <definedName name="of_Current_Business_Processes_FA">#REF!</definedName>
    <definedName name="of_Current_Business_Processes_SF" localSheetId="9">#REF!</definedName>
    <definedName name="of_Current_Business_Processes_SF" localSheetId="13">#REF!</definedName>
    <definedName name="of_Current_Business_Processes_SF" localSheetId="22">#REF!</definedName>
    <definedName name="of_Current_Business_Processes_SF" localSheetId="16">#REF!</definedName>
    <definedName name="of_Current_Business_Processes_SF" localSheetId="17">#REF!</definedName>
    <definedName name="of_Current_Business_Processes_SF" localSheetId="15">#REF!</definedName>
    <definedName name="of_Current_Business_Processes_SF" localSheetId="20">#REF!</definedName>
    <definedName name="of_Current_Business_Processes_SF" localSheetId="18">#REF!</definedName>
    <definedName name="of_Current_Business_Processes_SF" localSheetId="7">#REF!</definedName>
    <definedName name="of_Current_Business_Processes_SF" localSheetId="0">#REF!</definedName>
    <definedName name="of_Current_Business_Processes_SF">#REF!</definedName>
    <definedName name="of_Current_Business_Processes_SR" localSheetId="9">#REF!</definedName>
    <definedName name="of_Current_Business_Processes_SR" localSheetId="13">#REF!</definedName>
    <definedName name="of_Current_Business_Processes_SR" localSheetId="22">#REF!</definedName>
    <definedName name="of_Current_Business_Processes_SR" localSheetId="16">#REF!</definedName>
    <definedName name="of_Current_Business_Processes_SR" localSheetId="17">#REF!</definedName>
    <definedName name="of_Current_Business_Processes_SR" localSheetId="15">#REF!</definedName>
    <definedName name="of_Current_Business_Processes_SR" localSheetId="20">#REF!</definedName>
    <definedName name="of_Current_Business_Processes_SR" localSheetId="18">#REF!</definedName>
    <definedName name="of_Current_Business_Processes_SR" localSheetId="7">#REF!</definedName>
    <definedName name="of_Current_Business_Processes_SR" localSheetId="0">#REF!</definedName>
    <definedName name="of_Current_Business_Processes_SR">#REF!</definedName>
    <definedName name="of_Current_Interfaces_AD" localSheetId="9">#REF!</definedName>
    <definedName name="of_Current_Interfaces_AD" localSheetId="13">#REF!</definedName>
    <definedName name="of_Current_Interfaces_AD" localSheetId="22">#REF!</definedName>
    <definedName name="of_Current_Interfaces_AD" localSheetId="16">#REF!</definedName>
    <definedName name="of_Current_Interfaces_AD" localSheetId="17">#REF!</definedName>
    <definedName name="of_Current_Interfaces_AD" localSheetId="15">#REF!</definedName>
    <definedName name="of_Current_Interfaces_AD" localSheetId="20">#REF!</definedName>
    <definedName name="of_Current_Interfaces_AD" localSheetId="18">#REF!</definedName>
    <definedName name="of_Current_Interfaces_AD" localSheetId="7">#REF!</definedName>
    <definedName name="of_Current_Interfaces_AD" localSheetId="0">#REF!</definedName>
    <definedName name="of_Current_Interfaces_AD">#REF!</definedName>
    <definedName name="of_Current_Interfaces_FA" localSheetId="9">#REF!</definedName>
    <definedName name="of_Current_Interfaces_FA" localSheetId="13">#REF!</definedName>
    <definedName name="of_Current_Interfaces_FA" localSheetId="22">#REF!</definedName>
    <definedName name="of_Current_Interfaces_FA" localSheetId="16">#REF!</definedName>
    <definedName name="of_Current_Interfaces_FA" localSheetId="17">#REF!</definedName>
    <definedName name="of_Current_Interfaces_FA" localSheetId="15">#REF!</definedName>
    <definedName name="of_Current_Interfaces_FA" localSheetId="20">#REF!</definedName>
    <definedName name="of_Current_Interfaces_FA" localSheetId="18">#REF!</definedName>
    <definedName name="of_Current_Interfaces_FA" localSheetId="7">#REF!</definedName>
    <definedName name="of_Current_Interfaces_FA" localSheetId="0">#REF!</definedName>
    <definedName name="of_Current_Interfaces_FA">#REF!</definedName>
    <definedName name="of_Current_Interfaces_SF" localSheetId="9">#REF!</definedName>
    <definedName name="of_Current_Interfaces_SF" localSheetId="13">#REF!</definedName>
    <definedName name="of_Current_Interfaces_SF" localSheetId="22">#REF!</definedName>
    <definedName name="of_Current_Interfaces_SF" localSheetId="16">#REF!</definedName>
    <definedName name="of_Current_Interfaces_SF" localSheetId="17">#REF!</definedName>
    <definedName name="of_Current_Interfaces_SF" localSheetId="15">#REF!</definedName>
    <definedName name="of_Current_Interfaces_SF" localSheetId="20">#REF!</definedName>
    <definedName name="of_Current_Interfaces_SF" localSheetId="18">#REF!</definedName>
    <definedName name="of_Current_Interfaces_SF" localSheetId="7">#REF!</definedName>
    <definedName name="of_Current_Interfaces_SF" localSheetId="0">#REF!</definedName>
    <definedName name="of_Current_Interfaces_SF">#REF!</definedName>
    <definedName name="of_Current_Interfaces_SR" localSheetId="9">#REF!</definedName>
    <definedName name="of_Current_Interfaces_SR" localSheetId="13">#REF!</definedName>
    <definedName name="of_Current_Interfaces_SR" localSheetId="22">#REF!</definedName>
    <definedName name="of_Current_Interfaces_SR" localSheetId="16">#REF!</definedName>
    <definedName name="of_Current_Interfaces_SR" localSheetId="17">#REF!</definedName>
    <definedName name="of_Current_Interfaces_SR" localSheetId="15">#REF!</definedName>
    <definedName name="of_Current_Interfaces_SR" localSheetId="20">#REF!</definedName>
    <definedName name="of_Current_Interfaces_SR" localSheetId="18">#REF!</definedName>
    <definedName name="of_Current_Interfaces_SR" localSheetId="7">#REF!</definedName>
    <definedName name="of_Current_Interfaces_SR" localSheetId="0">#REF!</definedName>
    <definedName name="of_Current_Interfaces_SR">#REF!</definedName>
    <definedName name="of_Current_Systems_AD" localSheetId="9">#REF!</definedName>
    <definedName name="of_Current_Systems_AD" localSheetId="13">#REF!</definedName>
    <definedName name="of_Current_Systems_AD" localSheetId="22">#REF!</definedName>
    <definedName name="of_Current_Systems_AD" localSheetId="16">#REF!</definedName>
    <definedName name="of_Current_Systems_AD" localSheetId="17">#REF!</definedName>
    <definedName name="of_Current_Systems_AD" localSheetId="15">#REF!</definedName>
    <definedName name="of_Current_Systems_AD" localSheetId="20">#REF!</definedName>
    <definedName name="of_Current_Systems_AD" localSheetId="18">#REF!</definedName>
    <definedName name="of_Current_Systems_AD" localSheetId="7">#REF!</definedName>
    <definedName name="of_Current_Systems_AD" localSheetId="0">#REF!</definedName>
    <definedName name="of_Current_Systems_AD">#REF!</definedName>
    <definedName name="of_Current_Systems_FA" localSheetId="9">#REF!</definedName>
    <definedName name="of_Current_Systems_FA" localSheetId="13">#REF!</definedName>
    <definedName name="of_Current_Systems_FA" localSheetId="22">#REF!</definedName>
    <definedName name="of_Current_Systems_FA" localSheetId="16">#REF!</definedName>
    <definedName name="of_Current_Systems_FA" localSheetId="17">#REF!</definedName>
    <definedName name="of_Current_Systems_FA" localSheetId="15">#REF!</definedName>
    <definedName name="of_Current_Systems_FA" localSheetId="20">#REF!</definedName>
    <definedName name="of_Current_Systems_FA" localSheetId="18">#REF!</definedName>
    <definedName name="of_Current_Systems_FA" localSheetId="7">#REF!</definedName>
    <definedName name="of_Current_Systems_FA" localSheetId="0">#REF!</definedName>
    <definedName name="of_Current_Systems_FA">#REF!</definedName>
    <definedName name="of_Current_Systems_SF" localSheetId="9">#REF!</definedName>
    <definedName name="of_Current_Systems_SF" localSheetId="13">#REF!</definedName>
    <definedName name="of_Current_Systems_SF" localSheetId="22">#REF!</definedName>
    <definedName name="of_Current_Systems_SF" localSheetId="16">#REF!</definedName>
    <definedName name="of_Current_Systems_SF" localSheetId="17">#REF!</definedName>
    <definedName name="of_Current_Systems_SF" localSheetId="15">#REF!</definedName>
    <definedName name="of_Current_Systems_SF" localSheetId="20">#REF!</definedName>
    <definedName name="of_Current_Systems_SF" localSheetId="18">#REF!</definedName>
    <definedName name="of_Current_Systems_SF" localSheetId="7">#REF!</definedName>
    <definedName name="of_Current_Systems_SF" localSheetId="0">#REF!</definedName>
    <definedName name="of_Current_Systems_SF">#REF!</definedName>
    <definedName name="of_Current_Systems_SR" localSheetId="9">#REF!</definedName>
    <definedName name="of_Current_Systems_SR" localSheetId="13">#REF!</definedName>
    <definedName name="of_Current_Systems_SR" localSheetId="22">#REF!</definedName>
    <definedName name="of_Current_Systems_SR" localSheetId="16">#REF!</definedName>
    <definedName name="of_Current_Systems_SR" localSheetId="17">#REF!</definedName>
    <definedName name="of_Current_Systems_SR" localSheetId="15">#REF!</definedName>
    <definedName name="of_Current_Systems_SR" localSheetId="20">#REF!</definedName>
    <definedName name="of_Current_Systems_SR" localSheetId="18">#REF!</definedName>
    <definedName name="of_Current_Systems_SR" localSheetId="7">#REF!</definedName>
    <definedName name="of_Current_Systems_SR" localSheetId="0">#REF!</definedName>
    <definedName name="of_Current_Systems_SR">#REF!</definedName>
    <definedName name="of_Custom_Forms_AD" localSheetId="9">#REF!</definedName>
    <definedName name="of_Custom_Forms_AD" localSheetId="13">#REF!</definedName>
    <definedName name="of_Custom_Forms_AD" localSheetId="22">#REF!</definedName>
    <definedName name="of_Custom_Forms_AD" localSheetId="16">#REF!</definedName>
    <definedName name="of_Custom_Forms_AD" localSheetId="17">#REF!</definedName>
    <definedName name="of_Custom_Forms_AD" localSheetId="15">#REF!</definedName>
    <definedName name="of_Custom_Forms_AD" localSheetId="20">#REF!</definedName>
    <definedName name="of_Custom_Forms_AD" localSheetId="18">#REF!</definedName>
    <definedName name="of_Custom_Forms_AD" localSheetId="7">#REF!</definedName>
    <definedName name="of_Custom_Forms_AD" localSheetId="0">#REF!</definedName>
    <definedName name="of_Custom_Forms_AD">#REF!</definedName>
    <definedName name="of_Custom_Forms_FA" localSheetId="9">#REF!</definedName>
    <definedName name="of_Custom_Forms_FA" localSheetId="13">#REF!</definedName>
    <definedName name="of_Custom_Forms_FA" localSheetId="22">#REF!</definedName>
    <definedName name="of_Custom_Forms_FA" localSheetId="16">#REF!</definedName>
    <definedName name="of_Custom_Forms_FA" localSheetId="17">#REF!</definedName>
    <definedName name="of_Custom_Forms_FA" localSheetId="15">#REF!</definedName>
    <definedName name="of_Custom_Forms_FA" localSheetId="20">#REF!</definedName>
    <definedName name="of_Custom_Forms_FA" localSheetId="18">#REF!</definedName>
    <definedName name="of_Custom_Forms_FA" localSheetId="7">#REF!</definedName>
    <definedName name="of_Custom_Forms_FA" localSheetId="0">#REF!</definedName>
    <definedName name="of_Custom_Forms_FA">#REF!</definedName>
    <definedName name="of_Custom_Forms_SF" localSheetId="9">#REF!</definedName>
    <definedName name="of_Custom_Forms_SF" localSheetId="13">#REF!</definedName>
    <definedName name="of_Custom_Forms_SF" localSheetId="22">#REF!</definedName>
    <definedName name="of_Custom_Forms_SF" localSheetId="16">#REF!</definedName>
    <definedName name="of_Custom_Forms_SF" localSheetId="17">#REF!</definedName>
    <definedName name="of_Custom_Forms_SF" localSheetId="15">#REF!</definedName>
    <definedName name="of_Custom_Forms_SF" localSheetId="20">#REF!</definedName>
    <definedName name="of_Custom_Forms_SF" localSheetId="18">#REF!</definedName>
    <definedName name="of_Custom_Forms_SF" localSheetId="7">#REF!</definedName>
    <definedName name="of_Custom_Forms_SF" localSheetId="0">#REF!</definedName>
    <definedName name="of_Custom_Forms_SF">#REF!</definedName>
    <definedName name="of_Custom_Forms_SR" localSheetId="9">#REF!</definedName>
    <definedName name="of_Custom_Forms_SR" localSheetId="13">#REF!</definedName>
    <definedName name="of_Custom_Forms_SR" localSheetId="22">#REF!</definedName>
    <definedName name="of_Custom_Forms_SR" localSheetId="16">#REF!</definedName>
    <definedName name="of_Custom_Forms_SR" localSheetId="17">#REF!</definedName>
    <definedName name="of_Custom_Forms_SR" localSheetId="15">#REF!</definedName>
    <definedName name="of_Custom_Forms_SR" localSheetId="20">#REF!</definedName>
    <definedName name="of_Custom_Forms_SR" localSheetId="18">#REF!</definedName>
    <definedName name="of_Custom_Forms_SR" localSheetId="7">#REF!</definedName>
    <definedName name="of_Custom_Forms_SR" localSheetId="0">#REF!</definedName>
    <definedName name="of_Custom_Forms_SR">#REF!</definedName>
    <definedName name="of_Custom_Menus_AD" localSheetId="9">#REF!</definedName>
    <definedName name="of_Custom_Menus_AD" localSheetId="13">#REF!</definedName>
    <definedName name="of_Custom_Menus_AD" localSheetId="22">#REF!</definedName>
    <definedName name="of_Custom_Menus_AD" localSheetId="16">#REF!</definedName>
    <definedName name="of_Custom_Menus_AD" localSheetId="17">#REF!</definedName>
    <definedName name="of_Custom_Menus_AD" localSheetId="15">#REF!</definedName>
    <definedName name="of_Custom_Menus_AD" localSheetId="20">#REF!</definedName>
    <definedName name="of_Custom_Menus_AD" localSheetId="18">#REF!</definedName>
    <definedName name="of_Custom_Menus_AD" localSheetId="7">#REF!</definedName>
    <definedName name="of_Custom_Menus_AD" localSheetId="0">#REF!</definedName>
    <definedName name="of_Custom_Menus_AD">#REF!</definedName>
    <definedName name="of_Custom_Menus_FA" localSheetId="9">#REF!</definedName>
    <definedName name="of_Custom_Menus_FA" localSheetId="13">#REF!</definedName>
    <definedName name="of_Custom_Menus_FA" localSheetId="22">#REF!</definedName>
    <definedName name="of_Custom_Menus_FA" localSheetId="16">#REF!</definedName>
    <definedName name="of_Custom_Menus_FA" localSheetId="17">#REF!</definedName>
    <definedName name="of_Custom_Menus_FA" localSheetId="15">#REF!</definedName>
    <definedName name="of_Custom_Menus_FA" localSheetId="20">#REF!</definedName>
    <definedName name="of_Custom_Menus_FA" localSheetId="18">#REF!</definedName>
    <definedName name="of_Custom_Menus_FA" localSheetId="7">#REF!</definedName>
    <definedName name="of_Custom_Menus_FA" localSheetId="0">#REF!</definedName>
    <definedName name="of_Custom_Menus_FA">#REF!</definedName>
    <definedName name="of_Custom_Menus_SF" localSheetId="9">#REF!</definedName>
    <definedName name="of_Custom_Menus_SF" localSheetId="13">#REF!</definedName>
    <definedName name="of_Custom_Menus_SF" localSheetId="22">#REF!</definedName>
    <definedName name="of_Custom_Menus_SF" localSheetId="16">#REF!</definedName>
    <definedName name="of_Custom_Menus_SF" localSheetId="17">#REF!</definedName>
    <definedName name="of_Custom_Menus_SF" localSheetId="15">#REF!</definedName>
    <definedName name="of_Custom_Menus_SF" localSheetId="20">#REF!</definedName>
    <definedName name="of_Custom_Menus_SF" localSheetId="18">#REF!</definedName>
    <definedName name="of_Custom_Menus_SF" localSheetId="7">#REF!</definedName>
    <definedName name="of_Custom_Menus_SF" localSheetId="0">#REF!</definedName>
    <definedName name="of_Custom_Menus_SF">#REF!</definedName>
    <definedName name="of_Custom_Menus_SR" localSheetId="9">#REF!</definedName>
    <definedName name="of_Custom_Menus_SR" localSheetId="13">#REF!</definedName>
    <definedName name="of_Custom_Menus_SR" localSheetId="22">#REF!</definedName>
    <definedName name="of_Custom_Menus_SR" localSheetId="16">#REF!</definedName>
    <definedName name="of_Custom_Menus_SR" localSheetId="17">#REF!</definedName>
    <definedName name="of_Custom_Menus_SR" localSheetId="15">#REF!</definedName>
    <definedName name="of_Custom_Menus_SR" localSheetId="20">#REF!</definedName>
    <definedName name="of_Custom_Menus_SR" localSheetId="18">#REF!</definedName>
    <definedName name="of_Custom_Menus_SR" localSheetId="7">#REF!</definedName>
    <definedName name="of_Custom_Menus_SR" localSheetId="0">#REF!</definedName>
    <definedName name="of_Custom_Menus_SR">#REF!</definedName>
    <definedName name="of_Custom_Panel_Groups_AD" localSheetId="9">#REF!</definedName>
    <definedName name="of_Custom_Panel_Groups_AD" localSheetId="13">#REF!</definedName>
    <definedName name="of_Custom_Panel_Groups_AD" localSheetId="22">#REF!</definedName>
    <definedName name="of_Custom_Panel_Groups_AD" localSheetId="16">#REF!</definedName>
    <definedName name="of_Custom_Panel_Groups_AD" localSheetId="17">#REF!</definedName>
    <definedName name="of_Custom_Panel_Groups_AD" localSheetId="15">#REF!</definedName>
    <definedName name="of_Custom_Panel_Groups_AD" localSheetId="20">#REF!</definedName>
    <definedName name="of_Custom_Panel_Groups_AD" localSheetId="18">#REF!</definedName>
    <definedName name="of_Custom_Panel_Groups_AD" localSheetId="7">#REF!</definedName>
    <definedName name="of_Custom_Panel_Groups_AD" localSheetId="0">#REF!</definedName>
    <definedName name="of_Custom_Panel_Groups_AD">#REF!</definedName>
    <definedName name="of_Custom_Panel_Groups_FA" localSheetId="9">#REF!</definedName>
    <definedName name="of_Custom_Panel_Groups_FA" localSheetId="13">#REF!</definedName>
    <definedName name="of_Custom_Panel_Groups_FA" localSheetId="22">#REF!</definedName>
    <definedName name="of_Custom_Panel_Groups_FA" localSheetId="16">#REF!</definedName>
    <definedName name="of_Custom_Panel_Groups_FA" localSheetId="17">#REF!</definedName>
    <definedName name="of_Custom_Panel_Groups_FA" localSheetId="15">#REF!</definedName>
    <definedName name="of_Custom_Panel_Groups_FA" localSheetId="20">#REF!</definedName>
    <definedName name="of_Custom_Panel_Groups_FA" localSheetId="18">#REF!</definedName>
    <definedName name="of_Custom_Panel_Groups_FA" localSheetId="7">#REF!</definedName>
    <definedName name="of_Custom_Panel_Groups_FA" localSheetId="0">#REF!</definedName>
    <definedName name="of_Custom_Panel_Groups_FA">#REF!</definedName>
    <definedName name="of_Custom_Panel_Groups_SF" localSheetId="9">#REF!</definedName>
    <definedName name="of_Custom_Panel_Groups_SF" localSheetId="13">#REF!</definedName>
    <definedName name="of_Custom_Panel_Groups_SF" localSheetId="22">#REF!</definedName>
    <definedName name="of_Custom_Panel_Groups_SF" localSheetId="16">#REF!</definedName>
    <definedName name="of_Custom_Panel_Groups_SF" localSheetId="17">#REF!</definedName>
    <definedName name="of_Custom_Panel_Groups_SF" localSheetId="15">#REF!</definedName>
    <definedName name="of_Custom_Panel_Groups_SF" localSheetId="20">#REF!</definedName>
    <definedName name="of_Custom_Panel_Groups_SF" localSheetId="18">#REF!</definedName>
    <definedName name="of_Custom_Panel_Groups_SF" localSheetId="7">#REF!</definedName>
    <definedName name="of_Custom_Panel_Groups_SF" localSheetId="0">#REF!</definedName>
    <definedName name="of_Custom_Panel_Groups_SF">#REF!</definedName>
    <definedName name="of_Custom_Panel_Groups_SR" localSheetId="9">#REF!</definedName>
    <definedName name="of_Custom_Panel_Groups_SR" localSheetId="13">#REF!</definedName>
    <definedName name="of_Custom_Panel_Groups_SR" localSheetId="22">#REF!</definedName>
    <definedName name="of_Custom_Panel_Groups_SR" localSheetId="16">#REF!</definedName>
    <definedName name="of_Custom_Panel_Groups_SR" localSheetId="17">#REF!</definedName>
    <definedName name="of_Custom_Panel_Groups_SR" localSheetId="15">#REF!</definedName>
    <definedName name="of_Custom_Panel_Groups_SR" localSheetId="20">#REF!</definedName>
    <definedName name="of_Custom_Panel_Groups_SR" localSheetId="18">#REF!</definedName>
    <definedName name="of_Custom_Panel_Groups_SR" localSheetId="7">#REF!</definedName>
    <definedName name="of_Custom_Panel_Groups_SR" localSheetId="0">#REF!</definedName>
    <definedName name="of_Custom_Panel_Groups_SR">#REF!</definedName>
    <definedName name="of_Custom_Reports_AD" localSheetId="9">#REF!</definedName>
    <definedName name="of_Custom_Reports_AD" localSheetId="13">#REF!</definedName>
    <definedName name="of_Custom_Reports_AD" localSheetId="22">#REF!</definedName>
    <definedName name="of_Custom_Reports_AD" localSheetId="16">#REF!</definedName>
    <definedName name="of_Custom_Reports_AD" localSheetId="17">#REF!</definedName>
    <definedName name="of_Custom_Reports_AD" localSheetId="15">#REF!</definedName>
    <definedName name="of_Custom_Reports_AD" localSheetId="20">#REF!</definedName>
    <definedName name="of_Custom_Reports_AD" localSheetId="18">#REF!</definedName>
    <definedName name="of_Custom_Reports_AD" localSheetId="7">#REF!</definedName>
    <definedName name="of_Custom_Reports_AD" localSheetId="0">#REF!</definedName>
    <definedName name="of_Custom_Reports_AD">#REF!</definedName>
    <definedName name="of_Custom_Reports_FA" localSheetId="9">#REF!</definedName>
    <definedName name="of_Custom_Reports_FA" localSheetId="13">#REF!</definedName>
    <definedName name="of_Custom_Reports_FA" localSheetId="22">#REF!</definedName>
    <definedName name="of_Custom_Reports_FA" localSheetId="16">#REF!</definedName>
    <definedName name="of_Custom_Reports_FA" localSheetId="17">#REF!</definedName>
    <definedName name="of_Custom_Reports_FA" localSheetId="15">#REF!</definedName>
    <definedName name="of_Custom_Reports_FA" localSheetId="20">#REF!</definedName>
    <definedName name="of_Custom_Reports_FA" localSheetId="18">#REF!</definedName>
    <definedName name="of_Custom_Reports_FA" localSheetId="7">#REF!</definedName>
    <definedName name="of_Custom_Reports_FA" localSheetId="0">#REF!</definedName>
    <definedName name="of_Custom_Reports_FA">#REF!</definedName>
    <definedName name="of_Custom_Reports_SF" localSheetId="9">#REF!</definedName>
    <definedName name="of_Custom_Reports_SF" localSheetId="13">#REF!</definedName>
    <definedName name="of_Custom_Reports_SF" localSheetId="22">#REF!</definedName>
    <definedName name="of_Custom_Reports_SF" localSheetId="16">#REF!</definedName>
    <definedName name="of_Custom_Reports_SF" localSheetId="17">#REF!</definedName>
    <definedName name="of_Custom_Reports_SF" localSheetId="15">#REF!</definedName>
    <definedName name="of_Custom_Reports_SF" localSheetId="20">#REF!</definedName>
    <definedName name="of_Custom_Reports_SF" localSheetId="18">#REF!</definedName>
    <definedName name="of_Custom_Reports_SF" localSheetId="7">#REF!</definedName>
    <definedName name="of_Custom_Reports_SF" localSheetId="0">#REF!</definedName>
    <definedName name="of_Custom_Reports_SF">#REF!</definedName>
    <definedName name="of_Custom_Reports_SR" localSheetId="9">#REF!</definedName>
    <definedName name="of_Custom_Reports_SR" localSheetId="13">#REF!</definedName>
    <definedName name="of_Custom_Reports_SR" localSheetId="22">#REF!</definedName>
    <definedName name="of_Custom_Reports_SR" localSheetId="16">#REF!</definedName>
    <definedName name="of_Custom_Reports_SR" localSheetId="17">#REF!</definedName>
    <definedName name="of_Custom_Reports_SR" localSheetId="15">#REF!</definedName>
    <definedName name="of_Custom_Reports_SR" localSheetId="20">#REF!</definedName>
    <definedName name="of_Custom_Reports_SR" localSheetId="18">#REF!</definedName>
    <definedName name="of_Custom_Reports_SR" localSheetId="7">#REF!</definedName>
    <definedName name="of_Custom_Reports_SR" localSheetId="0">#REF!</definedName>
    <definedName name="of_Custom_Reports_SR">#REF!</definedName>
    <definedName name="of_Design_Duration_AD" localSheetId="9">#REF!</definedName>
    <definedName name="of_Design_Duration_AD" localSheetId="13">#REF!</definedName>
    <definedName name="of_Design_Duration_AD" localSheetId="22">#REF!</definedName>
    <definedName name="of_Design_Duration_AD" localSheetId="16">#REF!</definedName>
    <definedName name="of_Design_Duration_AD" localSheetId="17">#REF!</definedName>
    <definedName name="of_Design_Duration_AD" localSheetId="15">#REF!</definedName>
    <definedName name="of_Design_Duration_AD" localSheetId="20">#REF!</definedName>
    <definedName name="of_Design_Duration_AD" localSheetId="18">#REF!</definedName>
    <definedName name="of_Design_Duration_AD" localSheetId="7">#REF!</definedName>
    <definedName name="of_Design_Duration_AD" localSheetId="0">#REF!</definedName>
    <definedName name="of_Design_Duration_AD">#REF!</definedName>
    <definedName name="of_Design_Duration_FA" localSheetId="9">#REF!</definedName>
    <definedName name="of_Design_Duration_FA" localSheetId="13">#REF!</definedName>
    <definedName name="of_Design_Duration_FA" localSheetId="22">#REF!</definedName>
    <definedName name="of_Design_Duration_FA" localSheetId="16">#REF!</definedName>
    <definedName name="of_Design_Duration_FA" localSheetId="17">#REF!</definedName>
    <definedName name="of_Design_Duration_FA" localSheetId="15">#REF!</definedName>
    <definedName name="of_Design_Duration_FA" localSheetId="20">#REF!</definedName>
    <definedName name="of_Design_Duration_FA" localSheetId="18">#REF!</definedName>
    <definedName name="of_Design_Duration_FA" localSheetId="7">#REF!</definedName>
    <definedName name="of_Design_Duration_FA" localSheetId="0">#REF!</definedName>
    <definedName name="of_Design_Duration_FA">#REF!</definedName>
    <definedName name="of_Design_Duration_SF" localSheetId="9">#REF!</definedName>
    <definedName name="of_Design_Duration_SF" localSheetId="13">#REF!</definedName>
    <definedName name="of_Design_Duration_SF" localSheetId="22">#REF!</definedName>
    <definedName name="of_Design_Duration_SF" localSheetId="16">#REF!</definedName>
    <definedName name="of_Design_Duration_SF" localSheetId="17">#REF!</definedName>
    <definedName name="of_Design_Duration_SF" localSheetId="15">#REF!</definedName>
    <definedName name="of_Design_Duration_SF" localSheetId="20">#REF!</definedName>
    <definedName name="of_Design_Duration_SF" localSheetId="18">#REF!</definedName>
    <definedName name="of_Design_Duration_SF" localSheetId="7">#REF!</definedName>
    <definedName name="of_Design_Duration_SF" localSheetId="0">#REF!</definedName>
    <definedName name="of_Design_Duration_SF">#REF!</definedName>
    <definedName name="of_Design_Duration_SR" localSheetId="9">#REF!</definedName>
    <definedName name="of_Design_Duration_SR" localSheetId="13">#REF!</definedName>
    <definedName name="of_Design_Duration_SR" localSheetId="22">#REF!</definedName>
    <definedName name="of_Design_Duration_SR" localSheetId="16">#REF!</definedName>
    <definedName name="of_Design_Duration_SR" localSheetId="17">#REF!</definedName>
    <definedName name="of_Design_Duration_SR" localSheetId="15">#REF!</definedName>
    <definedName name="of_Design_Duration_SR" localSheetId="20">#REF!</definedName>
    <definedName name="of_Design_Duration_SR" localSheetId="18">#REF!</definedName>
    <definedName name="of_Design_Duration_SR" localSheetId="7">#REF!</definedName>
    <definedName name="of_Design_Duration_SR" localSheetId="0">#REF!</definedName>
    <definedName name="of_Design_Duration_SR">#REF!</definedName>
    <definedName name="of_Design_Team_Members_AD" localSheetId="9">#REF!</definedName>
    <definedName name="of_Design_Team_Members_AD" localSheetId="13">#REF!</definedName>
    <definedName name="of_Design_Team_Members_AD" localSheetId="22">#REF!</definedName>
    <definedName name="of_Design_Team_Members_AD" localSheetId="16">#REF!</definedName>
    <definedName name="of_Design_Team_Members_AD" localSheetId="17">#REF!</definedName>
    <definedName name="of_Design_Team_Members_AD" localSheetId="15">#REF!</definedName>
    <definedName name="of_Design_Team_Members_AD" localSheetId="20">#REF!</definedName>
    <definedName name="of_Design_Team_Members_AD" localSheetId="18">#REF!</definedName>
    <definedName name="of_Design_Team_Members_AD" localSheetId="7">#REF!</definedName>
    <definedName name="of_Design_Team_Members_AD" localSheetId="0">#REF!</definedName>
    <definedName name="of_Design_Team_Members_AD">#REF!</definedName>
    <definedName name="of_Design_Team_Members_FA" localSheetId="9">#REF!</definedName>
    <definedName name="of_Design_Team_Members_FA" localSheetId="13">#REF!</definedName>
    <definedName name="of_Design_Team_Members_FA" localSheetId="22">#REF!</definedName>
    <definedName name="of_Design_Team_Members_FA" localSheetId="16">#REF!</definedName>
    <definedName name="of_Design_Team_Members_FA" localSheetId="17">#REF!</definedName>
    <definedName name="of_Design_Team_Members_FA" localSheetId="15">#REF!</definedName>
    <definedName name="of_Design_Team_Members_FA" localSheetId="20">#REF!</definedName>
    <definedName name="of_Design_Team_Members_FA" localSheetId="18">#REF!</definedName>
    <definedName name="of_Design_Team_Members_FA" localSheetId="7">#REF!</definedName>
    <definedName name="of_Design_Team_Members_FA" localSheetId="0">#REF!</definedName>
    <definedName name="of_Design_Team_Members_FA">#REF!</definedName>
    <definedName name="of_Design_Team_Members_SF" localSheetId="9">#REF!</definedName>
    <definedName name="of_Design_Team_Members_SF" localSheetId="13">#REF!</definedName>
    <definedName name="of_Design_Team_Members_SF" localSheetId="22">#REF!</definedName>
    <definedName name="of_Design_Team_Members_SF" localSheetId="16">#REF!</definedName>
    <definedName name="of_Design_Team_Members_SF" localSheetId="17">#REF!</definedName>
    <definedName name="of_Design_Team_Members_SF" localSheetId="15">#REF!</definedName>
    <definedName name="of_Design_Team_Members_SF" localSheetId="20">#REF!</definedName>
    <definedName name="of_Design_Team_Members_SF" localSheetId="18">#REF!</definedName>
    <definedName name="of_Design_Team_Members_SF" localSheetId="7">#REF!</definedName>
    <definedName name="of_Design_Team_Members_SF" localSheetId="0">#REF!</definedName>
    <definedName name="of_Design_Team_Members_SF">#REF!</definedName>
    <definedName name="of_Design_Team_Members_SR" localSheetId="9">#REF!</definedName>
    <definedName name="of_Design_Team_Members_SR" localSheetId="13">#REF!</definedName>
    <definedName name="of_Design_Team_Members_SR" localSheetId="22">#REF!</definedName>
    <definedName name="of_Design_Team_Members_SR" localSheetId="16">#REF!</definedName>
    <definedName name="of_Design_Team_Members_SR" localSheetId="17">#REF!</definedName>
    <definedName name="of_Design_Team_Members_SR" localSheetId="15">#REF!</definedName>
    <definedName name="of_Design_Team_Members_SR" localSheetId="20">#REF!</definedName>
    <definedName name="of_Design_Team_Members_SR" localSheetId="18">#REF!</definedName>
    <definedName name="of_Design_Team_Members_SR" localSheetId="7">#REF!</definedName>
    <definedName name="of_Design_Team_Members_SR" localSheetId="0">#REF!</definedName>
    <definedName name="of_Design_Team_Members_SR">#REF!</definedName>
    <definedName name="of_Files_Tables_Convert_AD" localSheetId="9">#REF!</definedName>
    <definedName name="of_Files_Tables_Convert_AD" localSheetId="13">#REF!</definedName>
    <definedName name="of_Files_Tables_Convert_AD" localSheetId="22">#REF!</definedName>
    <definedName name="of_Files_Tables_Convert_AD" localSheetId="16">#REF!</definedName>
    <definedName name="of_Files_Tables_Convert_AD" localSheetId="17">#REF!</definedName>
    <definedName name="of_Files_Tables_Convert_AD" localSheetId="15">#REF!</definedName>
    <definedName name="of_Files_Tables_Convert_AD" localSheetId="20">#REF!</definedName>
    <definedName name="of_Files_Tables_Convert_AD" localSheetId="18">#REF!</definedName>
    <definedName name="of_Files_Tables_Convert_AD" localSheetId="7">#REF!</definedName>
    <definedName name="of_Files_Tables_Convert_AD" localSheetId="0">#REF!</definedName>
    <definedName name="of_Files_Tables_Convert_AD">#REF!</definedName>
    <definedName name="of_Files_Tables_Convert_FA" localSheetId="9">#REF!</definedName>
    <definedName name="of_Files_Tables_Convert_FA" localSheetId="13">#REF!</definedName>
    <definedName name="of_Files_Tables_Convert_FA" localSheetId="22">#REF!</definedName>
    <definedName name="of_Files_Tables_Convert_FA" localSheetId="16">#REF!</definedName>
    <definedName name="of_Files_Tables_Convert_FA" localSheetId="17">#REF!</definedName>
    <definedName name="of_Files_Tables_Convert_FA" localSheetId="15">#REF!</definedName>
    <definedName name="of_Files_Tables_Convert_FA" localSheetId="20">#REF!</definedName>
    <definedName name="of_Files_Tables_Convert_FA" localSheetId="18">#REF!</definedName>
    <definedName name="of_Files_Tables_Convert_FA" localSheetId="7">#REF!</definedName>
    <definedName name="of_Files_Tables_Convert_FA" localSheetId="0">#REF!</definedName>
    <definedName name="of_Files_Tables_Convert_FA">#REF!</definedName>
    <definedName name="of_Files_Tables_Convert_SF" localSheetId="9">#REF!</definedName>
    <definedName name="of_Files_Tables_Convert_SF" localSheetId="13">#REF!</definedName>
    <definedName name="of_Files_Tables_Convert_SF" localSheetId="22">#REF!</definedName>
    <definedName name="of_Files_Tables_Convert_SF" localSheetId="16">#REF!</definedName>
    <definedName name="of_Files_Tables_Convert_SF" localSheetId="17">#REF!</definedName>
    <definedName name="of_Files_Tables_Convert_SF" localSheetId="15">#REF!</definedName>
    <definedName name="of_Files_Tables_Convert_SF" localSheetId="20">#REF!</definedName>
    <definedName name="of_Files_Tables_Convert_SF" localSheetId="18">#REF!</definedName>
    <definedName name="of_Files_Tables_Convert_SF" localSheetId="7">#REF!</definedName>
    <definedName name="of_Files_Tables_Convert_SF" localSheetId="0">#REF!</definedName>
    <definedName name="of_Files_Tables_Convert_SF">#REF!</definedName>
    <definedName name="of_Files_Tables_Convert_SR" localSheetId="9">#REF!</definedName>
    <definedName name="of_Files_Tables_Convert_SR" localSheetId="13">#REF!</definedName>
    <definedName name="of_Files_Tables_Convert_SR" localSheetId="22">#REF!</definedName>
    <definedName name="of_Files_Tables_Convert_SR" localSheetId="16">#REF!</definedName>
    <definedName name="of_Files_Tables_Convert_SR" localSheetId="17">#REF!</definedName>
    <definedName name="of_Files_Tables_Convert_SR" localSheetId="15">#REF!</definedName>
    <definedName name="of_Files_Tables_Convert_SR" localSheetId="20">#REF!</definedName>
    <definedName name="of_Files_Tables_Convert_SR" localSheetId="18">#REF!</definedName>
    <definedName name="of_Files_Tables_Convert_SR" localSheetId="7">#REF!</definedName>
    <definedName name="of_Files_Tables_Convert_SR" localSheetId="0">#REF!</definedName>
    <definedName name="of_Files_Tables_Convert_SR">#REF!</definedName>
    <definedName name="of_Functional_Teams_AD" localSheetId="9">#REF!</definedName>
    <definedName name="of_Functional_Teams_AD" localSheetId="13">#REF!</definedName>
    <definedName name="of_Functional_Teams_AD" localSheetId="22">#REF!</definedName>
    <definedName name="of_Functional_Teams_AD" localSheetId="16">#REF!</definedName>
    <definedName name="of_Functional_Teams_AD" localSheetId="17">#REF!</definedName>
    <definedName name="of_Functional_Teams_AD" localSheetId="15">#REF!</definedName>
    <definedName name="of_Functional_Teams_AD" localSheetId="20">#REF!</definedName>
    <definedName name="of_Functional_Teams_AD" localSheetId="18">#REF!</definedName>
    <definedName name="of_Functional_Teams_AD" localSheetId="7">#REF!</definedName>
    <definedName name="of_Functional_Teams_AD" localSheetId="0">#REF!</definedName>
    <definedName name="of_Functional_Teams_AD">#REF!</definedName>
    <definedName name="of_Functional_Teams_FA" localSheetId="9">#REF!</definedName>
    <definedName name="of_Functional_Teams_FA" localSheetId="13">#REF!</definedName>
    <definedName name="of_Functional_Teams_FA" localSheetId="22">#REF!</definedName>
    <definedName name="of_Functional_Teams_FA" localSheetId="16">#REF!</definedName>
    <definedName name="of_Functional_Teams_FA" localSheetId="17">#REF!</definedName>
    <definedName name="of_Functional_Teams_FA" localSheetId="15">#REF!</definedName>
    <definedName name="of_Functional_Teams_FA" localSheetId="20">#REF!</definedName>
    <definedName name="of_Functional_Teams_FA" localSheetId="18">#REF!</definedName>
    <definedName name="of_Functional_Teams_FA" localSheetId="7">#REF!</definedName>
    <definedName name="of_Functional_Teams_FA" localSheetId="0">#REF!</definedName>
    <definedName name="of_Functional_Teams_FA">#REF!</definedName>
    <definedName name="of_Functional_Teams_SF" localSheetId="9">#REF!</definedName>
    <definedName name="of_Functional_Teams_SF" localSheetId="13">#REF!</definedName>
    <definedName name="of_Functional_Teams_SF" localSheetId="22">#REF!</definedName>
    <definedName name="of_Functional_Teams_SF" localSheetId="16">#REF!</definedName>
    <definedName name="of_Functional_Teams_SF" localSheetId="17">#REF!</definedName>
    <definedName name="of_Functional_Teams_SF" localSheetId="15">#REF!</definedName>
    <definedName name="of_Functional_Teams_SF" localSheetId="20">#REF!</definedName>
    <definedName name="of_Functional_Teams_SF" localSheetId="18">#REF!</definedName>
    <definedName name="of_Functional_Teams_SF" localSheetId="7">#REF!</definedName>
    <definedName name="of_Functional_Teams_SF" localSheetId="0">#REF!</definedName>
    <definedName name="of_Functional_Teams_SF">#REF!</definedName>
    <definedName name="of_Functional_Teams_SR" localSheetId="9">#REF!</definedName>
    <definedName name="of_Functional_Teams_SR" localSheetId="13">#REF!</definedName>
    <definedName name="of_Functional_Teams_SR" localSheetId="22">#REF!</definedName>
    <definedName name="of_Functional_Teams_SR" localSheetId="16">#REF!</definedName>
    <definedName name="of_Functional_Teams_SR" localSheetId="17">#REF!</definedName>
    <definedName name="of_Functional_Teams_SR" localSheetId="15">#REF!</definedName>
    <definedName name="of_Functional_Teams_SR" localSheetId="20">#REF!</definedName>
    <definedName name="of_Functional_Teams_SR" localSheetId="18">#REF!</definedName>
    <definedName name="of_Functional_Teams_SR" localSheetId="7">#REF!</definedName>
    <definedName name="of_Functional_Teams_SR" localSheetId="0">#REF!</definedName>
    <definedName name="of_Functional_Teams_SR">#REF!</definedName>
    <definedName name="of_Future_Business_Processes_AD" localSheetId="9">#REF!</definedName>
    <definedName name="of_Future_Business_Processes_AD" localSheetId="13">#REF!</definedName>
    <definedName name="of_Future_Business_Processes_AD" localSheetId="22">#REF!</definedName>
    <definedName name="of_Future_Business_Processes_AD" localSheetId="16">#REF!</definedName>
    <definedName name="of_Future_Business_Processes_AD" localSheetId="17">#REF!</definedName>
    <definedName name="of_Future_Business_Processes_AD" localSheetId="15">#REF!</definedName>
    <definedName name="of_Future_Business_Processes_AD" localSheetId="20">#REF!</definedName>
    <definedName name="of_Future_Business_Processes_AD" localSheetId="18">#REF!</definedName>
    <definedName name="of_Future_Business_Processes_AD" localSheetId="7">#REF!</definedName>
    <definedName name="of_Future_Business_Processes_AD" localSheetId="0">#REF!</definedName>
    <definedName name="of_Future_Business_Processes_AD">#REF!</definedName>
    <definedName name="of_Future_Business_Processes_FA" localSheetId="9">#REF!</definedName>
    <definedName name="of_Future_Business_Processes_FA" localSheetId="13">#REF!</definedName>
    <definedName name="of_Future_Business_Processes_FA" localSheetId="22">#REF!</definedName>
    <definedName name="of_Future_Business_Processes_FA" localSheetId="16">#REF!</definedName>
    <definedName name="of_Future_Business_Processes_FA" localSheetId="17">#REF!</definedName>
    <definedName name="of_Future_Business_Processes_FA" localSheetId="15">#REF!</definedName>
    <definedName name="of_Future_Business_Processes_FA" localSheetId="20">#REF!</definedName>
    <definedName name="of_Future_Business_Processes_FA" localSheetId="18">#REF!</definedName>
    <definedName name="of_Future_Business_Processes_FA" localSheetId="7">#REF!</definedName>
    <definedName name="of_Future_Business_Processes_FA" localSheetId="0">#REF!</definedName>
    <definedName name="of_Future_Business_Processes_FA">#REF!</definedName>
    <definedName name="of_Future_Business_Processes_SF" localSheetId="9">#REF!</definedName>
    <definedName name="of_Future_Business_Processes_SF" localSheetId="13">#REF!</definedName>
    <definedName name="of_Future_Business_Processes_SF" localSheetId="22">#REF!</definedName>
    <definedName name="of_Future_Business_Processes_SF" localSheetId="16">#REF!</definedName>
    <definedName name="of_Future_Business_Processes_SF" localSheetId="17">#REF!</definedName>
    <definedName name="of_Future_Business_Processes_SF" localSheetId="15">#REF!</definedName>
    <definedName name="of_Future_Business_Processes_SF" localSheetId="20">#REF!</definedName>
    <definedName name="of_Future_Business_Processes_SF" localSheetId="18">#REF!</definedName>
    <definedName name="of_Future_Business_Processes_SF" localSheetId="7">#REF!</definedName>
    <definedName name="of_Future_Business_Processes_SF" localSheetId="0">#REF!</definedName>
    <definedName name="of_Future_Business_Processes_SF">#REF!</definedName>
    <definedName name="of_Future_Business_Processes_SR" localSheetId="9">#REF!</definedName>
    <definedName name="of_Future_Business_Processes_SR" localSheetId="13">#REF!</definedName>
    <definedName name="of_Future_Business_Processes_SR" localSheetId="22">#REF!</definedName>
    <definedName name="of_Future_Business_Processes_SR" localSheetId="16">#REF!</definedName>
    <definedName name="of_Future_Business_Processes_SR" localSheetId="17">#REF!</definedName>
    <definedName name="of_Future_Business_Processes_SR" localSheetId="15">#REF!</definedName>
    <definedName name="of_Future_Business_Processes_SR" localSheetId="20">#REF!</definedName>
    <definedName name="of_Future_Business_Processes_SR" localSheetId="18">#REF!</definedName>
    <definedName name="of_Future_Business_Processes_SR" localSheetId="7">#REF!</definedName>
    <definedName name="of_Future_Business_Processes_SR" localSheetId="0">#REF!</definedName>
    <definedName name="of_Future_Business_Processes_SR">#REF!</definedName>
    <definedName name="of_Impacted_Organizations_AD" localSheetId="9">#REF!</definedName>
    <definedName name="of_Impacted_Organizations_AD" localSheetId="13">#REF!</definedName>
    <definedName name="of_Impacted_Organizations_AD" localSheetId="22">#REF!</definedName>
    <definedName name="of_Impacted_Organizations_AD" localSheetId="16">#REF!</definedName>
    <definedName name="of_Impacted_Organizations_AD" localSheetId="17">#REF!</definedName>
    <definedName name="of_Impacted_Organizations_AD" localSheetId="15">#REF!</definedName>
    <definedName name="of_Impacted_Organizations_AD" localSheetId="20">#REF!</definedName>
    <definedName name="of_Impacted_Organizations_AD" localSheetId="18">#REF!</definedName>
    <definedName name="of_Impacted_Organizations_AD" localSheetId="7">#REF!</definedName>
    <definedName name="of_Impacted_Organizations_AD" localSheetId="0">#REF!</definedName>
    <definedName name="of_Impacted_Organizations_AD">#REF!</definedName>
    <definedName name="of_Impacted_Organizations_FA" localSheetId="9">#REF!</definedName>
    <definedName name="of_Impacted_Organizations_FA" localSheetId="13">#REF!</definedName>
    <definedName name="of_Impacted_Organizations_FA" localSheetId="22">#REF!</definedName>
    <definedName name="of_Impacted_Organizations_FA" localSheetId="16">#REF!</definedName>
    <definedName name="of_Impacted_Organizations_FA" localSheetId="17">#REF!</definedName>
    <definedName name="of_Impacted_Organizations_FA" localSheetId="15">#REF!</definedName>
    <definedName name="of_Impacted_Organizations_FA" localSheetId="20">#REF!</definedName>
    <definedName name="of_Impacted_Organizations_FA" localSheetId="18">#REF!</definedName>
    <definedName name="of_Impacted_Organizations_FA" localSheetId="7">#REF!</definedName>
    <definedName name="of_Impacted_Organizations_FA" localSheetId="0">#REF!</definedName>
    <definedName name="of_Impacted_Organizations_FA">#REF!</definedName>
    <definedName name="of_Impacted_Organizations_SF" localSheetId="9">#REF!</definedName>
    <definedName name="of_Impacted_Organizations_SF" localSheetId="13">#REF!</definedName>
    <definedName name="of_Impacted_Organizations_SF" localSheetId="22">#REF!</definedName>
    <definedName name="of_Impacted_Organizations_SF" localSheetId="16">#REF!</definedName>
    <definedName name="of_Impacted_Organizations_SF" localSheetId="17">#REF!</definedName>
    <definedName name="of_Impacted_Organizations_SF" localSheetId="15">#REF!</definedName>
    <definedName name="of_Impacted_Organizations_SF" localSheetId="20">#REF!</definedName>
    <definedName name="of_Impacted_Organizations_SF" localSheetId="18">#REF!</definedName>
    <definedName name="of_Impacted_Organizations_SF" localSheetId="7">#REF!</definedName>
    <definedName name="of_Impacted_Organizations_SF" localSheetId="0">#REF!</definedName>
    <definedName name="of_Impacted_Organizations_SF">#REF!</definedName>
    <definedName name="of_Impacted_Organizations_SR" localSheetId="9">#REF!</definedName>
    <definedName name="of_Impacted_Organizations_SR" localSheetId="13">#REF!</definedName>
    <definedName name="of_Impacted_Organizations_SR" localSheetId="22">#REF!</definedName>
    <definedName name="of_Impacted_Organizations_SR" localSheetId="16">#REF!</definedName>
    <definedName name="of_Impacted_Organizations_SR" localSheetId="17">#REF!</definedName>
    <definedName name="of_Impacted_Organizations_SR" localSheetId="15">#REF!</definedName>
    <definedName name="of_Impacted_Organizations_SR" localSheetId="20">#REF!</definedName>
    <definedName name="of_Impacted_Organizations_SR" localSheetId="18">#REF!</definedName>
    <definedName name="of_Impacted_Organizations_SR" localSheetId="7">#REF!</definedName>
    <definedName name="of_Impacted_Organizations_SR" localSheetId="0">#REF!</definedName>
    <definedName name="of_Impacted_Organizations_SR">#REF!</definedName>
    <definedName name="of_Implementation_Duration_AD" localSheetId="9">#REF!</definedName>
    <definedName name="of_Implementation_Duration_AD" localSheetId="13">#REF!</definedName>
    <definedName name="of_Implementation_Duration_AD" localSheetId="22">#REF!</definedName>
    <definedName name="of_Implementation_Duration_AD" localSheetId="16">#REF!</definedName>
    <definedName name="of_Implementation_Duration_AD" localSheetId="17">#REF!</definedName>
    <definedName name="of_Implementation_Duration_AD" localSheetId="15">#REF!</definedName>
    <definedName name="of_Implementation_Duration_AD" localSheetId="20">#REF!</definedName>
    <definedName name="of_Implementation_Duration_AD" localSheetId="18">#REF!</definedName>
    <definedName name="of_Implementation_Duration_AD" localSheetId="7">#REF!</definedName>
    <definedName name="of_Implementation_Duration_AD" localSheetId="0">#REF!</definedName>
    <definedName name="of_Implementation_Duration_AD">#REF!</definedName>
    <definedName name="of_Implementation_Duration_FA" localSheetId="9">#REF!</definedName>
    <definedName name="of_Implementation_Duration_FA" localSheetId="13">#REF!</definedName>
    <definedName name="of_Implementation_Duration_FA" localSheetId="22">#REF!</definedName>
    <definedName name="of_Implementation_Duration_FA" localSheetId="16">#REF!</definedName>
    <definedName name="of_Implementation_Duration_FA" localSheetId="17">#REF!</definedName>
    <definedName name="of_Implementation_Duration_FA" localSheetId="15">#REF!</definedName>
    <definedName name="of_Implementation_Duration_FA" localSheetId="20">#REF!</definedName>
    <definedName name="of_Implementation_Duration_FA" localSheetId="18">#REF!</definedName>
    <definedName name="of_Implementation_Duration_FA" localSheetId="7">#REF!</definedName>
    <definedName name="of_Implementation_Duration_FA" localSheetId="0">#REF!</definedName>
    <definedName name="of_Implementation_Duration_FA">#REF!</definedName>
    <definedName name="of_Implementation_Duration_SF" localSheetId="9">#REF!</definedName>
    <definedName name="of_Implementation_Duration_SF" localSheetId="13">#REF!</definedName>
    <definedName name="of_Implementation_Duration_SF" localSheetId="22">#REF!</definedName>
    <definedName name="of_Implementation_Duration_SF" localSheetId="16">#REF!</definedName>
    <definedName name="of_Implementation_Duration_SF" localSheetId="17">#REF!</definedName>
    <definedName name="of_Implementation_Duration_SF" localSheetId="15">#REF!</definedName>
    <definedName name="of_Implementation_Duration_SF" localSheetId="20">#REF!</definedName>
    <definedName name="of_Implementation_Duration_SF" localSheetId="18">#REF!</definedName>
    <definedName name="of_Implementation_Duration_SF" localSheetId="7">#REF!</definedName>
    <definedName name="of_Implementation_Duration_SF" localSheetId="0">#REF!</definedName>
    <definedName name="of_Implementation_Duration_SF">#REF!</definedName>
    <definedName name="of_Implementation_Duration_SR" localSheetId="9">#REF!</definedName>
    <definedName name="of_Implementation_Duration_SR" localSheetId="13">#REF!</definedName>
    <definedName name="of_Implementation_Duration_SR" localSheetId="22">#REF!</definedName>
    <definedName name="of_Implementation_Duration_SR" localSheetId="16">#REF!</definedName>
    <definedName name="of_Implementation_Duration_SR" localSheetId="17">#REF!</definedName>
    <definedName name="of_Implementation_Duration_SR" localSheetId="15">#REF!</definedName>
    <definedName name="of_Implementation_Duration_SR" localSheetId="20">#REF!</definedName>
    <definedName name="of_Implementation_Duration_SR" localSheetId="18">#REF!</definedName>
    <definedName name="of_Implementation_Duration_SR" localSheetId="7">#REF!</definedName>
    <definedName name="of_Implementation_Duration_SR" localSheetId="0">#REF!</definedName>
    <definedName name="of_Implementation_Duration_SR">#REF!</definedName>
    <definedName name="of_Key_Files_Tables_AD" localSheetId="9">#REF!</definedName>
    <definedName name="of_Key_Files_Tables_AD" localSheetId="13">#REF!</definedName>
    <definedName name="of_Key_Files_Tables_AD" localSheetId="22">#REF!</definedName>
    <definedName name="of_Key_Files_Tables_AD" localSheetId="16">#REF!</definedName>
    <definedName name="of_Key_Files_Tables_AD" localSheetId="17">#REF!</definedName>
    <definedName name="of_Key_Files_Tables_AD" localSheetId="15">#REF!</definedName>
    <definedName name="of_Key_Files_Tables_AD" localSheetId="20">#REF!</definedName>
    <definedName name="of_Key_Files_Tables_AD" localSheetId="18">#REF!</definedName>
    <definedName name="of_Key_Files_Tables_AD" localSheetId="7">#REF!</definedName>
    <definedName name="of_Key_Files_Tables_AD" localSheetId="0">#REF!</definedName>
    <definedName name="of_Key_Files_Tables_AD">#REF!</definedName>
    <definedName name="of_Key_Files_Tables_FA" localSheetId="9">#REF!</definedName>
    <definedName name="of_Key_Files_Tables_FA" localSheetId="13">#REF!</definedName>
    <definedName name="of_Key_Files_Tables_FA" localSheetId="22">#REF!</definedName>
    <definedName name="of_Key_Files_Tables_FA" localSheetId="16">#REF!</definedName>
    <definedName name="of_Key_Files_Tables_FA" localSheetId="17">#REF!</definedName>
    <definedName name="of_Key_Files_Tables_FA" localSheetId="15">#REF!</definedName>
    <definedName name="of_Key_Files_Tables_FA" localSheetId="20">#REF!</definedName>
    <definedName name="of_Key_Files_Tables_FA" localSheetId="18">#REF!</definedName>
    <definedName name="of_Key_Files_Tables_FA" localSheetId="7">#REF!</definedName>
    <definedName name="of_Key_Files_Tables_FA" localSheetId="0">#REF!</definedName>
    <definedName name="of_Key_Files_Tables_FA">#REF!</definedName>
    <definedName name="of_Key_Files_Tables_SF" localSheetId="9">#REF!</definedName>
    <definedName name="of_Key_Files_Tables_SF" localSheetId="13">#REF!</definedName>
    <definedName name="of_Key_Files_Tables_SF" localSheetId="22">#REF!</definedName>
    <definedName name="of_Key_Files_Tables_SF" localSheetId="16">#REF!</definedName>
    <definedName name="of_Key_Files_Tables_SF" localSheetId="17">#REF!</definedName>
    <definedName name="of_Key_Files_Tables_SF" localSheetId="15">#REF!</definedName>
    <definedName name="of_Key_Files_Tables_SF" localSheetId="20">#REF!</definedName>
    <definedName name="of_Key_Files_Tables_SF" localSheetId="18">#REF!</definedName>
    <definedName name="of_Key_Files_Tables_SF" localSheetId="7">#REF!</definedName>
    <definedName name="of_Key_Files_Tables_SF" localSheetId="0">#REF!</definedName>
    <definedName name="of_Key_Files_Tables_SF">#REF!</definedName>
    <definedName name="of_Key_Files_Tables_SR" localSheetId="9">#REF!</definedName>
    <definedName name="of_Key_Files_Tables_SR" localSheetId="13">#REF!</definedName>
    <definedName name="of_Key_Files_Tables_SR" localSheetId="22">#REF!</definedName>
    <definedName name="of_Key_Files_Tables_SR" localSheetId="16">#REF!</definedName>
    <definedName name="of_Key_Files_Tables_SR" localSheetId="17">#REF!</definedName>
    <definedName name="of_Key_Files_Tables_SR" localSheetId="15">#REF!</definedName>
    <definedName name="of_Key_Files_Tables_SR" localSheetId="20">#REF!</definedName>
    <definedName name="of_Key_Files_Tables_SR" localSheetId="18">#REF!</definedName>
    <definedName name="of_Key_Files_Tables_SR" localSheetId="7">#REF!</definedName>
    <definedName name="of_Key_Files_Tables_SR" localSheetId="0">#REF!</definedName>
    <definedName name="of_Key_Files_Tables_SR">#REF!</definedName>
    <definedName name="of_Mgt_FTEs_Design" localSheetId="9">#REF!</definedName>
    <definedName name="of_Mgt_FTEs_Design" localSheetId="13">#REF!</definedName>
    <definedName name="of_Mgt_FTEs_Design" localSheetId="22">#REF!</definedName>
    <definedName name="of_Mgt_FTEs_Design" localSheetId="16">#REF!</definedName>
    <definedName name="of_Mgt_FTEs_Design" localSheetId="17">#REF!</definedName>
    <definedName name="of_Mgt_FTEs_Design" localSheetId="15">#REF!</definedName>
    <definedName name="of_Mgt_FTEs_Design" localSheetId="20">#REF!</definedName>
    <definedName name="of_Mgt_FTEs_Design" localSheetId="18">#REF!</definedName>
    <definedName name="of_Mgt_FTEs_Design" localSheetId="7">#REF!</definedName>
    <definedName name="of_Mgt_FTEs_Design" localSheetId="0">#REF!</definedName>
    <definedName name="of_Mgt_FTEs_Design">#REF!</definedName>
    <definedName name="of_Mgt_FTEs_Implementation" localSheetId="9">#REF!</definedName>
    <definedName name="of_Mgt_FTEs_Implementation" localSheetId="13">#REF!</definedName>
    <definedName name="of_Mgt_FTEs_Implementation" localSheetId="22">#REF!</definedName>
    <definedName name="of_Mgt_FTEs_Implementation" localSheetId="16">#REF!</definedName>
    <definedName name="of_Mgt_FTEs_Implementation" localSheetId="17">#REF!</definedName>
    <definedName name="of_Mgt_FTEs_Implementation" localSheetId="15">#REF!</definedName>
    <definedName name="of_Mgt_FTEs_Implementation" localSheetId="20">#REF!</definedName>
    <definedName name="of_Mgt_FTEs_Implementation" localSheetId="18">#REF!</definedName>
    <definedName name="of_Mgt_FTEs_Implementation" localSheetId="7">#REF!</definedName>
    <definedName name="of_Mgt_FTEs_Implementation" localSheetId="0">#REF!</definedName>
    <definedName name="of_Mgt_FTEs_Implementation">#REF!</definedName>
    <definedName name="of_New_Batch_Processes_AD" localSheetId="9">#REF!</definedName>
    <definedName name="of_New_Batch_Processes_AD" localSheetId="13">#REF!</definedName>
    <definedName name="of_New_Batch_Processes_AD" localSheetId="22">#REF!</definedName>
    <definedName name="of_New_Batch_Processes_AD" localSheetId="16">#REF!</definedName>
    <definedName name="of_New_Batch_Processes_AD" localSheetId="17">#REF!</definedName>
    <definedName name="of_New_Batch_Processes_AD" localSheetId="15">#REF!</definedName>
    <definedName name="of_New_Batch_Processes_AD" localSheetId="20">#REF!</definedName>
    <definedName name="of_New_Batch_Processes_AD" localSheetId="18">#REF!</definedName>
    <definedName name="of_New_Batch_Processes_AD" localSheetId="7">#REF!</definedName>
    <definedName name="of_New_Batch_Processes_AD" localSheetId="0">#REF!</definedName>
    <definedName name="of_New_Batch_Processes_AD">#REF!</definedName>
    <definedName name="of_New_Batch_Processes_FA" localSheetId="9">#REF!</definedName>
    <definedName name="of_New_Batch_Processes_FA" localSheetId="13">#REF!</definedName>
    <definedName name="of_New_Batch_Processes_FA" localSheetId="22">#REF!</definedName>
    <definedName name="of_New_Batch_Processes_FA" localSheetId="16">#REF!</definedName>
    <definedName name="of_New_Batch_Processes_FA" localSheetId="17">#REF!</definedName>
    <definedName name="of_New_Batch_Processes_FA" localSheetId="15">#REF!</definedName>
    <definedName name="of_New_Batch_Processes_FA" localSheetId="20">#REF!</definedName>
    <definedName name="of_New_Batch_Processes_FA" localSheetId="18">#REF!</definedName>
    <definedName name="of_New_Batch_Processes_FA" localSheetId="7">#REF!</definedName>
    <definedName name="of_New_Batch_Processes_FA" localSheetId="0">#REF!</definedName>
    <definedName name="of_New_Batch_Processes_FA">#REF!</definedName>
    <definedName name="of_New_Batch_Processes_SF" localSheetId="9">#REF!</definedName>
    <definedName name="of_New_Batch_Processes_SF" localSheetId="13">#REF!</definedName>
    <definedName name="of_New_Batch_Processes_SF" localSheetId="22">#REF!</definedName>
    <definedName name="of_New_Batch_Processes_SF" localSheetId="16">#REF!</definedName>
    <definedName name="of_New_Batch_Processes_SF" localSheetId="17">#REF!</definedName>
    <definedName name="of_New_Batch_Processes_SF" localSheetId="15">#REF!</definedName>
    <definedName name="of_New_Batch_Processes_SF" localSheetId="20">#REF!</definedName>
    <definedName name="of_New_Batch_Processes_SF" localSheetId="18">#REF!</definedName>
    <definedName name="of_New_Batch_Processes_SF" localSheetId="7">#REF!</definedName>
    <definedName name="of_New_Batch_Processes_SF" localSheetId="0">#REF!</definedName>
    <definedName name="of_New_Batch_Processes_SF">#REF!</definedName>
    <definedName name="of_New_Batch_Processes_SR" localSheetId="9">#REF!</definedName>
    <definedName name="of_New_Batch_Processes_SR" localSheetId="13">#REF!</definedName>
    <definedName name="of_New_Batch_Processes_SR" localSheetId="22">#REF!</definedName>
    <definedName name="of_New_Batch_Processes_SR" localSheetId="16">#REF!</definedName>
    <definedName name="of_New_Batch_Processes_SR" localSheetId="17">#REF!</definedName>
    <definedName name="of_New_Batch_Processes_SR" localSheetId="15">#REF!</definedName>
    <definedName name="of_New_Batch_Processes_SR" localSheetId="20">#REF!</definedName>
    <definedName name="of_New_Batch_Processes_SR" localSheetId="18">#REF!</definedName>
    <definedName name="of_New_Batch_Processes_SR" localSheetId="7">#REF!</definedName>
    <definedName name="of_New_Batch_Processes_SR" localSheetId="0">#REF!</definedName>
    <definedName name="of_New_Batch_Processes_SR">#REF!</definedName>
    <definedName name="of_New_Impl_Team_Mbrs_AD" localSheetId="9">#REF!</definedName>
    <definedName name="of_New_Impl_Team_Mbrs_AD" localSheetId="13">#REF!</definedName>
    <definedName name="of_New_Impl_Team_Mbrs_AD" localSheetId="22">#REF!</definedName>
    <definedName name="of_New_Impl_Team_Mbrs_AD" localSheetId="16">#REF!</definedName>
    <definedName name="of_New_Impl_Team_Mbrs_AD" localSheetId="17">#REF!</definedName>
    <definedName name="of_New_Impl_Team_Mbrs_AD" localSheetId="15">#REF!</definedName>
    <definedName name="of_New_Impl_Team_Mbrs_AD" localSheetId="20">#REF!</definedName>
    <definedName name="of_New_Impl_Team_Mbrs_AD" localSheetId="18">#REF!</definedName>
    <definedName name="of_New_Impl_Team_Mbrs_AD" localSheetId="7">#REF!</definedName>
    <definedName name="of_New_Impl_Team_Mbrs_AD" localSheetId="0">#REF!</definedName>
    <definedName name="of_New_Impl_Team_Mbrs_AD">#REF!</definedName>
    <definedName name="of_New_Impl_Team_Mbrs_FA" localSheetId="9">#REF!</definedName>
    <definedName name="of_New_Impl_Team_Mbrs_FA" localSheetId="13">#REF!</definedName>
    <definedName name="of_New_Impl_Team_Mbrs_FA" localSheetId="22">#REF!</definedName>
    <definedName name="of_New_Impl_Team_Mbrs_FA" localSheetId="16">#REF!</definedName>
    <definedName name="of_New_Impl_Team_Mbrs_FA" localSheetId="17">#REF!</definedName>
    <definedName name="of_New_Impl_Team_Mbrs_FA" localSheetId="15">#REF!</definedName>
    <definedName name="of_New_Impl_Team_Mbrs_FA" localSheetId="20">#REF!</definedName>
    <definedName name="of_New_Impl_Team_Mbrs_FA" localSheetId="18">#REF!</definedName>
    <definedName name="of_New_Impl_Team_Mbrs_FA" localSheetId="7">#REF!</definedName>
    <definedName name="of_New_Impl_Team_Mbrs_FA" localSheetId="0">#REF!</definedName>
    <definedName name="of_New_Impl_Team_Mbrs_FA">#REF!</definedName>
    <definedName name="of_New_Impl_Team_Mbrs_No_PC_AD" localSheetId="9">#REF!</definedName>
    <definedName name="of_New_Impl_Team_Mbrs_No_PC_AD" localSheetId="13">#REF!</definedName>
    <definedName name="of_New_Impl_Team_Mbrs_No_PC_AD" localSheetId="22">#REF!</definedName>
    <definedName name="of_New_Impl_Team_Mbrs_No_PC_AD" localSheetId="16">#REF!</definedName>
    <definedName name="of_New_Impl_Team_Mbrs_No_PC_AD" localSheetId="17">#REF!</definedName>
    <definedName name="of_New_Impl_Team_Mbrs_No_PC_AD" localSheetId="15">#REF!</definedName>
    <definedName name="of_New_Impl_Team_Mbrs_No_PC_AD" localSheetId="20">#REF!</definedName>
    <definedName name="of_New_Impl_Team_Mbrs_No_PC_AD" localSheetId="18">#REF!</definedName>
    <definedName name="of_New_Impl_Team_Mbrs_No_PC_AD" localSheetId="7">#REF!</definedName>
    <definedName name="of_New_Impl_Team_Mbrs_No_PC_AD" localSheetId="0">#REF!</definedName>
    <definedName name="of_New_Impl_Team_Mbrs_No_PC_AD">#REF!</definedName>
    <definedName name="of_New_Impl_Team_Mbrs_No_PC_FA" localSheetId="9">#REF!</definedName>
    <definedName name="of_New_Impl_Team_Mbrs_No_PC_FA" localSheetId="13">#REF!</definedName>
    <definedName name="of_New_Impl_Team_Mbrs_No_PC_FA" localSheetId="22">#REF!</definedName>
    <definedName name="of_New_Impl_Team_Mbrs_No_PC_FA" localSheetId="16">#REF!</definedName>
    <definedName name="of_New_Impl_Team_Mbrs_No_PC_FA" localSheetId="17">#REF!</definedName>
    <definedName name="of_New_Impl_Team_Mbrs_No_PC_FA" localSheetId="15">#REF!</definedName>
    <definedName name="of_New_Impl_Team_Mbrs_No_PC_FA" localSheetId="20">#REF!</definedName>
    <definedName name="of_New_Impl_Team_Mbrs_No_PC_FA" localSheetId="18">#REF!</definedName>
    <definedName name="of_New_Impl_Team_Mbrs_No_PC_FA" localSheetId="7">#REF!</definedName>
    <definedName name="of_New_Impl_Team_Mbrs_No_PC_FA" localSheetId="0">#REF!</definedName>
    <definedName name="of_New_Impl_Team_Mbrs_No_PC_FA">#REF!</definedName>
    <definedName name="of_New_Impl_Team_Mbrs_No_PC_SF" localSheetId="9">#REF!</definedName>
    <definedName name="of_New_Impl_Team_Mbrs_No_PC_SF" localSheetId="13">#REF!</definedName>
    <definedName name="of_New_Impl_Team_Mbrs_No_PC_SF" localSheetId="22">#REF!</definedName>
    <definedName name="of_New_Impl_Team_Mbrs_No_PC_SF" localSheetId="16">#REF!</definedName>
    <definedName name="of_New_Impl_Team_Mbrs_No_PC_SF" localSheetId="17">#REF!</definedName>
    <definedName name="of_New_Impl_Team_Mbrs_No_PC_SF" localSheetId="15">#REF!</definedName>
    <definedName name="of_New_Impl_Team_Mbrs_No_PC_SF" localSheetId="20">#REF!</definedName>
    <definedName name="of_New_Impl_Team_Mbrs_No_PC_SF" localSheetId="18">#REF!</definedName>
    <definedName name="of_New_Impl_Team_Mbrs_No_PC_SF" localSheetId="7">#REF!</definedName>
    <definedName name="of_New_Impl_Team_Mbrs_No_PC_SF" localSheetId="0">#REF!</definedName>
    <definedName name="of_New_Impl_Team_Mbrs_No_PC_SF">#REF!</definedName>
    <definedName name="of_New_Impl_Team_Mbrs_No_PC_SR" localSheetId="9">#REF!</definedName>
    <definedName name="of_New_Impl_Team_Mbrs_No_PC_SR" localSheetId="13">#REF!</definedName>
    <definedName name="of_New_Impl_Team_Mbrs_No_PC_SR" localSheetId="22">#REF!</definedName>
    <definedName name="of_New_Impl_Team_Mbrs_No_PC_SR" localSheetId="16">#REF!</definedName>
    <definedName name="of_New_Impl_Team_Mbrs_No_PC_SR" localSheetId="17">#REF!</definedName>
    <definedName name="of_New_Impl_Team_Mbrs_No_PC_SR" localSheetId="15">#REF!</definedName>
    <definedName name="of_New_Impl_Team_Mbrs_No_PC_SR" localSheetId="20">#REF!</definedName>
    <definedName name="of_New_Impl_Team_Mbrs_No_PC_SR" localSheetId="18">#REF!</definedName>
    <definedName name="of_New_Impl_Team_Mbrs_No_PC_SR" localSheetId="7">#REF!</definedName>
    <definedName name="of_New_Impl_Team_Mbrs_No_PC_SR" localSheetId="0">#REF!</definedName>
    <definedName name="of_New_Impl_Team_Mbrs_No_PC_SR">#REF!</definedName>
    <definedName name="of_New_Impl_Team_Mbrs_SF" localSheetId="9">#REF!</definedName>
    <definedName name="of_New_Impl_Team_Mbrs_SF" localSheetId="13">#REF!</definedName>
    <definedName name="of_New_Impl_Team_Mbrs_SF" localSheetId="22">#REF!</definedName>
    <definedName name="of_New_Impl_Team_Mbrs_SF" localSheetId="16">#REF!</definedName>
    <definedName name="of_New_Impl_Team_Mbrs_SF" localSheetId="17">#REF!</definedName>
    <definedName name="of_New_Impl_Team_Mbrs_SF" localSheetId="15">#REF!</definedName>
    <definedName name="of_New_Impl_Team_Mbrs_SF" localSheetId="20">#REF!</definedName>
    <definedName name="of_New_Impl_Team_Mbrs_SF" localSheetId="18">#REF!</definedName>
    <definedName name="of_New_Impl_Team_Mbrs_SF" localSheetId="7">#REF!</definedName>
    <definedName name="of_New_Impl_Team_Mbrs_SF" localSheetId="0">#REF!</definedName>
    <definedName name="of_New_Impl_Team_Mbrs_SF">#REF!</definedName>
    <definedName name="of_New_Impl_Team_Mbrs_SR" localSheetId="9">#REF!</definedName>
    <definedName name="of_New_Impl_Team_Mbrs_SR" localSheetId="13">#REF!</definedName>
    <definedName name="of_New_Impl_Team_Mbrs_SR" localSheetId="22">#REF!</definedName>
    <definedName name="of_New_Impl_Team_Mbrs_SR" localSheetId="16">#REF!</definedName>
    <definedName name="of_New_Impl_Team_Mbrs_SR" localSheetId="17">#REF!</definedName>
    <definedName name="of_New_Impl_Team_Mbrs_SR" localSheetId="15">#REF!</definedName>
    <definedName name="of_New_Impl_Team_Mbrs_SR" localSheetId="20">#REF!</definedName>
    <definedName name="of_New_Impl_Team_Mbrs_SR" localSheetId="18">#REF!</definedName>
    <definedName name="of_New_Impl_Team_Mbrs_SR" localSheetId="7">#REF!</definedName>
    <definedName name="of_New_Impl_Team_Mbrs_SR" localSheetId="0">#REF!</definedName>
    <definedName name="of_New_Impl_Team_Mbrs_SR">#REF!</definedName>
    <definedName name="of_New_Panels_AD" localSheetId="9">#REF!</definedName>
    <definedName name="of_New_Panels_AD" localSheetId="13">#REF!</definedName>
    <definedName name="of_New_Panels_AD" localSheetId="22">#REF!</definedName>
    <definedName name="of_New_Panels_AD" localSheetId="16">#REF!</definedName>
    <definedName name="of_New_Panels_AD" localSheetId="17">#REF!</definedName>
    <definedName name="of_New_Panels_AD" localSheetId="15">#REF!</definedName>
    <definedName name="of_New_Panels_AD" localSheetId="20">#REF!</definedName>
    <definedName name="of_New_Panels_AD" localSheetId="18">#REF!</definedName>
    <definedName name="of_New_Panels_AD" localSheetId="7">#REF!</definedName>
    <definedName name="of_New_Panels_AD" localSheetId="0">#REF!</definedName>
    <definedName name="of_New_Panels_AD">#REF!</definedName>
    <definedName name="of_New_Panels_FA" localSheetId="9">#REF!</definedName>
    <definedName name="of_New_Panels_FA" localSheetId="13">#REF!</definedName>
    <definedName name="of_New_Panels_FA" localSheetId="22">#REF!</definedName>
    <definedName name="of_New_Panels_FA" localSheetId="16">#REF!</definedName>
    <definedName name="of_New_Panels_FA" localSheetId="17">#REF!</definedName>
    <definedName name="of_New_Panels_FA" localSheetId="15">#REF!</definedName>
    <definedName name="of_New_Panels_FA" localSheetId="20">#REF!</definedName>
    <definedName name="of_New_Panels_FA" localSheetId="18">#REF!</definedName>
    <definedName name="of_New_Panels_FA" localSheetId="7">#REF!</definedName>
    <definedName name="of_New_Panels_FA" localSheetId="0">#REF!</definedName>
    <definedName name="of_New_Panels_FA">#REF!</definedName>
    <definedName name="of_New_Panels_SF" localSheetId="9">#REF!</definedName>
    <definedName name="of_New_Panels_SF" localSheetId="13">#REF!</definedName>
    <definedName name="of_New_Panels_SF" localSheetId="22">#REF!</definedName>
    <definedName name="of_New_Panels_SF" localSheetId="16">#REF!</definedName>
    <definedName name="of_New_Panels_SF" localSheetId="17">#REF!</definedName>
    <definedName name="of_New_Panels_SF" localSheetId="15">#REF!</definedName>
    <definedName name="of_New_Panels_SF" localSheetId="20">#REF!</definedName>
    <definedName name="of_New_Panels_SF" localSheetId="18">#REF!</definedName>
    <definedName name="of_New_Panels_SF" localSheetId="7">#REF!</definedName>
    <definedName name="of_New_Panels_SF" localSheetId="0">#REF!</definedName>
    <definedName name="of_New_Panels_SF">#REF!</definedName>
    <definedName name="of_New_Panels_SR" localSheetId="9">#REF!</definedName>
    <definedName name="of_New_Panels_SR" localSheetId="13">#REF!</definedName>
    <definedName name="of_New_Panels_SR" localSheetId="22">#REF!</definedName>
    <definedName name="of_New_Panels_SR" localSheetId="16">#REF!</definedName>
    <definedName name="of_New_Panels_SR" localSheetId="17">#REF!</definedName>
    <definedName name="of_New_Panels_SR" localSheetId="15">#REF!</definedName>
    <definedName name="of_New_Panels_SR" localSheetId="20">#REF!</definedName>
    <definedName name="of_New_Panels_SR" localSheetId="18">#REF!</definedName>
    <definedName name="of_New_Panels_SR" localSheetId="7">#REF!</definedName>
    <definedName name="of_New_Panels_SR" localSheetId="0">#REF!</definedName>
    <definedName name="of_New_Panels_SR">#REF!</definedName>
    <definedName name="of_Panel_Group_Mods_AD" localSheetId="9">#REF!</definedName>
    <definedName name="of_Panel_Group_Mods_AD" localSheetId="13">#REF!</definedName>
    <definedName name="of_Panel_Group_Mods_AD" localSheetId="22">#REF!</definedName>
    <definedName name="of_Panel_Group_Mods_AD" localSheetId="16">#REF!</definedName>
    <definedName name="of_Panel_Group_Mods_AD" localSheetId="17">#REF!</definedName>
    <definedName name="of_Panel_Group_Mods_AD" localSheetId="15">#REF!</definedName>
    <definedName name="of_Panel_Group_Mods_AD" localSheetId="20">#REF!</definedName>
    <definedName name="of_Panel_Group_Mods_AD" localSheetId="18">#REF!</definedName>
    <definedName name="of_Panel_Group_Mods_AD" localSheetId="7">#REF!</definedName>
    <definedName name="of_Panel_Group_Mods_AD" localSheetId="0">#REF!</definedName>
    <definedName name="of_Panel_Group_Mods_AD">#REF!</definedName>
    <definedName name="of_Panel_Group_Mods_FA" localSheetId="9">#REF!</definedName>
    <definedName name="of_Panel_Group_Mods_FA" localSheetId="13">#REF!</definedName>
    <definedName name="of_Panel_Group_Mods_FA" localSheetId="22">#REF!</definedName>
    <definedName name="of_Panel_Group_Mods_FA" localSheetId="16">#REF!</definedName>
    <definedName name="of_Panel_Group_Mods_FA" localSheetId="17">#REF!</definedName>
    <definedName name="of_Panel_Group_Mods_FA" localSheetId="15">#REF!</definedName>
    <definedName name="of_Panel_Group_Mods_FA" localSheetId="20">#REF!</definedName>
    <definedName name="of_Panel_Group_Mods_FA" localSheetId="18">#REF!</definedName>
    <definedName name="of_Panel_Group_Mods_FA" localSheetId="7">#REF!</definedName>
    <definedName name="of_Panel_Group_Mods_FA" localSheetId="0">#REF!</definedName>
    <definedName name="of_Panel_Group_Mods_FA">#REF!</definedName>
    <definedName name="of_Panel_Group_Mods_SF" localSheetId="9">#REF!</definedName>
    <definedName name="of_Panel_Group_Mods_SF" localSheetId="13">#REF!</definedName>
    <definedName name="of_Panel_Group_Mods_SF" localSheetId="22">#REF!</definedName>
    <definedName name="of_Panel_Group_Mods_SF" localSheetId="16">#REF!</definedName>
    <definedName name="of_Panel_Group_Mods_SF" localSheetId="17">#REF!</definedName>
    <definedName name="of_Panel_Group_Mods_SF" localSheetId="15">#REF!</definedName>
    <definedName name="of_Panel_Group_Mods_SF" localSheetId="20">#REF!</definedName>
    <definedName name="of_Panel_Group_Mods_SF" localSheetId="18">#REF!</definedName>
    <definedName name="of_Panel_Group_Mods_SF" localSheetId="7">#REF!</definedName>
    <definedName name="of_Panel_Group_Mods_SF" localSheetId="0">#REF!</definedName>
    <definedName name="of_Panel_Group_Mods_SF">#REF!</definedName>
    <definedName name="of_Panel_Group_Mods_SR" localSheetId="9">#REF!</definedName>
    <definedName name="of_Panel_Group_Mods_SR" localSheetId="13">#REF!</definedName>
    <definedName name="of_Panel_Group_Mods_SR" localSheetId="22">#REF!</definedName>
    <definedName name="of_Panel_Group_Mods_SR" localSheetId="16">#REF!</definedName>
    <definedName name="of_Panel_Group_Mods_SR" localSheetId="17">#REF!</definedName>
    <definedName name="of_Panel_Group_Mods_SR" localSheetId="15">#REF!</definedName>
    <definedName name="of_Panel_Group_Mods_SR" localSheetId="20">#REF!</definedName>
    <definedName name="of_Panel_Group_Mods_SR" localSheetId="18">#REF!</definedName>
    <definedName name="of_Panel_Group_Mods_SR" localSheetId="7">#REF!</definedName>
    <definedName name="of_Panel_Group_Mods_SR" localSheetId="0">#REF!</definedName>
    <definedName name="of_Panel_Group_Mods_SR">#REF!</definedName>
    <definedName name="of_Panel_Mods_AD" localSheetId="9">#REF!</definedName>
    <definedName name="of_Panel_Mods_AD" localSheetId="13">#REF!</definedName>
    <definedName name="of_Panel_Mods_AD" localSheetId="22">#REF!</definedName>
    <definedName name="of_Panel_Mods_AD" localSheetId="16">#REF!</definedName>
    <definedName name="of_Panel_Mods_AD" localSheetId="17">#REF!</definedName>
    <definedName name="of_Panel_Mods_AD" localSheetId="15">#REF!</definedName>
    <definedName name="of_Panel_Mods_AD" localSheetId="20">#REF!</definedName>
    <definedName name="of_Panel_Mods_AD" localSheetId="18">#REF!</definedName>
    <definedName name="of_Panel_Mods_AD" localSheetId="7">#REF!</definedName>
    <definedName name="of_Panel_Mods_AD" localSheetId="0">#REF!</definedName>
    <definedName name="of_Panel_Mods_AD">#REF!</definedName>
    <definedName name="of_Panel_Mods_FA" localSheetId="9">#REF!</definedName>
    <definedName name="of_Panel_Mods_FA" localSheetId="13">#REF!</definedName>
    <definedName name="of_Panel_Mods_FA" localSheetId="22">#REF!</definedName>
    <definedName name="of_Panel_Mods_FA" localSheetId="16">#REF!</definedName>
    <definedName name="of_Panel_Mods_FA" localSheetId="17">#REF!</definedName>
    <definedName name="of_Panel_Mods_FA" localSheetId="15">#REF!</definedName>
    <definedName name="of_Panel_Mods_FA" localSheetId="20">#REF!</definedName>
    <definedName name="of_Panel_Mods_FA" localSheetId="18">#REF!</definedName>
    <definedName name="of_Panel_Mods_FA" localSheetId="7">#REF!</definedName>
    <definedName name="of_Panel_Mods_FA" localSheetId="0">#REF!</definedName>
    <definedName name="of_Panel_Mods_FA">#REF!</definedName>
    <definedName name="of_Panel_Mods_SF" localSheetId="9">#REF!</definedName>
    <definedName name="of_Panel_Mods_SF" localSheetId="13">#REF!</definedName>
    <definedName name="of_Panel_Mods_SF" localSheetId="22">#REF!</definedName>
    <definedName name="of_Panel_Mods_SF" localSheetId="16">#REF!</definedName>
    <definedName name="of_Panel_Mods_SF" localSheetId="17">#REF!</definedName>
    <definedName name="of_Panel_Mods_SF" localSheetId="15">#REF!</definedName>
    <definedName name="of_Panel_Mods_SF" localSheetId="20">#REF!</definedName>
    <definedName name="of_Panel_Mods_SF" localSheetId="18">#REF!</definedName>
    <definedName name="of_Panel_Mods_SF" localSheetId="7">#REF!</definedName>
    <definedName name="of_Panel_Mods_SF" localSheetId="0">#REF!</definedName>
    <definedName name="of_Panel_Mods_SF">#REF!</definedName>
    <definedName name="of_Panel_Mods_SR" localSheetId="9">#REF!</definedName>
    <definedName name="of_Panel_Mods_SR" localSheetId="13">#REF!</definedName>
    <definedName name="of_Panel_Mods_SR" localSheetId="22">#REF!</definedName>
    <definedName name="of_Panel_Mods_SR" localSheetId="16">#REF!</definedName>
    <definedName name="of_Panel_Mods_SR" localSheetId="17">#REF!</definedName>
    <definedName name="of_Panel_Mods_SR" localSheetId="15">#REF!</definedName>
    <definedName name="of_Panel_Mods_SR" localSheetId="20">#REF!</definedName>
    <definedName name="of_Panel_Mods_SR" localSheetId="18">#REF!</definedName>
    <definedName name="of_Panel_Mods_SR" localSheetId="7">#REF!</definedName>
    <definedName name="of_Panel_Mods_SR" localSheetId="0">#REF!</definedName>
    <definedName name="of_Panel_Mods_SR">#REF!</definedName>
    <definedName name="of_Post_Conv_Team_Mbrs_AD" localSheetId="9">#REF!</definedName>
    <definedName name="of_Post_Conv_Team_Mbrs_AD" localSheetId="13">#REF!</definedName>
    <definedName name="of_Post_Conv_Team_Mbrs_AD" localSheetId="22">#REF!</definedName>
    <definedName name="of_Post_Conv_Team_Mbrs_AD" localSheetId="16">#REF!</definedName>
    <definedName name="of_Post_Conv_Team_Mbrs_AD" localSheetId="17">#REF!</definedName>
    <definedName name="of_Post_Conv_Team_Mbrs_AD" localSheetId="15">#REF!</definedName>
    <definedName name="of_Post_Conv_Team_Mbrs_AD" localSheetId="20">#REF!</definedName>
    <definedName name="of_Post_Conv_Team_Mbrs_AD" localSheetId="18">#REF!</definedName>
    <definedName name="of_Post_Conv_Team_Mbrs_AD" localSheetId="7">#REF!</definedName>
    <definedName name="of_Post_Conv_Team_Mbrs_AD" localSheetId="0">#REF!</definedName>
    <definedName name="of_Post_Conv_Team_Mbrs_AD">#REF!</definedName>
    <definedName name="of_Post_Conv_Team_Mbrs_FA" localSheetId="9">#REF!</definedName>
    <definedName name="of_Post_Conv_Team_Mbrs_FA" localSheetId="13">#REF!</definedName>
    <definedName name="of_Post_Conv_Team_Mbrs_FA" localSheetId="22">#REF!</definedName>
    <definedName name="of_Post_Conv_Team_Mbrs_FA" localSheetId="16">#REF!</definedName>
    <definedName name="of_Post_Conv_Team_Mbrs_FA" localSheetId="17">#REF!</definedName>
    <definedName name="of_Post_Conv_Team_Mbrs_FA" localSheetId="15">#REF!</definedName>
    <definedName name="of_Post_Conv_Team_Mbrs_FA" localSheetId="20">#REF!</definedName>
    <definedName name="of_Post_Conv_Team_Mbrs_FA" localSheetId="18">#REF!</definedName>
    <definedName name="of_Post_Conv_Team_Mbrs_FA" localSheetId="7">#REF!</definedName>
    <definedName name="of_Post_Conv_Team_Mbrs_FA" localSheetId="0">#REF!</definedName>
    <definedName name="of_Post_Conv_Team_Mbrs_FA">#REF!</definedName>
    <definedName name="of_Post_Conv_Team_Mbrs_SF" localSheetId="9">#REF!</definedName>
    <definedName name="of_Post_Conv_Team_Mbrs_SF" localSheetId="13">#REF!</definedName>
    <definedName name="of_Post_Conv_Team_Mbrs_SF" localSheetId="22">#REF!</definedName>
    <definedName name="of_Post_Conv_Team_Mbrs_SF" localSheetId="16">#REF!</definedName>
    <definedName name="of_Post_Conv_Team_Mbrs_SF" localSheetId="17">#REF!</definedName>
    <definedName name="of_Post_Conv_Team_Mbrs_SF" localSheetId="15">#REF!</definedName>
    <definedName name="of_Post_Conv_Team_Mbrs_SF" localSheetId="20">#REF!</definedName>
    <definedName name="of_Post_Conv_Team_Mbrs_SF" localSheetId="18">#REF!</definedName>
    <definedName name="of_Post_Conv_Team_Mbrs_SF" localSheetId="7">#REF!</definedName>
    <definedName name="of_Post_Conv_Team_Mbrs_SF" localSheetId="0">#REF!</definedName>
    <definedName name="of_Post_Conv_Team_Mbrs_SF">#REF!</definedName>
    <definedName name="of_Post_Conv_Team_Mbrs_SR" localSheetId="9">#REF!</definedName>
    <definedName name="of_Post_Conv_Team_Mbrs_SR" localSheetId="13">#REF!</definedName>
    <definedName name="of_Post_Conv_Team_Mbrs_SR" localSheetId="22">#REF!</definedName>
    <definedName name="of_Post_Conv_Team_Mbrs_SR" localSheetId="16">#REF!</definedName>
    <definedName name="of_Post_Conv_Team_Mbrs_SR" localSheetId="17">#REF!</definedName>
    <definedName name="of_Post_Conv_Team_Mbrs_SR" localSheetId="15">#REF!</definedName>
    <definedName name="of_Post_Conv_Team_Mbrs_SR" localSheetId="20">#REF!</definedName>
    <definedName name="of_Post_Conv_Team_Mbrs_SR" localSheetId="18">#REF!</definedName>
    <definedName name="of_Post_Conv_Team_Mbrs_SR" localSheetId="7">#REF!</definedName>
    <definedName name="of_Post_Conv_Team_Mbrs_SR" localSheetId="0">#REF!</definedName>
    <definedName name="of_Post_Conv_Team_Mbrs_SR">#REF!</definedName>
    <definedName name="of_Product_Test_Participants_AD" localSheetId="9">#REF!</definedName>
    <definedName name="of_Product_Test_Participants_AD" localSheetId="13">#REF!</definedName>
    <definedName name="of_Product_Test_Participants_AD" localSheetId="22">#REF!</definedName>
    <definedName name="of_Product_Test_Participants_AD" localSheetId="16">#REF!</definedName>
    <definedName name="of_Product_Test_Participants_AD" localSheetId="17">#REF!</definedName>
    <definedName name="of_Product_Test_Participants_AD" localSheetId="15">#REF!</definedName>
    <definedName name="of_Product_Test_Participants_AD" localSheetId="20">#REF!</definedName>
    <definedName name="of_Product_Test_Participants_AD" localSheetId="18">#REF!</definedName>
    <definedName name="of_Product_Test_Participants_AD" localSheetId="7">#REF!</definedName>
    <definedName name="of_Product_Test_Participants_AD" localSheetId="0">#REF!</definedName>
    <definedName name="of_Product_Test_Participants_AD">#REF!</definedName>
    <definedName name="of_Product_Test_Participants_FA" localSheetId="9">#REF!</definedName>
    <definedName name="of_Product_Test_Participants_FA" localSheetId="13">#REF!</definedName>
    <definedName name="of_Product_Test_Participants_FA" localSheetId="22">#REF!</definedName>
    <definedName name="of_Product_Test_Participants_FA" localSheetId="16">#REF!</definedName>
    <definedName name="of_Product_Test_Participants_FA" localSheetId="17">#REF!</definedName>
    <definedName name="of_Product_Test_Participants_FA" localSheetId="15">#REF!</definedName>
    <definedName name="of_Product_Test_Participants_FA" localSheetId="20">#REF!</definedName>
    <definedName name="of_Product_Test_Participants_FA" localSheetId="18">#REF!</definedName>
    <definedName name="of_Product_Test_Participants_FA" localSheetId="7">#REF!</definedName>
    <definedName name="of_Product_Test_Participants_FA" localSheetId="0">#REF!</definedName>
    <definedName name="of_Product_Test_Participants_FA">#REF!</definedName>
    <definedName name="of_Product_Test_Participants_SF" localSheetId="9">#REF!</definedName>
    <definedName name="of_Product_Test_Participants_SF" localSheetId="13">#REF!</definedName>
    <definedName name="of_Product_Test_Participants_SF" localSheetId="22">#REF!</definedName>
    <definedName name="of_Product_Test_Participants_SF" localSheetId="16">#REF!</definedName>
    <definedName name="of_Product_Test_Participants_SF" localSheetId="17">#REF!</definedName>
    <definedName name="of_Product_Test_Participants_SF" localSheetId="15">#REF!</definedName>
    <definedName name="of_Product_Test_Participants_SF" localSheetId="20">#REF!</definedName>
    <definedName name="of_Product_Test_Participants_SF" localSheetId="18">#REF!</definedName>
    <definedName name="of_Product_Test_Participants_SF" localSheetId="7">#REF!</definedName>
    <definedName name="of_Product_Test_Participants_SF" localSheetId="0">#REF!</definedName>
    <definedName name="of_Product_Test_Participants_SF">#REF!</definedName>
    <definedName name="of_Product_Test_Participants_SR" localSheetId="9">#REF!</definedName>
    <definedName name="of_Product_Test_Participants_SR" localSheetId="13">#REF!</definedName>
    <definedName name="of_Product_Test_Participants_SR" localSheetId="22">#REF!</definedName>
    <definedName name="of_Product_Test_Participants_SR" localSheetId="16">#REF!</definedName>
    <definedName name="of_Product_Test_Participants_SR" localSheetId="17">#REF!</definedName>
    <definedName name="of_Product_Test_Participants_SR" localSheetId="15">#REF!</definedName>
    <definedName name="of_Product_Test_Participants_SR" localSheetId="20">#REF!</definedName>
    <definedName name="of_Product_Test_Participants_SR" localSheetId="18">#REF!</definedName>
    <definedName name="of_Product_Test_Participants_SR" localSheetId="7">#REF!</definedName>
    <definedName name="of_Product_Test_Participants_SR" localSheetId="0">#REF!</definedName>
    <definedName name="of_Product_Test_Participants_SR">#REF!</definedName>
    <definedName name="of_Report_Mods_AD" localSheetId="9">#REF!</definedName>
    <definedName name="of_Report_Mods_AD" localSheetId="13">#REF!</definedName>
    <definedName name="of_Report_Mods_AD" localSheetId="22">#REF!</definedName>
    <definedName name="of_Report_Mods_AD" localSheetId="16">#REF!</definedName>
    <definedName name="of_Report_Mods_AD" localSheetId="17">#REF!</definedName>
    <definedName name="of_Report_Mods_AD" localSheetId="15">#REF!</definedName>
    <definedName name="of_Report_Mods_AD" localSheetId="20">#REF!</definedName>
    <definedName name="of_Report_Mods_AD" localSheetId="18">#REF!</definedName>
    <definedName name="of_Report_Mods_AD" localSheetId="7">#REF!</definedName>
    <definedName name="of_Report_Mods_AD" localSheetId="0">#REF!</definedName>
    <definedName name="of_Report_Mods_AD">#REF!</definedName>
    <definedName name="of_Report_Mods_FA" localSheetId="9">#REF!</definedName>
    <definedName name="of_Report_Mods_FA" localSheetId="13">#REF!</definedName>
    <definedName name="of_Report_Mods_FA" localSheetId="22">#REF!</definedName>
    <definedName name="of_Report_Mods_FA" localSheetId="16">#REF!</definedName>
    <definedName name="of_Report_Mods_FA" localSheetId="17">#REF!</definedName>
    <definedName name="of_Report_Mods_FA" localSheetId="15">#REF!</definedName>
    <definedName name="of_Report_Mods_FA" localSheetId="20">#REF!</definedName>
    <definedName name="of_Report_Mods_FA" localSheetId="18">#REF!</definedName>
    <definedName name="of_Report_Mods_FA" localSheetId="7">#REF!</definedName>
    <definedName name="of_Report_Mods_FA" localSheetId="0">#REF!</definedName>
    <definedName name="of_Report_Mods_FA">#REF!</definedName>
    <definedName name="of_Report_Mods_SF" localSheetId="9">#REF!</definedName>
    <definedName name="of_Report_Mods_SF" localSheetId="13">#REF!</definedName>
    <definedName name="of_Report_Mods_SF" localSheetId="22">#REF!</definedName>
    <definedName name="of_Report_Mods_SF" localSheetId="16">#REF!</definedName>
    <definedName name="of_Report_Mods_SF" localSheetId="17">#REF!</definedName>
    <definedName name="of_Report_Mods_SF" localSheetId="15">#REF!</definedName>
    <definedName name="of_Report_Mods_SF" localSheetId="20">#REF!</definedName>
    <definedName name="of_Report_Mods_SF" localSheetId="18">#REF!</definedName>
    <definedName name="of_Report_Mods_SF" localSheetId="7">#REF!</definedName>
    <definedName name="of_Report_Mods_SF" localSheetId="0">#REF!</definedName>
    <definedName name="of_Report_Mods_SF">#REF!</definedName>
    <definedName name="of_Report_Mods_SR" localSheetId="9">#REF!</definedName>
    <definedName name="of_Report_Mods_SR" localSheetId="13">#REF!</definedName>
    <definedName name="of_Report_Mods_SR" localSheetId="22">#REF!</definedName>
    <definedName name="of_Report_Mods_SR" localSheetId="16">#REF!</definedName>
    <definedName name="of_Report_Mods_SR" localSheetId="17">#REF!</definedName>
    <definedName name="of_Report_Mods_SR" localSheetId="15">#REF!</definedName>
    <definedName name="of_Report_Mods_SR" localSheetId="20">#REF!</definedName>
    <definedName name="of_Report_Mods_SR" localSheetId="18">#REF!</definedName>
    <definedName name="of_Report_Mods_SR" localSheetId="7">#REF!</definedName>
    <definedName name="of_Report_Mods_SR" localSheetId="0">#REF!</definedName>
    <definedName name="of_Report_Mods_SR">#REF!</definedName>
    <definedName name="of_Reporting_Tools_AD" localSheetId="9">#REF!</definedName>
    <definedName name="of_Reporting_Tools_AD" localSheetId="13">#REF!</definedName>
    <definedName name="of_Reporting_Tools_AD" localSheetId="22">#REF!</definedName>
    <definedName name="of_Reporting_Tools_AD" localSheetId="16">#REF!</definedName>
    <definedName name="of_Reporting_Tools_AD" localSheetId="17">#REF!</definedName>
    <definedName name="of_Reporting_Tools_AD" localSheetId="15">#REF!</definedName>
    <definedName name="of_Reporting_Tools_AD" localSheetId="20">#REF!</definedName>
    <definedName name="of_Reporting_Tools_AD" localSheetId="18">#REF!</definedName>
    <definedName name="of_Reporting_Tools_AD" localSheetId="7">#REF!</definedName>
    <definedName name="of_Reporting_Tools_AD" localSheetId="0">#REF!</definedName>
    <definedName name="of_Reporting_Tools_AD">#REF!</definedName>
    <definedName name="of_Reporting_Tools_FA" localSheetId="9">#REF!</definedName>
    <definedName name="of_Reporting_Tools_FA" localSheetId="13">#REF!</definedName>
    <definedName name="of_Reporting_Tools_FA" localSheetId="22">#REF!</definedName>
    <definedName name="of_Reporting_Tools_FA" localSheetId="16">#REF!</definedName>
    <definedName name="of_Reporting_Tools_FA" localSheetId="17">#REF!</definedName>
    <definedName name="of_Reporting_Tools_FA" localSheetId="15">#REF!</definedName>
    <definedName name="of_Reporting_Tools_FA" localSheetId="20">#REF!</definedName>
    <definedName name="of_Reporting_Tools_FA" localSheetId="18">#REF!</definedName>
    <definedName name="of_Reporting_Tools_FA" localSheetId="7">#REF!</definedName>
    <definedName name="of_Reporting_Tools_FA" localSheetId="0">#REF!</definedName>
    <definedName name="of_Reporting_Tools_FA">#REF!</definedName>
    <definedName name="of_Reporting_Tools_SF" localSheetId="9">#REF!</definedName>
    <definedName name="of_Reporting_Tools_SF" localSheetId="13">#REF!</definedName>
    <definedName name="of_Reporting_Tools_SF" localSheetId="22">#REF!</definedName>
    <definedName name="of_Reporting_Tools_SF" localSheetId="16">#REF!</definedName>
    <definedName name="of_Reporting_Tools_SF" localSheetId="17">#REF!</definedName>
    <definedName name="of_Reporting_Tools_SF" localSheetId="15">#REF!</definedName>
    <definedName name="of_Reporting_Tools_SF" localSheetId="20">#REF!</definedName>
    <definedName name="of_Reporting_Tools_SF" localSheetId="18">#REF!</definedName>
    <definedName name="of_Reporting_Tools_SF" localSheetId="7">#REF!</definedName>
    <definedName name="of_Reporting_Tools_SF" localSheetId="0">#REF!</definedName>
    <definedName name="of_Reporting_Tools_SF">#REF!</definedName>
    <definedName name="of_Reporting_Tools_SR" localSheetId="9">#REF!</definedName>
    <definedName name="of_Reporting_Tools_SR" localSheetId="13">#REF!</definedName>
    <definedName name="of_Reporting_Tools_SR" localSheetId="22">#REF!</definedName>
    <definedName name="of_Reporting_Tools_SR" localSheetId="16">#REF!</definedName>
    <definedName name="of_Reporting_Tools_SR" localSheetId="17">#REF!</definedName>
    <definedName name="of_Reporting_Tools_SR" localSheetId="15">#REF!</definedName>
    <definedName name="of_Reporting_Tools_SR" localSheetId="20">#REF!</definedName>
    <definedName name="of_Reporting_Tools_SR" localSheetId="18">#REF!</definedName>
    <definedName name="of_Reporting_Tools_SR" localSheetId="7">#REF!</definedName>
    <definedName name="of_Reporting_Tools_SR" localSheetId="0">#REF!</definedName>
    <definedName name="of_Reporting_Tools_SR">#REF!</definedName>
    <definedName name="of_Review_Mtgs_During_CRP_AD" localSheetId="9">#REF!</definedName>
    <definedName name="of_Review_Mtgs_During_CRP_AD" localSheetId="13">#REF!</definedName>
    <definedName name="of_Review_Mtgs_During_CRP_AD" localSheetId="22">#REF!</definedName>
    <definedName name="of_Review_Mtgs_During_CRP_AD" localSheetId="16">#REF!</definedName>
    <definedName name="of_Review_Mtgs_During_CRP_AD" localSheetId="17">#REF!</definedName>
    <definedName name="of_Review_Mtgs_During_CRP_AD" localSheetId="15">#REF!</definedName>
    <definedName name="of_Review_Mtgs_During_CRP_AD" localSheetId="20">#REF!</definedName>
    <definedName name="of_Review_Mtgs_During_CRP_AD" localSheetId="18">#REF!</definedName>
    <definedName name="of_Review_Mtgs_During_CRP_AD" localSheetId="7">#REF!</definedName>
    <definedName name="of_Review_Mtgs_During_CRP_AD" localSheetId="0">#REF!</definedName>
    <definedName name="of_Review_Mtgs_During_CRP_AD">#REF!</definedName>
    <definedName name="of_Review_Mtgs_During_CRP_FA" localSheetId="9">#REF!</definedName>
    <definedName name="of_Review_Mtgs_During_CRP_FA" localSheetId="13">#REF!</definedName>
    <definedName name="of_Review_Mtgs_During_CRP_FA" localSheetId="22">#REF!</definedName>
    <definedName name="of_Review_Mtgs_During_CRP_FA" localSheetId="16">#REF!</definedName>
    <definedName name="of_Review_Mtgs_During_CRP_FA" localSheetId="17">#REF!</definedName>
    <definedName name="of_Review_Mtgs_During_CRP_FA" localSheetId="15">#REF!</definedName>
    <definedName name="of_Review_Mtgs_During_CRP_FA" localSheetId="20">#REF!</definedName>
    <definedName name="of_Review_Mtgs_During_CRP_FA" localSheetId="18">#REF!</definedName>
    <definedName name="of_Review_Mtgs_During_CRP_FA" localSheetId="7">#REF!</definedName>
    <definedName name="of_Review_Mtgs_During_CRP_FA" localSheetId="0">#REF!</definedName>
    <definedName name="of_Review_Mtgs_During_CRP_FA">#REF!</definedName>
    <definedName name="of_Review_Mtgs_During_CRP_SF" localSheetId="9">#REF!</definedName>
    <definedName name="of_Review_Mtgs_During_CRP_SF" localSheetId="13">#REF!</definedName>
    <definedName name="of_Review_Mtgs_During_CRP_SF" localSheetId="22">#REF!</definedName>
    <definedName name="of_Review_Mtgs_During_CRP_SF" localSheetId="16">#REF!</definedName>
    <definedName name="of_Review_Mtgs_During_CRP_SF" localSheetId="17">#REF!</definedName>
    <definedName name="of_Review_Mtgs_During_CRP_SF" localSheetId="15">#REF!</definedName>
    <definedName name="of_Review_Mtgs_During_CRP_SF" localSheetId="20">#REF!</definedName>
    <definedName name="of_Review_Mtgs_During_CRP_SF" localSheetId="18">#REF!</definedName>
    <definedName name="of_Review_Mtgs_During_CRP_SF" localSheetId="7">#REF!</definedName>
    <definedName name="of_Review_Mtgs_During_CRP_SF" localSheetId="0">#REF!</definedName>
    <definedName name="of_Review_Mtgs_During_CRP_SF">#REF!</definedName>
    <definedName name="of_Review_Mtgs_During_CRP_SR" localSheetId="9">#REF!</definedName>
    <definedName name="of_Review_Mtgs_During_CRP_SR" localSheetId="13">#REF!</definedName>
    <definedName name="of_Review_Mtgs_During_CRP_SR" localSheetId="22">#REF!</definedName>
    <definedName name="of_Review_Mtgs_During_CRP_SR" localSheetId="16">#REF!</definedName>
    <definedName name="of_Review_Mtgs_During_CRP_SR" localSheetId="17">#REF!</definedName>
    <definedName name="of_Review_Mtgs_During_CRP_SR" localSheetId="15">#REF!</definedName>
    <definedName name="of_Review_Mtgs_During_CRP_SR" localSheetId="20">#REF!</definedName>
    <definedName name="of_Review_Mtgs_During_CRP_SR" localSheetId="18">#REF!</definedName>
    <definedName name="of_Review_Mtgs_During_CRP_SR" localSheetId="7">#REF!</definedName>
    <definedName name="of_Review_Mtgs_During_CRP_SR" localSheetId="0">#REF!</definedName>
    <definedName name="of_Review_Mtgs_During_CRP_SR">#REF!</definedName>
    <definedName name="of_Software_Parameter_Categories_AD" localSheetId="9">#REF!</definedName>
    <definedName name="of_Software_Parameter_Categories_AD" localSheetId="13">#REF!</definedName>
    <definedName name="of_Software_Parameter_Categories_AD" localSheetId="22">#REF!</definedName>
    <definedName name="of_Software_Parameter_Categories_AD" localSheetId="16">#REF!</definedName>
    <definedName name="of_Software_Parameter_Categories_AD" localSheetId="17">#REF!</definedName>
    <definedName name="of_Software_Parameter_Categories_AD" localSheetId="15">#REF!</definedName>
    <definedName name="of_Software_Parameter_Categories_AD" localSheetId="20">#REF!</definedName>
    <definedName name="of_Software_Parameter_Categories_AD" localSheetId="18">#REF!</definedName>
    <definedName name="of_Software_Parameter_Categories_AD" localSheetId="7">#REF!</definedName>
    <definedName name="of_Software_Parameter_Categories_AD" localSheetId="0">#REF!</definedName>
    <definedName name="of_Software_Parameter_Categories_AD">#REF!</definedName>
    <definedName name="of_Software_Parameter_Categories_FA" localSheetId="9">#REF!</definedName>
    <definedName name="of_Software_Parameter_Categories_FA" localSheetId="13">#REF!</definedName>
    <definedName name="of_Software_Parameter_Categories_FA" localSheetId="22">#REF!</definedName>
    <definedName name="of_Software_Parameter_Categories_FA" localSheetId="16">#REF!</definedName>
    <definedName name="of_Software_Parameter_Categories_FA" localSheetId="17">#REF!</definedName>
    <definedName name="of_Software_Parameter_Categories_FA" localSheetId="15">#REF!</definedName>
    <definedName name="of_Software_Parameter_Categories_FA" localSheetId="20">#REF!</definedName>
    <definedName name="of_Software_Parameter_Categories_FA" localSheetId="18">#REF!</definedName>
    <definedName name="of_Software_Parameter_Categories_FA" localSheetId="7">#REF!</definedName>
    <definedName name="of_Software_Parameter_Categories_FA" localSheetId="0">#REF!</definedName>
    <definedName name="of_Software_Parameter_Categories_FA">#REF!</definedName>
    <definedName name="of_Software_Parameter_Categories_SF" localSheetId="9">#REF!</definedName>
    <definedName name="of_Software_Parameter_Categories_SF" localSheetId="13">#REF!</definedName>
    <definedName name="of_Software_Parameter_Categories_SF" localSheetId="22">#REF!</definedName>
    <definedName name="of_Software_Parameter_Categories_SF" localSheetId="16">#REF!</definedName>
    <definedName name="of_Software_Parameter_Categories_SF" localSheetId="17">#REF!</definedName>
    <definedName name="of_Software_Parameter_Categories_SF" localSheetId="15">#REF!</definedName>
    <definedName name="of_Software_Parameter_Categories_SF" localSheetId="20">#REF!</definedName>
    <definedName name="of_Software_Parameter_Categories_SF" localSheetId="18">#REF!</definedName>
    <definedName name="of_Software_Parameter_Categories_SF" localSheetId="7">#REF!</definedName>
    <definedName name="of_Software_Parameter_Categories_SF" localSheetId="0">#REF!</definedName>
    <definedName name="of_Software_Parameter_Categories_SF">#REF!</definedName>
    <definedName name="of_Software_Parameter_Categories_SR" localSheetId="9">#REF!</definedName>
    <definedName name="of_Software_Parameter_Categories_SR" localSheetId="13">#REF!</definedName>
    <definedName name="of_Software_Parameter_Categories_SR" localSheetId="22">#REF!</definedName>
    <definedName name="of_Software_Parameter_Categories_SR" localSheetId="16">#REF!</definedName>
    <definedName name="of_Software_Parameter_Categories_SR" localSheetId="17">#REF!</definedName>
    <definedName name="of_Software_Parameter_Categories_SR" localSheetId="15">#REF!</definedName>
    <definedName name="of_Software_Parameter_Categories_SR" localSheetId="20">#REF!</definedName>
    <definedName name="of_Software_Parameter_Categories_SR" localSheetId="18">#REF!</definedName>
    <definedName name="of_Software_Parameter_Categories_SR" localSheetId="7">#REF!</definedName>
    <definedName name="of_Software_Parameter_Categories_SR" localSheetId="0">#REF!</definedName>
    <definedName name="of_Software_Parameter_Categories_SR">#REF!</definedName>
    <definedName name="of_Software_Releases_AD" localSheetId="9">#REF!</definedName>
    <definedName name="of_Software_Releases_AD" localSheetId="13">#REF!</definedName>
    <definedName name="of_Software_Releases_AD" localSheetId="22">#REF!</definedName>
    <definedName name="of_Software_Releases_AD" localSheetId="16">#REF!</definedName>
    <definedName name="of_Software_Releases_AD" localSheetId="17">#REF!</definedName>
    <definedName name="of_Software_Releases_AD" localSheetId="15">#REF!</definedName>
    <definedName name="of_Software_Releases_AD" localSheetId="20">#REF!</definedName>
    <definedName name="of_Software_Releases_AD" localSheetId="18">#REF!</definedName>
    <definedName name="of_Software_Releases_AD" localSheetId="7">#REF!</definedName>
    <definedName name="of_Software_Releases_AD" localSheetId="0">#REF!</definedName>
    <definedName name="of_Software_Releases_AD">#REF!</definedName>
    <definedName name="of_Software_Releases_FA" localSheetId="9">#REF!</definedName>
    <definedName name="of_Software_Releases_FA" localSheetId="13">#REF!</definedName>
    <definedName name="of_Software_Releases_FA" localSheetId="22">#REF!</definedName>
    <definedName name="of_Software_Releases_FA" localSheetId="16">#REF!</definedName>
    <definedName name="of_Software_Releases_FA" localSheetId="17">#REF!</definedName>
    <definedName name="of_Software_Releases_FA" localSheetId="15">#REF!</definedName>
    <definedName name="of_Software_Releases_FA" localSheetId="20">#REF!</definedName>
    <definedName name="of_Software_Releases_FA" localSheetId="18">#REF!</definedName>
    <definedName name="of_Software_Releases_FA" localSheetId="7">#REF!</definedName>
    <definedName name="of_Software_Releases_FA" localSheetId="0">#REF!</definedName>
    <definedName name="of_Software_Releases_FA">#REF!</definedName>
    <definedName name="of_Software_Releases_SF" localSheetId="9">#REF!</definedName>
    <definedName name="of_Software_Releases_SF" localSheetId="13">#REF!</definedName>
    <definedName name="of_Software_Releases_SF" localSheetId="22">#REF!</definedName>
    <definedName name="of_Software_Releases_SF" localSheetId="16">#REF!</definedName>
    <definedName name="of_Software_Releases_SF" localSheetId="17">#REF!</definedName>
    <definedName name="of_Software_Releases_SF" localSheetId="15">#REF!</definedName>
    <definedName name="of_Software_Releases_SF" localSheetId="20">#REF!</definedName>
    <definedName name="of_Software_Releases_SF" localSheetId="18">#REF!</definedName>
    <definedName name="of_Software_Releases_SF" localSheetId="7">#REF!</definedName>
    <definedName name="of_Software_Releases_SF" localSheetId="0">#REF!</definedName>
    <definedName name="of_Software_Releases_SF">#REF!</definedName>
    <definedName name="of_Software_Releases_SR" localSheetId="9">#REF!</definedName>
    <definedName name="of_Software_Releases_SR" localSheetId="13">#REF!</definedName>
    <definedName name="of_Software_Releases_SR" localSheetId="22">#REF!</definedName>
    <definedName name="of_Software_Releases_SR" localSheetId="16">#REF!</definedName>
    <definedName name="of_Software_Releases_SR" localSheetId="17">#REF!</definedName>
    <definedName name="of_Software_Releases_SR" localSheetId="15">#REF!</definedName>
    <definedName name="of_Software_Releases_SR" localSheetId="20">#REF!</definedName>
    <definedName name="of_Software_Releases_SR" localSheetId="18">#REF!</definedName>
    <definedName name="of_Software_Releases_SR" localSheetId="7">#REF!</definedName>
    <definedName name="of_Software_Releases_SR" localSheetId="0">#REF!</definedName>
    <definedName name="of_Software_Releases_SR">#REF!</definedName>
    <definedName name="of_Temporary_Interfaces_AD" localSheetId="9">#REF!</definedName>
    <definedName name="of_Temporary_Interfaces_AD" localSheetId="13">#REF!</definedName>
    <definedName name="of_Temporary_Interfaces_AD" localSheetId="22">#REF!</definedName>
    <definedName name="of_Temporary_Interfaces_AD" localSheetId="16">#REF!</definedName>
    <definedName name="of_Temporary_Interfaces_AD" localSheetId="17">#REF!</definedName>
    <definedName name="of_Temporary_Interfaces_AD" localSheetId="15">#REF!</definedName>
    <definedName name="of_Temporary_Interfaces_AD" localSheetId="20">#REF!</definedName>
    <definedName name="of_Temporary_Interfaces_AD" localSheetId="18">#REF!</definedName>
    <definedName name="of_Temporary_Interfaces_AD" localSheetId="7">#REF!</definedName>
    <definedName name="of_Temporary_Interfaces_AD" localSheetId="0">#REF!</definedName>
    <definedName name="of_Temporary_Interfaces_AD">#REF!</definedName>
    <definedName name="of_Temporary_Interfaces_FA" localSheetId="9">#REF!</definedName>
    <definedName name="of_Temporary_Interfaces_FA" localSheetId="13">#REF!</definedName>
    <definedName name="of_Temporary_Interfaces_FA" localSheetId="22">#REF!</definedName>
    <definedName name="of_Temporary_Interfaces_FA" localSheetId="16">#REF!</definedName>
    <definedName name="of_Temporary_Interfaces_FA" localSheetId="17">#REF!</definedName>
    <definedName name="of_Temporary_Interfaces_FA" localSheetId="15">#REF!</definedName>
    <definedName name="of_Temporary_Interfaces_FA" localSheetId="20">#REF!</definedName>
    <definedName name="of_Temporary_Interfaces_FA" localSheetId="18">#REF!</definedName>
    <definedName name="of_Temporary_Interfaces_FA" localSheetId="7">#REF!</definedName>
    <definedName name="of_Temporary_Interfaces_FA" localSheetId="0">#REF!</definedName>
    <definedName name="of_Temporary_Interfaces_FA">#REF!</definedName>
    <definedName name="of_Temporary_Interfaces_SF" localSheetId="9">#REF!</definedName>
    <definedName name="of_Temporary_Interfaces_SF" localSheetId="13">#REF!</definedName>
    <definedName name="of_Temporary_Interfaces_SF" localSheetId="22">#REF!</definedName>
    <definedName name="of_Temporary_Interfaces_SF" localSheetId="16">#REF!</definedName>
    <definedName name="of_Temporary_Interfaces_SF" localSheetId="17">#REF!</definedName>
    <definedName name="of_Temporary_Interfaces_SF" localSheetId="15">#REF!</definedName>
    <definedName name="of_Temporary_Interfaces_SF" localSheetId="20">#REF!</definedName>
    <definedName name="of_Temporary_Interfaces_SF" localSheetId="18">#REF!</definedName>
    <definedName name="of_Temporary_Interfaces_SF" localSheetId="7">#REF!</definedName>
    <definedName name="of_Temporary_Interfaces_SF" localSheetId="0">#REF!</definedName>
    <definedName name="of_Temporary_Interfaces_SF">#REF!</definedName>
    <definedName name="of_Temporary_Interfaces_SR" localSheetId="9">#REF!</definedName>
    <definedName name="of_Temporary_Interfaces_SR" localSheetId="13">#REF!</definedName>
    <definedName name="of_Temporary_Interfaces_SR" localSheetId="22">#REF!</definedName>
    <definedName name="of_Temporary_Interfaces_SR" localSheetId="16">#REF!</definedName>
    <definedName name="of_Temporary_Interfaces_SR" localSheetId="17">#REF!</definedName>
    <definedName name="of_Temporary_Interfaces_SR" localSheetId="15">#REF!</definedName>
    <definedName name="of_Temporary_Interfaces_SR" localSheetId="20">#REF!</definedName>
    <definedName name="of_Temporary_Interfaces_SR" localSheetId="18">#REF!</definedName>
    <definedName name="of_Temporary_Interfaces_SR" localSheetId="7">#REF!</definedName>
    <definedName name="of_Temporary_Interfaces_SR" localSheetId="0">#REF!</definedName>
    <definedName name="of_Temporary_Interfaces_SR">#REF!</definedName>
    <definedName name="of_Test_Cycles_AD" localSheetId="9">#REF!</definedName>
    <definedName name="of_Test_Cycles_AD" localSheetId="13">#REF!</definedName>
    <definedName name="of_Test_Cycles_AD" localSheetId="22">#REF!</definedName>
    <definedName name="of_Test_Cycles_AD" localSheetId="16">#REF!</definedName>
    <definedName name="of_Test_Cycles_AD" localSheetId="17">#REF!</definedName>
    <definedName name="of_Test_Cycles_AD" localSheetId="15">#REF!</definedName>
    <definedName name="of_Test_Cycles_AD" localSheetId="20">#REF!</definedName>
    <definedName name="of_Test_Cycles_AD" localSheetId="18">#REF!</definedName>
    <definedName name="of_Test_Cycles_AD" localSheetId="7">#REF!</definedName>
    <definedName name="of_Test_Cycles_AD" localSheetId="0">#REF!</definedName>
    <definedName name="of_Test_Cycles_AD">#REF!</definedName>
    <definedName name="of_Test_Cycles_FA" localSheetId="9">#REF!</definedName>
    <definedName name="of_Test_Cycles_FA" localSheetId="13">#REF!</definedName>
    <definedName name="of_Test_Cycles_FA" localSheetId="22">#REF!</definedName>
    <definedName name="of_Test_Cycles_FA" localSheetId="16">#REF!</definedName>
    <definedName name="of_Test_Cycles_FA" localSheetId="17">#REF!</definedName>
    <definedName name="of_Test_Cycles_FA" localSheetId="15">#REF!</definedName>
    <definedName name="of_Test_Cycles_FA" localSheetId="20">#REF!</definedName>
    <definedName name="of_Test_Cycles_FA" localSheetId="18">#REF!</definedName>
    <definedName name="of_Test_Cycles_FA" localSheetId="7">#REF!</definedName>
    <definedName name="of_Test_Cycles_FA" localSheetId="0">#REF!</definedName>
    <definedName name="of_Test_Cycles_FA">#REF!</definedName>
    <definedName name="of_Test_Cycles_SF" localSheetId="9">#REF!</definedName>
    <definedName name="of_Test_Cycles_SF" localSheetId="13">#REF!</definedName>
    <definedName name="of_Test_Cycles_SF" localSheetId="22">#REF!</definedName>
    <definedName name="of_Test_Cycles_SF" localSheetId="16">#REF!</definedName>
    <definedName name="of_Test_Cycles_SF" localSheetId="17">#REF!</definedName>
    <definedName name="of_Test_Cycles_SF" localSheetId="15">#REF!</definedName>
    <definedName name="of_Test_Cycles_SF" localSheetId="20">#REF!</definedName>
    <definedName name="of_Test_Cycles_SF" localSheetId="18">#REF!</definedName>
    <definedName name="of_Test_Cycles_SF" localSheetId="7">#REF!</definedName>
    <definedName name="of_Test_Cycles_SF" localSheetId="0">#REF!</definedName>
    <definedName name="of_Test_Cycles_SF">#REF!</definedName>
    <definedName name="of_Test_Cycles_SR" localSheetId="9">#REF!</definedName>
    <definedName name="of_Test_Cycles_SR" localSheetId="13">#REF!</definedName>
    <definedName name="of_Test_Cycles_SR" localSheetId="22">#REF!</definedName>
    <definedName name="of_Test_Cycles_SR" localSheetId="16">#REF!</definedName>
    <definedName name="of_Test_Cycles_SR" localSheetId="17">#REF!</definedName>
    <definedName name="of_Test_Cycles_SR" localSheetId="15">#REF!</definedName>
    <definedName name="of_Test_Cycles_SR" localSheetId="20">#REF!</definedName>
    <definedName name="of_Test_Cycles_SR" localSheetId="18">#REF!</definedName>
    <definedName name="of_Test_Cycles_SR" localSheetId="7">#REF!</definedName>
    <definedName name="of_Test_Cycles_SR" localSheetId="0">#REF!</definedName>
    <definedName name="of_Test_Cycles_SR">#REF!</definedName>
    <definedName name="of_Test_Environments_AD" localSheetId="9">#REF!</definedName>
    <definedName name="of_Test_Environments_AD" localSheetId="13">#REF!</definedName>
    <definedName name="of_Test_Environments_AD" localSheetId="22">#REF!</definedName>
    <definedName name="of_Test_Environments_AD" localSheetId="16">#REF!</definedName>
    <definedName name="of_Test_Environments_AD" localSheetId="17">#REF!</definedName>
    <definedName name="of_Test_Environments_AD" localSheetId="15">#REF!</definedName>
    <definedName name="of_Test_Environments_AD" localSheetId="20">#REF!</definedName>
    <definedName name="of_Test_Environments_AD" localSheetId="18">#REF!</definedName>
    <definedName name="of_Test_Environments_AD" localSheetId="7">#REF!</definedName>
    <definedName name="of_Test_Environments_AD" localSheetId="0">#REF!</definedName>
    <definedName name="of_Test_Environments_AD">#REF!</definedName>
    <definedName name="of_Test_Environments_FA" localSheetId="9">#REF!</definedName>
    <definedName name="of_Test_Environments_FA" localSheetId="13">#REF!</definedName>
    <definedName name="of_Test_Environments_FA" localSheetId="22">#REF!</definedName>
    <definedName name="of_Test_Environments_FA" localSheetId="16">#REF!</definedName>
    <definedName name="of_Test_Environments_FA" localSheetId="17">#REF!</definedName>
    <definedName name="of_Test_Environments_FA" localSheetId="15">#REF!</definedName>
    <definedName name="of_Test_Environments_FA" localSheetId="20">#REF!</definedName>
    <definedName name="of_Test_Environments_FA" localSheetId="18">#REF!</definedName>
    <definedName name="of_Test_Environments_FA" localSheetId="7">#REF!</definedName>
    <definedName name="of_Test_Environments_FA" localSheetId="0">#REF!</definedName>
    <definedName name="of_Test_Environments_FA">#REF!</definedName>
    <definedName name="of_Test_Environments_SF" localSheetId="9">#REF!</definedName>
    <definedName name="of_Test_Environments_SF" localSheetId="13">#REF!</definedName>
    <definedName name="of_Test_Environments_SF" localSheetId="22">#REF!</definedName>
    <definedName name="of_Test_Environments_SF" localSheetId="16">#REF!</definedName>
    <definedName name="of_Test_Environments_SF" localSheetId="17">#REF!</definedName>
    <definedName name="of_Test_Environments_SF" localSheetId="15">#REF!</definedName>
    <definedName name="of_Test_Environments_SF" localSheetId="20">#REF!</definedName>
    <definedName name="of_Test_Environments_SF" localSheetId="18">#REF!</definedName>
    <definedName name="of_Test_Environments_SF" localSheetId="7">#REF!</definedName>
    <definedName name="of_Test_Environments_SF" localSheetId="0">#REF!</definedName>
    <definedName name="of_Test_Environments_SF">#REF!</definedName>
    <definedName name="of_Test_Environments_SR" localSheetId="9">#REF!</definedName>
    <definedName name="of_Test_Environments_SR" localSheetId="13">#REF!</definedName>
    <definedName name="of_Test_Environments_SR" localSheetId="22">#REF!</definedName>
    <definedName name="of_Test_Environments_SR" localSheetId="16">#REF!</definedName>
    <definedName name="of_Test_Environments_SR" localSheetId="17">#REF!</definedName>
    <definedName name="of_Test_Environments_SR" localSheetId="15">#REF!</definedName>
    <definedName name="of_Test_Environments_SR" localSheetId="20">#REF!</definedName>
    <definedName name="of_Test_Environments_SR" localSheetId="18">#REF!</definedName>
    <definedName name="of_Test_Environments_SR" localSheetId="7">#REF!</definedName>
    <definedName name="of_Test_Environments_SR" localSheetId="0">#REF!</definedName>
    <definedName name="of_Test_Environments_SR">#REF!</definedName>
    <definedName name="of_To_Be_Interfaces_AD" localSheetId="9">#REF!</definedName>
    <definedName name="of_To_Be_Interfaces_AD" localSheetId="13">#REF!</definedName>
    <definedName name="of_To_Be_Interfaces_AD" localSheetId="22">#REF!</definedName>
    <definedName name="of_To_Be_Interfaces_AD" localSheetId="16">#REF!</definedName>
    <definedName name="of_To_Be_Interfaces_AD" localSheetId="17">#REF!</definedName>
    <definedName name="of_To_Be_Interfaces_AD" localSheetId="15">#REF!</definedName>
    <definedName name="of_To_Be_Interfaces_AD" localSheetId="20">#REF!</definedName>
    <definedName name="of_To_Be_Interfaces_AD" localSheetId="18">#REF!</definedName>
    <definedName name="of_To_Be_Interfaces_AD" localSheetId="7">#REF!</definedName>
    <definedName name="of_To_Be_Interfaces_AD" localSheetId="0">#REF!</definedName>
    <definedName name="of_To_Be_Interfaces_AD">#REF!</definedName>
    <definedName name="of_To_Be_Interfaces_FA" localSheetId="9">#REF!</definedName>
    <definedName name="of_To_Be_Interfaces_FA" localSheetId="13">#REF!</definedName>
    <definedName name="of_To_Be_Interfaces_FA" localSheetId="22">#REF!</definedName>
    <definedName name="of_To_Be_Interfaces_FA" localSheetId="16">#REF!</definedName>
    <definedName name="of_To_Be_Interfaces_FA" localSheetId="17">#REF!</definedName>
    <definedName name="of_To_Be_Interfaces_FA" localSheetId="15">#REF!</definedName>
    <definedName name="of_To_Be_Interfaces_FA" localSheetId="20">#REF!</definedName>
    <definedName name="of_To_Be_Interfaces_FA" localSheetId="18">#REF!</definedName>
    <definedName name="of_To_Be_Interfaces_FA" localSheetId="7">#REF!</definedName>
    <definedName name="of_To_Be_Interfaces_FA" localSheetId="0">#REF!</definedName>
    <definedName name="of_To_Be_Interfaces_FA">#REF!</definedName>
    <definedName name="of_To_Be_Interfaces_SF" localSheetId="9">#REF!</definedName>
    <definedName name="of_To_Be_Interfaces_SF" localSheetId="13">#REF!</definedName>
    <definedName name="of_To_Be_Interfaces_SF" localSheetId="22">#REF!</definedName>
    <definedName name="of_To_Be_Interfaces_SF" localSheetId="16">#REF!</definedName>
    <definedName name="of_To_Be_Interfaces_SF" localSheetId="17">#REF!</definedName>
    <definedName name="of_To_Be_Interfaces_SF" localSheetId="15">#REF!</definedName>
    <definedName name="of_To_Be_Interfaces_SF" localSheetId="20">#REF!</definedName>
    <definedName name="of_To_Be_Interfaces_SF" localSheetId="18">#REF!</definedName>
    <definedName name="of_To_Be_Interfaces_SF" localSheetId="7">#REF!</definedName>
    <definedName name="of_To_Be_Interfaces_SF" localSheetId="0">#REF!</definedName>
    <definedName name="of_To_Be_Interfaces_SF">#REF!</definedName>
    <definedName name="of_To_Be_Interfaces_SR" localSheetId="9">#REF!</definedName>
    <definedName name="of_To_Be_Interfaces_SR" localSheetId="13">#REF!</definedName>
    <definedName name="of_To_Be_Interfaces_SR" localSheetId="22">#REF!</definedName>
    <definedName name="of_To_Be_Interfaces_SR" localSheetId="16">#REF!</definedName>
    <definedName name="of_To_Be_Interfaces_SR" localSheetId="17">#REF!</definedName>
    <definedName name="of_To_Be_Interfaces_SR" localSheetId="15">#REF!</definedName>
    <definedName name="of_To_Be_Interfaces_SR" localSheetId="20">#REF!</definedName>
    <definedName name="of_To_Be_Interfaces_SR" localSheetId="18">#REF!</definedName>
    <definedName name="of_To_Be_Interfaces_SR" localSheetId="7">#REF!</definedName>
    <definedName name="of_To_Be_Interfaces_SR" localSheetId="0">#REF!</definedName>
    <definedName name="of_To_Be_Interfaces_SR">#REF!</definedName>
    <definedName name="of_User_Interfaces_AD" localSheetId="9">#REF!</definedName>
    <definedName name="of_User_Interfaces_AD" localSheetId="13">#REF!</definedName>
    <definedName name="of_User_Interfaces_AD" localSheetId="22">#REF!</definedName>
    <definedName name="of_User_Interfaces_AD" localSheetId="16">#REF!</definedName>
    <definedName name="of_User_Interfaces_AD" localSheetId="17">#REF!</definedName>
    <definedName name="of_User_Interfaces_AD" localSheetId="15">#REF!</definedName>
    <definedName name="of_User_Interfaces_AD" localSheetId="20">#REF!</definedName>
    <definedName name="of_User_Interfaces_AD" localSheetId="18">#REF!</definedName>
    <definedName name="of_User_Interfaces_AD" localSheetId="7">#REF!</definedName>
    <definedName name="of_User_Interfaces_AD" localSheetId="0">#REF!</definedName>
    <definedName name="of_User_Interfaces_AD">#REF!</definedName>
    <definedName name="of_User_Interfaces_FA" localSheetId="9">#REF!</definedName>
    <definedName name="of_User_Interfaces_FA" localSheetId="13">#REF!</definedName>
    <definedName name="of_User_Interfaces_FA" localSheetId="22">#REF!</definedName>
    <definedName name="of_User_Interfaces_FA" localSheetId="16">#REF!</definedName>
    <definedName name="of_User_Interfaces_FA" localSheetId="17">#REF!</definedName>
    <definedName name="of_User_Interfaces_FA" localSheetId="15">#REF!</definedName>
    <definedName name="of_User_Interfaces_FA" localSheetId="20">#REF!</definedName>
    <definedName name="of_User_Interfaces_FA" localSheetId="18">#REF!</definedName>
    <definedName name="of_User_Interfaces_FA" localSheetId="7">#REF!</definedName>
    <definedName name="of_User_Interfaces_FA" localSheetId="0">#REF!</definedName>
    <definedName name="of_User_Interfaces_FA">#REF!</definedName>
    <definedName name="of_User_Interfaces_SF" localSheetId="9">#REF!</definedName>
    <definedName name="of_User_Interfaces_SF" localSheetId="13">#REF!</definedName>
    <definedName name="of_User_Interfaces_SF" localSheetId="22">#REF!</definedName>
    <definedName name="of_User_Interfaces_SF" localSheetId="16">#REF!</definedName>
    <definedName name="of_User_Interfaces_SF" localSheetId="17">#REF!</definedName>
    <definedName name="of_User_Interfaces_SF" localSheetId="15">#REF!</definedName>
    <definedName name="of_User_Interfaces_SF" localSheetId="20">#REF!</definedName>
    <definedName name="of_User_Interfaces_SF" localSheetId="18">#REF!</definedName>
    <definedName name="of_User_Interfaces_SF" localSheetId="7">#REF!</definedName>
    <definedName name="of_User_Interfaces_SF" localSheetId="0">#REF!</definedName>
    <definedName name="of_User_Interfaces_SF">#REF!</definedName>
    <definedName name="of_User_Interfaces_SR" localSheetId="9">#REF!</definedName>
    <definedName name="of_User_Interfaces_SR" localSheetId="13">#REF!</definedName>
    <definedName name="of_User_Interfaces_SR" localSheetId="22">#REF!</definedName>
    <definedName name="of_User_Interfaces_SR" localSheetId="16">#REF!</definedName>
    <definedName name="of_User_Interfaces_SR" localSheetId="17">#REF!</definedName>
    <definedName name="of_User_Interfaces_SR" localSheetId="15">#REF!</definedName>
    <definedName name="of_User_Interfaces_SR" localSheetId="20">#REF!</definedName>
    <definedName name="of_User_Interfaces_SR" localSheetId="18">#REF!</definedName>
    <definedName name="of_User_Interfaces_SR" localSheetId="7">#REF!</definedName>
    <definedName name="of_User_Interfaces_SR" localSheetId="0">#REF!</definedName>
    <definedName name="of_User_Interfaces_SR">#REF!</definedName>
    <definedName name="of_Workflow_Code_Test_AD" localSheetId="9">#REF!</definedName>
    <definedName name="of_Workflow_Code_Test_AD" localSheetId="13">#REF!</definedName>
    <definedName name="of_Workflow_Code_Test_AD" localSheetId="22">#REF!</definedName>
    <definedName name="of_Workflow_Code_Test_AD" localSheetId="16">#REF!</definedName>
    <definedName name="of_Workflow_Code_Test_AD" localSheetId="17">#REF!</definedName>
    <definedName name="of_Workflow_Code_Test_AD" localSheetId="15">#REF!</definedName>
    <definedName name="of_Workflow_Code_Test_AD" localSheetId="20">#REF!</definedName>
    <definedName name="of_Workflow_Code_Test_AD" localSheetId="18">#REF!</definedName>
    <definedName name="of_Workflow_Code_Test_AD" localSheetId="7">#REF!</definedName>
    <definedName name="of_Workflow_Code_Test_AD" localSheetId="0">#REF!</definedName>
    <definedName name="of_Workflow_Code_Test_AD">#REF!</definedName>
    <definedName name="of_Workflow_Code_Test_FA" localSheetId="9">#REF!</definedName>
    <definedName name="of_Workflow_Code_Test_FA" localSheetId="13">#REF!</definedName>
    <definedName name="of_Workflow_Code_Test_FA" localSheetId="22">#REF!</definedName>
    <definedName name="of_Workflow_Code_Test_FA" localSheetId="16">#REF!</definedName>
    <definedName name="of_Workflow_Code_Test_FA" localSheetId="17">#REF!</definedName>
    <definedName name="of_Workflow_Code_Test_FA" localSheetId="15">#REF!</definedName>
    <definedName name="of_Workflow_Code_Test_FA" localSheetId="20">#REF!</definedName>
    <definedName name="of_Workflow_Code_Test_FA" localSheetId="18">#REF!</definedName>
    <definedName name="of_Workflow_Code_Test_FA" localSheetId="7">#REF!</definedName>
    <definedName name="of_Workflow_Code_Test_FA" localSheetId="0">#REF!</definedName>
    <definedName name="of_Workflow_Code_Test_FA">#REF!</definedName>
    <definedName name="of_Workflow_Code_Test_SF" localSheetId="9">#REF!</definedName>
    <definedName name="of_Workflow_Code_Test_SF" localSheetId="13">#REF!</definedName>
    <definedName name="of_Workflow_Code_Test_SF" localSheetId="22">#REF!</definedName>
    <definedName name="of_Workflow_Code_Test_SF" localSheetId="16">#REF!</definedName>
    <definedName name="of_Workflow_Code_Test_SF" localSheetId="17">#REF!</definedName>
    <definedName name="of_Workflow_Code_Test_SF" localSheetId="15">#REF!</definedName>
    <definedName name="of_Workflow_Code_Test_SF" localSheetId="20">#REF!</definedName>
    <definedName name="of_Workflow_Code_Test_SF" localSheetId="18">#REF!</definedName>
    <definedName name="of_Workflow_Code_Test_SF" localSheetId="7">#REF!</definedName>
    <definedName name="of_Workflow_Code_Test_SF" localSheetId="0">#REF!</definedName>
    <definedName name="of_Workflow_Code_Test_SF">#REF!</definedName>
    <definedName name="of_Workflow_Code_Test_SR" localSheetId="9">#REF!</definedName>
    <definedName name="of_Workflow_Code_Test_SR" localSheetId="13">#REF!</definedName>
    <definedName name="of_Workflow_Code_Test_SR" localSheetId="22">#REF!</definedName>
    <definedName name="of_Workflow_Code_Test_SR" localSheetId="16">#REF!</definedName>
    <definedName name="of_Workflow_Code_Test_SR" localSheetId="17">#REF!</definedName>
    <definedName name="of_Workflow_Code_Test_SR" localSheetId="15">#REF!</definedName>
    <definedName name="of_Workflow_Code_Test_SR" localSheetId="20">#REF!</definedName>
    <definedName name="of_Workflow_Code_Test_SR" localSheetId="18">#REF!</definedName>
    <definedName name="of_Workflow_Code_Test_SR" localSheetId="7">#REF!</definedName>
    <definedName name="of_Workflow_Code_Test_SR" localSheetId="0">#REF!</definedName>
    <definedName name="of_Workflow_Code_Test_SR">#REF!</definedName>
    <definedName name="of_Workflow_Design_AD" localSheetId="9">#REF!</definedName>
    <definedName name="of_Workflow_Design_AD" localSheetId="13">#REF!</definedName>
    <definedName name="of_Workflow_Design_AD" localSheetId="22">#REF!</definedName>
    <definedName name="of_Workflow_Design_AD" localSheetId="16">#REF!</definedName>
    <definedName name="of_Workflow_Design_AD" localSheetId="17">#REF!</definedName>
    <definedName name="of_Workflow_Design_AD" localSheetId="15">#REF!</definedName>
    <definedName name="of_Workflow_Design_AD" localSheetId="20">#REF!</definedName>
    <definedName name="of_Workflow_Design_AD" localSheetId="18">#REF!</definedName>
    <definedName name="of_Workflow_Design_AD" localSheetId="7">#REF!</definedName>
    <definedName name="of_Workflow_Design_AD" localSheetId="0">#REF!</definedName>
    <definedName name="of_Workflow_Design_AD">#REF!</definedName>
    <definedName name="of_Workflow_Design_FA" localSheetId="9">#REF!</definedName>
    <definedName name="of_Workflow_Design_FA" localSheetId="13">#REF!</definedName>
    <definedName name="of_Workflow_Design_FA" localSheetId="22">#REF!</definedName>
    <definedName name="of_Workflow_Design_FA" localSheetId="16">#REF!</definedName>
    <definedName name="of_Workflow_Design_FA" localSheetId="17">#REF!</definedName>
    <definedName name="of_Workflow_Design_FA" localSheetId="15">#REF!</definedName>
    <definedName name="of_Workflow_Design_FA" localSheetId="20">#REF!</definedName>
    <definedName name="of_Workflow_Design_FA" localSheetId="18">#REF!</definedName>
    <definedName name="of_Workflow_Design_FA" localSheetId="7">#REF!</definedName>
    <definedName name="of_Workflow_Design_FA" localSheetId="0">#REF!</definedName>
    <definedName name="of_Workflow_Design_FA">#REF!</definedName>
    <definedName name="of_Workflow_Design_SF" localSheetId="9">#REF!</definedName>
    <definedName name="of_Workflow_Design_SF" localSheetId="13">#REF!</definedName>
    <definedName name="of_Workflow_Design_SF" localSheetId="22">#REF!</definedName>
    <definedName name="of_Workflow_Design_SF" localSheetId="16">#REF!</definedName>
    <definedName name="of_Workflow_Design_SF" localSheetId="17">#REF!</definedName>
    <definedName name="of_Workflow_Design_SF" localSheetId="15">#REF!</definedName>
    <definedName name="of_Workflow_Design_SF" localSheetId="20">#REF!</definedName>
    <definedName name="of_Workflow_Design_SF" localSheetId="18">#REF!</definedName>
    <definedName name="of_Workflow_Design_SF" localSheetId="7">#REF!</definedName>
    <definedName name="of_Workflow_Design_SF" localSheetId="0">#REF!</definedName>
    <definedName name="of_Workflow_Design_SF">#REF!</definedName>
    <definedName name="of_Workflow_Design_SR" localSheetId="9">#REF!</definedName>
    <definedName name="of_Workflow_Design_SR" localSheetId="13">#REF!</definedName>
    <definedName name="of_Workflow_Design_SR" localSheetId="22">#REF!</definedName>
    <definedName name="of_Workflow_Design_SR" localSheetId="16">#REF!</definedName>
    <definedName name="of_Workflow_Design_SR" localSheetId="17">#REF!</definedName>
    <definedName name="of_Workflow_Design_SR" localSheetId="15">#REF!</definedName>
    <definedName name="of_Workflow_Design_SR" localSheetId="20">#REF!</definedName>
    <definedName name="of_Workflow_Design_SR" localSheetId="18">#REF!</definedName>
    <definedName name="of_Workflow_Design_SR" localSheetId="7">#REF!</definedName>
    <definedName name="of_Workflow_Design_SR" localSheetId="0">#REF!</definedName>
    <definedName name="of_Workflow_Design_SR">#REF!</definedName>
    <definedName name="of_Workflows_AD" localSheetId="9">#REF!</definedName>
    <definedName name="of_Workflows_AD" localSheetId="13">#REF!</definedName>
    <definedName name="of_Workflows_AD" localSheetId="22">#REF!</definedName>
    <definedName name="of_Workflows_AD" localSheetId="16">#REF!</definedName>
    <definedName name="of_Workflows_AD" localSheetId="17">#REF!</definedName>
    <definedName name="of_Workflows_AD" localSheetId="15">#REF!</definedName>
    <definedName name="of_Workflows_AD" localSheetId="20">#REF!</definedName>
    <definedName name="of_Workflows_AD" localSheetId="18">#REF!</definedName>
    <definedName name="of_Workflows_AD" localSheetId="7">#REF!</definedName>
    <definedName name="of_Workflows_AD" localSheetId="0">#REF!</definedName>
    <definedName name="of_Workflows_AD">#REF!</definedName>
    <definedName name="of_Workflows_FA" localSheetId="9">#REF!</definedName>
    <definedName name="of_Workflows_FA" localSheetId="13">#REF!</definedName>
    <definedName name="of_Workflows_FA" localSheetId="22">#REF!</definedName>
    <definedName name="of_Workflows_FA" localSheetId="16">#REF!</definedName>
    <definedName name="of_Workflows_FA" localSheetId="17">#REF!</definedName>
    <definedName name="of_Workflows_FA" localSheetId="15">#REF!</definedName>
    <definedName name="of_Workflows_FA" localSheetId="20">#REF!</definedName>
    <definedName name="of_Workflows_FA" localSheetId="18">#REF!</definedName>
    <definedName name="of_Workflows_FA" localSheetId="7">#REF!</definedName>
    <definedName name="of_Workflows_FA" localSheetId="0">#REF!</definedName>
    <definedName name="of_Workflows_FA">#REF!</definedName>
    <definedName name="of_Workflows_SF" localSheetId="9">#REF!</definedName>
    <definedName name="of_Workflows_SF" localSheetId="13">#REF!</definedName>
    <definedName name="of_Workflows_SF" localSheetId="22">#REF!</definedName>
    <definedName name="of_Workflows_SF" localSheetId="16">#REF!</definedName>
    <definedName name="of_Workflows_SF" localSheetId="17">#REF!</definedName>
    <definedName name="of_Workflows_SF" localSheetId="15">#REF!</definedName>
    <definedName name="of_Workflows_SF" localSheetId="20">#REF!</definedName>
    <definedName name="of_Workflows_SF" localSheetId="18">#REF!</definedName>
    <definedName name="of_Workflows_SF" localSheetId="7">#REF!</definedName>
    <definedName name="of_Workflows_SF" localSheetId="0">#REF!</definedName>
    <definedName name="of_Workflows_SF">#REF!</definedName>
    <definedName name="of_Workflows_SR" localSheetId="9">#REF!</definedName>
    <definedName name="of_Workflows_SR" localSheetId="13">#REF!</definedName>
    <definedName name="of_Workflows_SR" localSheetId="22">#REF!</definedName>
    <definedName name="of_Workflows_SR" localSheetId="16">#REF!</definedName>
    <definedName name="of_Workflows_SR" localSheetId="17">#REF!</definedName>
    <definedName name="of_Workflows_SR" localSheetId="15">#REF!</definedName>
    <definedName name="of_Workflows_SR" localSheetId="20">#REF!</definedName>
    <definedName name="of_Workflows_SR" localSheetId="18">#REF!</definedName>
    <definedName name="of_Workflows_SR" localSheetId="7">#REF!</definedName>
    <definedName name="of_Workflows_SR" localSheetId="0">#REF!</definedName>
    <definedName name="of_Workflows_SR">#REF!</definedName>
    <definedName name="_xlnm.Print_Area" localSheetId="9">'3rd Q LRS Cloud Enablement'!$A$1:$P$14</definedName>
    <definedName name="_xlnm.Print_Area" localSheetId="11">'4th Q CalACES ABAWD'!$A$1:$J$10</definedName>
    <definedName name="_xlnm.Print_Area" localSheetId="3">'4th Q CalACES MO CH CS CE '!$A$1:$P$35</definedName>
    <definedName name="_xlnm.Print_Area" localSheetId="13">'4th Q CalSAWS'!$A$1:$J$144</definedName>
    <definedName name="_xlnm.Print_Area" localSheetId="22">'4th Q CalWIN ABAWD'!#REF!</definedName>
    <definedName name="_xlnm.Print_Area" localSheetId="16">'4th Q CalWIN M&amp;O'!#REF!</definedName>
    <definedName name="_xlnm.Print_Area" localSheetId="17">'4th Q CalWIN M&amp;O (County)'!#REF!</definedName>
    <definedName name="_xlnm.Print_Area" localSheetId="15">'4th Q CalWIN M&amp;O TOTAL'!#REF!</definedName>
    <definedName name="_xlnm.Print_Area" localSheetId="20">'4th Q CalWIN MO CH App Maint'!#REF!</definedName>
    <definedName name="_xlnm.Print_Area" localSheetId="18">'4th Q CalWIN QA'!#REF!</definedName>
    <definedName name="_xlnm.Print_Area" localSheetId="5">'4th Q C-IV CalHEERS '!$A$1:$P$17</definedName>
    <definedName name="_xlnm.Print_Area" localSheetId="6">'4th Q C-IV Covered CA'!$A$1:$P$17</definedName>
    <definedName name="_xlnm.Print_Area" localSheetId="4">'4th Q C-IV M&amp;O '!$A$1:$P$32</definedName>
    <definedName name="_xlnm.Print_Area" localSheetId="2">'4th Q Co Share Calculations'!$A$1:$BR$65</definedName>
    <definedName name="_xlnm.Print_Area" localSheetId="8">'4th Q LRS CalHEERS'!$A$1:$K$17</definedName>
    <definedName name="_xlnm.Print_Area" localSheetId="7">'4th Q LRS M&amp;O'!$A$1:$O$17</definedName>
    <definedName name="_xlnm.Print_Area" localSheetId="1">'4th Q SFY 1920 Co Share by Proj'!$A$1:$AE$63</definedName>
    <definedName name="_xlnm.Print_Area" localSheetId="0">'4th Q SFY 1920 Co Share Summary'!$A$1:$K$63</definedName>
    <definedName name="_xlnm.Print_Area" localSheetId="12">'SFY 19-20 ABAWD CAP'!$A$1:$H$16</definedName>
    <definedName name="_xlnm.Print_Area" localSheetId="14">'SFY 1920 CalSAWS CAP'!$A$1:$I$141</definedName>
    <definedName name="_xlnm.Print_Area" localSheetId="24">'SFY 1920 CalWIN ABAWD CAP'!#REF!</definedName>
    <definedName name="_xlnm.Print_Area" localSheetId="23">'SFY 1920 CalWIN M&amp;O CAP'!#REF!</definedName>
    <definedName name="_xlnm.Print_Area" localSheetId="10">'SFY 1920 M&amp;O CAP'!$A$2:$I$139</definedName>
    <definedName name="_xlnm.Print_Titles" localSheetId="13">'4th Q CalSAWS'!$A:$A,'4th Q CalSAWS'!$1:$3</definedName>
    <definedName name="_xlnm.Print_Titles" localSheetId="12">'SFY 19-20 ABAWD CAP'!$1:$4</definedName>
    <definedName name="_xlnm.Print_Titles" localSheetId="14">'SFY 1920 CalSAWS CAP'!$1:$4</definedName>
    <definedName name="_xlnm.Print_Titles" localSheetId="24">'SFY 1920 CalWIN ABAWD CAP'!#REF!</definedName>
    <definedName name="_xlnm.Print_Titles" localSheetId="23">'SFY 1920 CalWIN M&amp;O CAP'!#REF!</definedName>
    <definedName name="_xlnm.Print_Titles" localSheetId="10">'SFY 1920 M&amp;O CAP'!$2:$5</definedName>
    <definedName name="Prod">[23]Pricebk!$B$94:$B$400</definedName>
    <definedName name="Prod_Codes">[23]Pricebk!$B$93:$B$399</definedName>
    <definedName name="Prod1">[23]Pricebk!$A$237:$A$271</definedName>
    <definedName name="Product_Codes">[23]Pricebk!$A$236:$A$270</definedName>
    <definedName name="Project_Yr" localSheetId="26">'[4]Allocation-PY'!$A$13:$M$15</definedName>
    <definedName name="Project_Yr">'[5]Allocation-PY'!$A$13:$M$15</definedName>
    <definedName name="ProjectDiscount" localSheetId="26">#REF!</definedName>
    <definedName name="ProjectDiscount" localSheetId="9">#REF!</definedName>
    <definedName name="ProjectDiscount" localSheetId="13">#REF!</definedName>
    <definedName name="ProjectDiscount" localSheetId="22">#REF!</definedName>
    <definedName name="ProjectDiscount" localSheetId="16">#REF!</definedName>
    <definedName name="ProjectDiscount" localSheetId="17">#REF!</definedName>
    <definedName name="ProjectDiscount" localSheetId="15">#REF!</definedName>
    <definedName name="ProjectDiscount" localSheetId="20">#REF!</definedName>
    <definedName name="ProjectDiscount" localSheetId="18">#REF!</definedName>
    <definedName name="ProjectDiscount" localSheetId="7">#REF!</definedName>
    <definedName name="ProjectDiscount" localSheetId="0">#REF!</definedName>
    <definedName name="ProjectDiscount">#REF!</definedName>
    <definedName name="PY_Hours" localSheetId="26">'[4]Allocation-PY'!$A$13:$M$15</definedName>
    <definedName name="PY_Hours">'[5]Allocation-PY'!$A$13:$M$15</definedName>
    <definedName name="PY_Hours_DB" localSheetId="26">'[24]Allocation-PY'!$A$13:$M$15</definedName>
    <definedName name="PY_Hours_DB">'[25]Allocation-PY'!$A$13:$M$15</definedName>
    <definedName name="PY_Percent_DB" localSheetId="26">#REF!</definedName>
    <definedName name="PY_Percent_DB" localSheetId="9">#REF!</definedName>
    <definedName name="PY_Percent_DB" localSheetId="13">#REF!</definedName>
    <definedName name="PY_Percent_DB" localSheetId="22">#REF!</definedName>
    <definedName name="PY_Percent_DB" localSheetId="16">#REF!</definedName>
    <definedName name="PY_Percent_DB" localSheetId="17">#REF!</definedName>
    <definedName name="PY_Percent_DB" localSheetId="15">#REF!</definedName>
    <definedName name="PY_Percent_DB" localSheetId="20">#REF!</definedName>
    <definedName name="PY_Percent_DB" localSheetId="18">#REF!</definedName>
    <definedName name="PY_Percent_DB" localSheetId="7">#REF!</definedName>
    <definedName name="PY_Percent_DB" localSheetId="0">#REF!</definedName>
    <definedName name="PY_Percent_DB">#REF!</definedName>
    <definedName name="QA_Rate">'[1]Cost Summary'!$M$12</definedName>
    <definedName name="QTRALLOC">#N/A</definedName>
    <definedName name="RateCard" localSheetId="26">[8]RateCard!$K$21:$T$712</definedName>
    <definedName name="RateCard">[9]RateCard!$K$21:$T$712</definedName>
    <definedName name="_xlnm.Recorder">[23]Pricebk!$D:$D</definedName>
    <definedName name="RFPRole" localSheetId="26">[8]Lookups!$AA$2:$AA$24</definedName>
    <definedName name="RFPRole">[9]Lookups!$AA$2:$AA$24</definedName>
    <definedName name="Rpt_AT_Factor" localSheetId="26">#REF!</definedName>
    <definedName name="Rpt_AT_Factor" localSheetId="9">#REF!</definedName>
    <definedName name="Rpt_AT_Factor" localSheetId="13">#REF!</definedName>
    <definedName name="Rpt_AT_Factor" localSheetId="22">#REF!</definedName>
    <definedName name="Rpt_AT_Factor" localSheetId="16">#REF!</definedName>
    <definedName name="Rpt_AT_Factor" localSheetId="17">#REF!</definedName>
    <definedName name="Rpt_AT_Factor" localSheetId="15">#REF!</definedName>
    <definedName name="Rpt_AT_Factor" localSheetId="20">#REF!</definedName>
    <definedName name="Rpt_AT_Factor" localSheetId="18">#REF!</definedName>
    <definedName name="Rpt_AT_Factor" localSheetId="7">#REF!</definedName>
    <definedName name="Rpt_AT_Factor" localSheetId="0">#REF!</definedName>
    <definedName name="Rpt_AT_Factor">#REF!</definedName>
    <definedName name="Rule_AT_Factor" localSheetId="9">#REF!</definedName>
    <definedName name="Rule_AT_Factor" localSheetId="13">#REF!</definedName>
    <definedName name="Rule_AT_Factor" localSheetId="22">#REF!</definedName>
    <definedName name="Rule_AT_Factor" localSheetId="16">#REF!</definedName>
    <definedName name="Rule_AT_Factor" localSheetId="17">#REF!</definedName>
    <definedName name="Rule_AT_Factor" localSheetId="15">#REF!</definedName>
    <definedName name="Rule_AT_Factor" localSheetId="20">#REF!</definedName>
    <definedName name="Rule_AT_Factor" localSheetId="18">#REF!</definedName>
    <definedName name="Rule_AT_Factor" localSheetId="7">#REF!</definedName>
    <definedName name="Rule_AT_Factor" localSheetId="0">#REF!</definedName>
    <definedName name="Rule_AT_Factor">#REF!</definedName>
    <definedName name="Rule_DAO_Factor" localSheetId="9">#REF!</definedName>
    <definedName name="Rule_DAO_Factor" localSheetId="13">#REF!</definedName>
    <definedName name="Rule_DAO_Factor" localSheetId="22">#REF!</definedName>
    <definedName name="Rule_DAO_Factor" localSheetId="16">#REF!</definedName>
    <definedName name="Rule_DAO_Factor" localSheetId="17">#REF!</definedName>
    <definedName name="Rule_DAO_Factor" localSheetId="15">#REF!</definedName>
    <definedName name="Rule_DAO_Factor" localSheetId="20">#REF!</definedName>
    <definedName name="Rule_DAO_Factor" localSheetId="18">#REF!</definedName>
    <definedName name="Rule_DAO_Factor" localSheetId="7">#REF!</definedName>
    <definedName name="Rule_DAO_Factor" localSheetId="0">#REF!</definedName>
    <definedName name="Rule_DAO_Factor">#REF!</definedName>
    <definedName name="Rule_VBean_Factor" localSheetId="9">#REF!</definedName>
    <definedName name="Rule_VBean_Factor" localSheetId="13">#REF!</definedName>
    <definedName name="Rule_VBean_Factor" localSheetId="22">#REF!</definedName>
    <definedName name="Rule_VBean_Factor" localSheetId="16">#REF!</definedName>
    <definedName name="Rule_VBean_Factor" localSheetId="17">#REF!</definedName>
    <definedName name="Rule_VBean_Factor" localSheetId="15">#REF!</definedName>
    <definedName name="Rule_VBean_Factor" localSheetId="20">#REF!</definedName>
    <definedName name="Rule_VBean_Factor" localSheetId="18">#REF!</definedName>
    <definedName name="Rule_VBean_Factor" localSheetId="7">#REF!</definedName>
    <definedName name="Rule_VBean_Factor" localSheetId="0">#REF!</definedName>
    <definedName name="Rule_VBean_Factor">#REF!</definedName>
    <definedName name="sacs" localSheetId="9">#REF!</definedName>
    <definedName name="sacs" localSheetId="13">#REF!</definedName>
    <definedName name="sacs" localSheetId="22">#REF!</definedName>
    <definedName name="sacs" localSheetId="16">#REF!</definedName>
    <definedName name="sacs" localSheetId="17">#REF!</definedName>
    <definedName name="sacs" localSheetId="15">#REF!</definedName>
    <definedName name="sacs" localSheetId="20">#REF!</definedName>
    <definedName name="sacs" localSheetId="18">#REF!</definedName>
    <definedName name="sacs" localSheetId="7">#REF!</definedName>
    <definedName name="sacs" localSheetId="0">#REF!</definedName>
    <definedName name="sacs">#REF!</definedName>
    <definedName name="Sales_Tax" localSheetId="26">'[26]J11 - CO-002'!$K$55</definedName>
    <definedName name="Sales_Tax">'[27]J11 - CO-002'!$K$55</definedName>
    <definedName name="Schedule" localSheetId="26">#REF!</definedName>
    <definedName name="Schedule" localSheetId="9">#REF!</definedName>
    <definedName name="Schedule" localSheetId="13">#REF!</definedName>
    <definedName name="Schedule" localSheetId="22">#REF!</definedName>
    <definedName name="Schedule" localSheetId="16">#REF!</definedName>
    <definedName name="Schedule" localSheetId="17">#REF!</definedName>
    <definedName name="Schedule" localSheetId="15">#REF!</definedName>
    <definedName name="Schedule" localSheetId="20">#REF!</definedName>
    <definedName name="Schedule" localSheetId="18">#REF!</definedName>
    <definedName name="Schedule" localSheetId="7">#REF!</definedName>
    <definedName name="Schedule" localSheetId="0">#REF!</definedName>
    <definedName name="Schedule">#REF!</definedName>
    <definedName name="ServicesHours" localSheetId="26">'[28]Cost Categories'!$C$20</definedName>
    <definedName name="ServicesHours">'[29]Cost Categories'!$C$20</definedName>
    <definedName name="Shipping" localSheetId="26">'[26]J11 - CO-002'!$K$56</definedName>
    <definedName name="Shipping">'[27]J11 - CO-002'!$K$56</definedName>
    <definedName name="SUPPLIES" localSheetId="26">'[17]Monthly Detail'!#REF!</definedName>
    <definedName name="SUPPLIES" localSheetId="9">'[17]Monthly Detail'!#REF!</definedName>
    <definedName name="SUPPLIES" localSheetId="13">'[17]Monthly Detail'!#REF!</definedName>
    <definedName name="SUPPLIES" localSheetId="22">'[17]Monthly Detail'!#REF!</definedName>
    <definedName name="SUPPLIES" localSheetId="16">'[17]Monthly Detail'!#REF!</definedName>
    <definedName name="SUPPLIES" localSheetId="17">'[17]Monthly Detail'!#REF!</definedName>
    <definedName name="SUPPLIES" localSheetId="15">'[17]Monthly Detail'!#REF!</definedName>
    <definedName name="SUPPLIES" localSheetId="20">'[17]Monthly Detail'!#REF!</definedName>
    <definedName name="SUPPLIES" localSheetId="18">'[17]Monthly Detail'!#REF!</definedName>
    <definedName name="SUPPLIES" localSheetId="7">'[17]Monthly Detail'!#REF!</definedName>
    <definedName name="SUPPLIES" localSheetId="0">'[17]Monthly Detail'!#REF!</definedName>
    <definedName name="SUPPLIES">'[17]Monthly Detail'!#REF!</definedName>
    <definedName name="SystemTest" localSheetId="26">#REF!</definedName>
    <definedName name="SystemTest" localSheetId="9">#REF!</definedName>
    <definedName name="SystemTest" localSheetId="13">#REF!</definedName>
    <definedName name="SystemTest" localSheetId="22">#REF!</definedName>
    <definedName name="SystemTest" localSheetId="16">#REF!</definedName>
    <definedName name="SystemTest" localSheetId="17">#REF!</definedName>
    <definedName name="SystemTest" localSheetId="15">#REF!</definedName>
    <definedName name="SystemTest" localSheetId="20">#REF!</definedName>
    <definedName name="SystemTest" localSheetId="18">#REF!</definedName>
    <definedName name="SystemTest" localSheetId="7">#REF!</definedName>
    <definedName name="SystemTest" localSheetId="0">#REF!</definedName>
    <definedName name="SystemTest">#REF!</definedName>
    <definedName name="t_channels" localSheetId="26">'[30]hw-sw-maintenance'!#REF!</definedName>
    <definedName name="t_channels" localSheetId="9">'[31]hw-sw-maintenance'!#REF!</definedName>
    <definedName name="t_channels" localSheetId="13">'[31]hw-sw-maintenance'!#REF!</definedName>
    <definedName name="t_channels" localSheetId="22">'[31]hw-sw-maintenance'!#REF!</definedName>
    <definedName name="t_channels" localSheetId="16">'[31]hw-sw-maintenance'!#REF!</definedName>
    <definedName name="t_channels" localSheetId="17">'[31]hw-sw-maintenance'!#REF!</definedName>
    <definedName name="t_channels" localSheetId="15">'[31]hw-sw-maintenance'!#REF!</definedName>
    <definedName name="t_channels" localSheetId="20">'[31]hw-sw-maintenance'!#REF!</definedName>
    <definedName name="t_channels" localSheetId="18">'[31]hw-sw-maintenance'!#REF!</definedName>
    <definedName name="t_channels" localSheetId="7">'[31]hw-sw-maintenance'!#REF!</definedName>
    <definedName name="t_channels" localSheetId="0">'[31]hw-sw-maintenance'!#REF!</definedName>
    <definedName name="t_channels">'[31]hw-sw-maintenance'!#REF!</definedName>
    <definedName name="t_seats" localSheetId="26">'[30]hw-sw-maintenance'!#REF!</definedName>
    <definedName name="t_seats" localSheetId="9">'[31]hw-sw-maintenance'!#REF!</definedName>
    <definedName name="t_seats" localSheetId="13">'[31]hw-sw-maintenance'!#REF!</definedName>
    <definedName name="t_seats" localSheetId="22">'[31]hw-sw-maintenance'!#REF!</definedName>
    <definedName name="t_seats" localSheetId="16">'[31]hw-sw-maintenance'!#REF!</definedName>
    <definedName name="t_seats" localSheetId="17">'[31]hw-sw-maintenance'!#REF!</definedName>
    <definedName name="t_seats" localSheetId="15">'[31]hw-sw-maintenance'!#REF!</definedName>
    <definedName name="t_seats" localSheetId="20">'[31]hw-sw-maintenance'!#REF!</definedName>
    <definedName name="t_seats" localSheetId="18">'[31]hw-sw-maintenance'!#REF!</definedName>
    <definedName name="t_seats" localSheetId="7">'[31]hw-sw-maintenance'!#REF!</definedName>
    <definedName name="t_seats" localSheetId="0">'[31]hw-sw-maintenance'!#REF!</definedName>
    <definedName name="t_seats">'[31]hw-sw-maintenance'!#REF!</definedName>
    <definedName name="T1_Install" localSheetId="9">[15]LoE!#REF!</definedName>
    <definedName name="T1_Install" localSheetId="13">[15]LoE!#REF!</definedName>
    <definedName name="T1_Install" localSheetId="22">[15]LoE!#REF!</definedName>
    <definedName name="T1_Install" localSheetId="16">[15]LoE!#REF!</definedName>
    <definedName name="T1_Install" localSheetId="17">[15]LoE!#REF!</definedName>
    <definedName name="T1_Install" localSheetId="15">[15]LoE!#REF!</definedName>
    <definedName name="T1_Install" localSheetId="20">[15]LoE!#REF!</definedName>
    <definedName name="T1_Install" localSheetId="18">[15]LoE!#REF!</definedName>
    <definedName name="T1_Install" localSheetId="7">[15]LoE!#REF!</definedName>
    <definedName name="T1_Install" localSheetId="0">[15]LoE!#REF!</definedName>
    <definedName name="T1_Install">[15]LoE!#REF!</definedName>
    <definedName name="T1_Recurring_Cost" localSheetId="9">[15]LoE!#REF!</definedName>
    <definedName name="T1_Recurring_Cost" localSheetId="13">[15]LoE!#REF!</definedName>
    <definedName name="T1_Recurring_Cost" localSheetId="22">[15]LoE!#REF!</definedName>
    <definedName name="T1_Recurring_Cost" localSheetId="16">[15]LoE!#REF!</definedName>
    <definedName name="T1_Recurring_Cost" localSheetId="17">[15]LoE!#REF!</definedName>
    <definedName name="T1_Recurring_Cost" localSheetId="15">[15]LoE!#REF!</definedName>
    <definedName name="T1_Recurring_Cost" localSheetId="20">[15]LoE!#REF!</definedName>
    <definedName name="T1_Recurring_Cost" localSheetId="18">[15]LoE!#REF!</definedName>
    <definedName name="T1_Recurring_Cost" localSheetId="7">[15]LoE!#REF!</definedName>
    <definedName name="T1_Recurring_Cost" localSheetId="0">[15]LoE!#REF!</definedName>
    <definedName name="T1_Recurring_Cost">[15]LoE!#REF!</definedName>
    <definedName name="Tables4" hidden="1">{"'Sheet1'!$B$2:$F$25"}</definedName>
    <definedName name="Tasks" localSheetId="9">#REF!</definedName>
    <definedName name="Tasks" localSheetId="13">#REF!</definedName>
    <definedName name="Tasks" localSheetId="22">#REF!</definedName>
    <definedName name="Tasks" localSheetId="16">#REF!</definedName>
    <definedName name="Tasks" localSheetId="17">#REF!</definedName>
    <definedName name="Tasks" localSheetId="15">#REF!</definedName>
    <definedName name="Tasks" localSheetId="20">#REF!</definedName>
    <definedName name="Tasks" localSheetId="18">#REF!</definedName>
    <definedName name="Tasks" localSheetId="7">#REF!</definedName>
    <definedName name="Tasks" localSheetId="0">#REF!</definedName>
    <definedName name="Tasks">#REF!</definedName>
    <definedName name="Team" localSheetId="9">#REF!</definedName>
    <definedName name="Team" localSheetId="13">#REF!</definedName>
    <definedName name="Team" localSheetId="22">#REF!</definedName>
    <definedName name="Team" localSheetId="16">#REF!</definedName>
    <definedName name="Team" localSheetId="17">#REF!</definedName>
    <definedName name="Team" localSheetId="15">#REF!</definedName>
    <definedName name="Team" localSheetId="20">#REF!</definedName>
    <definedName name="Team" localSheetId="18">#REF!</definedName>
    <definedName name="Team" localSheetId="7">#REF!</definedName>
    <definedName name="Team" localSheetId="0">#REF!</definedName>
    <definedName name="Team">#REF!</definedName>
    <definedName name="TestPct" localSheetId="9">#REF!</definedName>
    <definedName name="TestPct" localSheetId="13">#REF!</definedName>
    <definedName name="TestPct" localSheetId="22">#REF!</definedName>
    <definedName name="TestPct" localSheetId="16">#REF!</definedName>
    <definedName name="TestPct" localSheetId="17">#REF!</definedName>
    <definedName name="TestPct" localSheetId="15">#REF!</definedName>
    <definedName name="TestPct" localSheetId="20">#REF!</definedName>
    <definedName name="TestPct" localSheetId="18">#REF!</definedName>
    <definedName name="TestPct" localSheetId="7">#REF!</definedName>
    <definedName name="TestPct" localSheetId="0">#REF!</definedName>
    <definedName name="TestPct">#REF!</definedName>
    <definedName name="USASourceList" localSheetId="26">[8]Lookups!$D$2:$D$4</definedName>
    <definedName name="USASourceList">[9]Lookups!$D$2:$D$4</definedName>
    <definedName name="ValidResources" localSheetId="26">'[32]4.  Resource Totals by Year'!$A$5:$A$20</definedName>
    <definedName name="ValidResources">'[33]4.  Resource Totals by Year'!$A$5:$A$20</definedName>
    <definedName name="WorkforceList" localSheetId="26">[8]Lookups!#REF!</definedName>
    <definedName name="WorkforceList" localSheetId="9">[9]Lookups!#REF!</definedName>
    <definedName name="WorkforceList" localSheetId="13">[9]Lookups!#REF!</definedName>
    <definedName name="WorkforceList" localSheetId="22">[9]Lookups!#REF!</definedName>
    <definedName name="WorkforceList" localSheetId="16">[9]Lookups!#REF!</definedName>
    <definedName name="WorkforceList" localSheetId="17">[9]Lookups!#REF!</definedName>
    <definedName name="WorkforceList" localSheetId="15">[9]Lookups!#REF!</definedName>
    <definedName name="WorkforceList" localSheetId="20">[9]Lookups!#REF!</definedName>
    <definedName name="WorkforceList" localSheetId="18">[9]Lookups!#REF!</definedName>
    <definedName name="WorkforceList" localSheetId="7">[9]Lookups!#REF!</definedName>
    <definedName name="WorkforceList" localSheetId="0">[9]Lookups!#REF!</definedName>
    <definedName name="WorkforceList">[9]Lookups!#REF!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8" l="1"/>
  <c r="J15" i="8"/>
  <c r="H15" i="8"/>
  <c r="K12" i="26" l="1"/>
  <c r="AS62" i="3" l="1"/>
  <c r="AR62" i="3"/>
  <c r="AU62" i="3" s="1"/>
  <c r="AU60" i="3"/>
  <c r="AT55" i="3"/>
  <c r="AR55" i="3"/>
  <c r="AS55" i="3" s="1"/>
  <c r="AR54" i="3"/>
  <c r="AU54" i="3" s="1"/>
  <c r="AR48" i="3"/>
  <c r="AS48" i="3" s="1"/>
  <c r="AR49" i="3"/>
  <c r="AS49" i="3" s="1"/>
  <c r="AR44" i="3"/>
  <c r="AS44" i="3" s="1"/>
  <c r="AR43" i="3"/>
  <c r="AT43" i="3" s="1"/>
  <c r="AR40" i="3"/>
  <c r="AS40" i="3" s="1"/>
  <c r="AR36" i="3"/>
  <c r="AS36" i="3" s="1"/>
  <c r="AR16" i="3"/>
  <c r="AS16" i="3" s="1"/>
  <c r="AS13" i="3"/>
  <c r="AR13" i="3"/>
  <c r="AS7" i="3"/>
  <c r="AR7" i="3"/>
  <c r="AU7" i="3" s="1"/>
  <c r="AU63" i="3"/>
  <c r="AT63" i="3"/>
  <c r="AS63" i="3"/>
  <c r="AT60" i="3"/>
  <c r="AS60" i="3"/>
  <c r="AU50" i="3"/>
  <c r="AT50" i="3"/>
  <c r="AS50" i="3"/>
  <c r="AU47" i="3"/>
  <c r="AT47" i="3"/>
  <c r="AS47" i="3"/>
  <c r="AU46" i="3"/>
  <c r="AT46" i="3"/>
  <c r="AS46" i="3"/>
  <c r="AR37" i="3"/>
  <c r="AU37" i="3" s="1"/>
  <c r="AU55" i="3" l="1"/>
  <c r="AT54" i="3"/>
  <c r="AS54" i="3"/>
  <c r="AT48" i="3"/>
  <c r="AU48" i="3"/>
  <c r="AT62" i="3"/>
  <c r="AT49" i="3"/>
  <c r="AU49" i="3"/>
  <c r="AU44" i="3"/>
  <c r="AT44" i="3"/>
  <c r="AS43" i="3"/>
  <c r="AU43" i="3"/>
  <c r="AU40" i="3"/>
  <c r="AT40" i="3"/>
  <c r="AT36" i="3"/>
  <c r="AU36" i="3"/>
  <c r="AT16" i="3"/>
  <c r="AU13" i="3"/>
  <c r="AT13" i="3"/>
  <c r="AT7" i="3"/>
  <c r="AS37" i="3"/>
  <c r="AT37" i="3"/>
  <c r="BG62" i="3" l="1"/>
  <c r="BG7" i="3"/>
  <c r="BG36" i="3"/>
  <c r="BG43" i="3"/>
  <c r="BG63" i="3"/>
  <c r="BG60" i="3"/>
  <c r="BG55" i="3"/>
  <c r="BG54" i="3"/>
  <c r="BG50" i="3"/>
  <c r="BG49" i="3"/>
  <c r="BG48" i="3"/>
  <c r="BG47" i="3"/>
  <c r="BG46" i="3"/>
  <c r="BG44" i="3"/>
  <c r="BG40" i="3"/>
  <c r="BG37" i="3"/>
  <c r="BG16" i="3"/>
  <c r="BG13" i="3"/>
  <c r="AV48" i="3"/>
  <c r="AV43" i="3"/>
  <c r="AV44" i="3"/>
  <c r="AV47" i="3"/>
  <c r="AV49" i="3"/>
  <c r="AV50" i="3"/>
  <c r="AV54" i="3"/>
  <c r="AV55" i="3"/>
  <c r="AV60" i="3"/>
  <c r="AU16" i="3"/>
  <c r="AV16" i="3" s="1"/>
  <c r="AV13" i="3" l="1"/>
  <c r="AV7" i="3"/>
  <c r="AV46" i="3"/>
  <c r="AV63" i="3"/>
  <c r="AV62" i="3"/>
  <c r="AV40" i="3"/>
  <c r="AV37" i="3"/>
  <c r="AV36" i="3"/>
  <c r="BC63" i="3" l="1"/>
  <c r="BC62" i="3"/>
  <c r="BC60" i="3"/>
  <c r="BC55" i="3"/>
  <c r="BC54" i="3"/>
  <c r="BC50" i="3"/>
  <c r="BC49" i="3"/>
  <c r="BC48" i="3"/>
  <c r="BC47" i="3"/>
  <c r="BC46" i="3"/>
  <c r="BC44" i="3"/>
  <c r="BC43" i="3"/>
  <c r="BC40" i="3"/>
  <c r="BC37" i="3"/>
  <c r="BC36" i="3"/>
  <c r="BC16" i="3"/>
  <c r="BC13" i="3"/>
  <c r="BB65" i="3"/>
  <c r="BA65" i="3"/>
  <c r="BA40" i="3"/>
  <c r="BA49" i="3"/>
  <c r="AN65" i="3"/>
  <c r="AM65" i="3"/>
  <c r="AN43" i="3"/>
  <c r="AL43" i="3"/>
  <c r="AL36" i="3"/>
  <c r="BC65" i="3" l="1"/>
  <c r="AR63" i="3"/>
  <c r="AR60" i="3"/>
  <c r="AR50" i="3"/>
  <c r="AR47" i="3"/>
  <c r="AR46" i="3"/>
  <c r="T6" i="3"/>
  <c r="C78" i="68" l="1"/>
  <c r="C71" i="68"/>
  <c r="C63" i="68"/>
  <c r="C55" i="68"/>
  <c r="C37" i="68"/>
  <c r="C19" i="68"/>
  <c r="BB66" i="3"/>
  <c r="AZ66" i="3"/>
  <c r="AM66" i="3"/>
  <c r="BG65" i="3"/>
  <c r="BG66" i="3" s="1"/>
  <c r="AZ65" i="3" l="1"/>
  <c r="BB63" i="3"/>
  <c r="AZ63" i="3"/>
  <c r="BB62" i="3"/>
  <c r="AZ62" i="3"/>
  <c r="BB60" i="3"/>
  <c r="AZ60" i="3"/>
  <c r="BB55" i="3"/>
  <c r="AZ55" i="3"/>
  <c r="BB54" i="3"/>
  <c r="AZ54" i="3"/>
  <c r="BB50" i="3"/>
  <c r="AZ50" i="3"/>
  <c r="BB49" i="3"/>
  <c r="AZ49" i="3"/>
  <c r="BB48" i="3"/>
  <c r="AZ48" i="3"/>
  <c r="BB47" i="3"/>
  <c r="AZ47" i="3"/>
  <c r="BB46" i="3"/>
  <c r="AZ46" i="3"/>
  <c r="BB44" i="3"/>
  <c r="AZ44" i="3"/>
  <c r="BB43" i="3"/>
  <c r="AZ43" i="3"/>
  <c r="BB40" i="3"/>
  <c r="AZ40" i="3"/>
  <c r="BB37" i="3"/>
  <c r="AZ37" i="3"/>
  <c r="BB36" i="3"/>
  <c r="AZ36" i="3"/>
  <c r="BB16" i="3"/>
  <c r="AZ16" i="3"/>
  <c r="BB13" i="3"/>
  <c r="AZ13" i="3"/>
  <c r="BB7" i="3"/>
  <c r="AZ7" i="3"/>
  <c r="AR65" i="3"/>
  <c r="AM63" i="3"/>
  <c r="AM62" i="3"/>
  <c r="AM60" i="3"/>
  <c r="AM55" i="3"/>
  <c r="AM54" i="3"/>
  <c r="AM50" i="3"/>
  <c r="AM49" i="3"/>
  <c r="AM48" i="3"/>
  <c r="AM47" i="3"/>
  <c r="AM46" i="3"/>
  <c r="AM44" i="3"/>
  <c r="AM43" i="3"/>
  <c r="AM40" i="3"/>
  <c r="AM37" i="3"/>
  <c r="AM36" i="3"/>
  <c r="AM16" i="3"/>
  <c r="AM13" i="3"/>
  <c r="AM7" i="3"/>
  <c r="J139" i="27" l="1"/>
  <c r="I139" i="27"/>
  <c r="H139" i="27"/>
  <c r="J138" i="27"/>
  <c r="I138" i="27"/>
  <c r="H138" i="27"/>
  <c r="G138" i="27"/>
  <c r="E138" i="27"/>
  <c r="O86" i="66" l="1"/>
  <c r="N86" i="66"/>
  <c r="M86" i="66"/>
  <c r="K86" i="66"/>
  <c r="J86" i="66"/>
  <c r="I86" i="66"/>
  <c r="H86" i="66"/>
  <c r="G86" i="66"/>
  <c r="O85" i="66"/>
  <c r="N85" i="66"/>
  <c r="M85" i="66"/>
  <c r="K85" i="66"/>
  <c r="J85" i="66"/>
  <c r="I85" i="66"/>
  <c r="H85" i="66"/>
  <c r="G85" i="66"/>
  <c r="E85" i="66"/>
  <c r="O84" i="66"/>
  <c r="O87" i="66" s="1"/>
  <c r="O90" i="66" s="1"/>
  <c r="N84" i="66"/>
  <c r="N87" i="66" s="1"/>
  <c r="N90" i="66" s="1"/>
  <c r="M84" i="66"/>
  <c r="K84" i="66"/>
  <c r="K87" i="66" s="1"/>
  <c r="K90" i="66" s="1"/>
  <c r="J84" i="66"/>
  <c r="I84" i="66"/>
  <c r="H84" i="66"/>
  <c r="G84" i="66"/>
  <c r="G87" i="66" s="1"/>
  <c r="G90" i="66" s="1"/>
  <c r="E84" i="66"/>
  <c r="P82" i="66"/>
  <c r="F82" i="66"/>
  <c r="P81" i="66"/>
  <c r="F81" i="66"/>
  <c r="P80" i="66"/>
  <c r="F80" i="66"/>
  <c r="P79" i="66"/>
  <c r="F79" i="66"/>
  <c r="P78" i="66"/>
  <c r="F78" i="66"/>
  <c r="P77" i="66"/>
  <c r="F77" i="66"/>
  <c r="P76" i="66"/>
  <c r="F76" i="66"/>
  <c r="P75" i="66"/>
  <c r="F75" i="66"/>
  <c r="P74" i="66"/>
  <c r="F74" i="66"/>
  <c r="P73" i="66"/>
  <c r="F73" i="66"/>
  <c r="P72" i="66"/>
  <c r="F72" i="66"/>
  <c r="P71" i="66"/>
  <c r="F71" i="66"/>
  <c r="P70" i="66"/>
  <c r="F70" i="66"/>
  <c r="P69" i="66"/>
  <c r="F69" i="66"/>
  <c r="P68" i="66"/>
  <c r="F68" i="66"/>
  <c r="P67" i="66"/>
  <c r="F67" i="66"/>
  <c r="P66" i="66"/>
  <c r="F66" i="66"/>
  <c r="P65" i="66"/>
  <c r="F65" i="66"/>
  <c r="E86" i="66"/>
  <c r="P64" i="66"/>
  <c r="F64" i="66"/>
  <c r="P63" i="66"/>
  <c r="F63" i="66"/>
  <c r="P62" i="66"/>
  <c r="F62" i="66"/>
  <c r="P61" i="66"/>
  <c r="F61" i="66"/>
  <c r="P60" i="66"/>
  <c r="F60" i="66"/>
  <c r="P59" i="66"/>
  <c r="F59" i="66"/>
  <c r="P58" i="66"/>
  <c r="F58" i="66"/>
  <c r="P57" i="66"/>
  <c r="F57" i="66"/>
  <c r="P56" i="66"/>
  <c r="F56" i="66"/>
  <c r="P55" i="66"/>
  <c r="F55" i="66"/>
  <c r="P54" i="66"/>
  <c r="F54" i="66"/>
  <c r="P53" i="66"/>
  <c r="F53" i="66"/>
  <c r="P52" i="66"/>
  <c r="F52" i="66"/>
  <c r="P51" i="66"/>
  <c r="F51" i="66"/>
  <c r="P50" i="66"/>
  <c r="F50" i="66"/>
  <c r="P49" i="66"/>
  <c r="F49" i="66"/>
  <c r="P48" i="66"/>
  <c r="F48" i="66"/>
  <c r="P47" i="66"/>
  <c r="F47" i="66"/>
  <c r="P46" i="66"/>
  <c r="F46" i="66"/>
  <c r="P45" i="66"/>
  <c r="F45" i="66"/>
  <c r="P44" i="66"/>
  <c r="F44" i="66"/>
  <c r="P43" i="66"/>
  <c r="F43" i="66"/>
  <c r="P42" i="66"/>
  <c r="F42" i="66"/>
  <c r="P41" i="66"/>
  <c r="F41" i="66"/>
  <c r="P40" i="66"/>
  <c r="F40" i="66"/>
  <c r="P39" i="66"/>
  <c r="F39" i="66"/>
  <c r="P38" i="66"/>
  <c r="F38" i="66"/>
  <c r="P37" i="66"/>
  <c r="F37" i="66"/>
  <c r="P36" i="66"/>
  <c r="F36" i="66"/>
  <c r="P35" i="66"/>
  <c r="F35" i="66"/>
  <c r="P34" i="66"/>
  <c r="F34" i="66"/>
  <c r="P33" i="66"/>
  <c r="F33" i="66"/>
  <c r="P32" i="66"/>
  <c r="F32" i="66"/>
  <c r="P31" i="66"/>
  <c r="F31" i="66"/>
  <c r="P30" i="66"/>
  <c r="P85" i="66" s="1"/>
  <c r="F30" i="66"/>
  <c r="P29" i="66"/>
  <c r="F29" i="66"/>
  <c r="P28" i="66"/>
  <c r="F28" i="66"/>
  <c r="P27" i="66"/>
  <c r="F27" i="66"/>
  <c r="P26" i="66"/>
  <c r="F26" i="66"/>
  <c r="P25" i="66"/>
  <c r="F25" i="66"/>
  <c r="P24" i="66"/>
  <c r="F24" i="66"/>
  <c r="P23" i="66"/>
  <c r="F23" i="66"/>
  <c r="P22" i="66"/>
  <c r="F22" i="66"/>
  <c r="P21" i="66"/>
  <c r="F21" i="66"/>
  <c r="P20" i="66"/>
  <c r="F20" i="66"/>
  <c r="P19" i="66"/>
  <c r="F19" i="66"/>
  <c r="P18" i="66"/>
  <c r="F18" i="66"/>
  <c r="P17" i="66"/>
  <c r="F17" i="66"/>
  <c r="P16" i="66"/>
  <c r="F16" i="66"/>
  <c r="P15" i="66"/>
  <c r="F15" i="66"/>
  <c r="P14" i="66"/>
  <c r="F14" i="66"/>
  <c r="P13" i="66"/>
  <c r="F13" i="66"/>
  <c r="P12" i="66"/>
  <c r="F12" i="66"/>
  <c r="P11" i="66"/>
  <c r="F11" i="66"/>
  <c r="P10" i="66"/>
  <c r="F10" i="66"/>
  <c r="P9" i="66"/>
  <c r="F9" i="66"/>
  <c r="P8" i="66"/>
  <c r="F8" i="66"/>
  <c r="P7" i="66"/>
  <c r="F7" i="66"/>
  <c r="P6" i="66"/>
  <c r="F6" i="66"/>
  <c r="P5" i="66"/>
  <c r="F5" i="66"/>
  <c r="P4" i="66"/>
  <c r="F4" i="66"/>
  <c r="P82" i="62"/>
  <c r="F82" i="62"/>
  <c r="F81" i="62"/>
  <c r="P79" i="62"/>
  <c r="P78" i="62"/>
  <c r="P77" i="62"/>
  <c r="F77" i="62"/>
  <c r="F75" i="62"/>
  <c r="P74" i="62"/>
  <c r="F74" i="62"/>
  <c r="P73" i="62"/>
  <c r="F73" i="62"/>
  <c r="P72" i="62"/>
  <c r="P70" i="62"/>
  <c r="F69" i="62"/>
  <c r="P68" i="62"/>
  <c r="F68" i="62"/>
  <c r="P66" i="62"/>
  <c r="P64" i="62"/>
  <c r="F64" i="62"/>
  <c r="P62" i="62"/>
  <c r="F62" i="62"/>
  <c r="P61" i="62"/>
  <c r="F61" i="62"/>
  <c r="P59" i="62"/>
  <c r="P58" i="62"/>
  <c r="G86" i="62"/>
  <c r="P55" i="62"/>
  <c r="F55" i="62"/>
  <c r="P54" i="62"/>
  <c r="P53" i="62"/>
  <c r="F53" i="62"/>
  <c r="P52" i="62"/>
  <c r="P50" i="62"/>
  <c r="P47" i="62"/>
  <c r="P46" i="62"/>
  <c r="F45" i="62"/>
  <c r="P42" i="62"/>
  <c r="P41" i="62"/>
  <c r="F41" i="62"/>
  <c r="P38" i="62"/>
  <c r="F37" i="62"/>
  <c r="P36" i="62"/>
  <c r="P35" i="62"/>
  <c r="P34" i="62"/>
  <c r="P32" i="62"/>
  <c r="F32" i="62"/>
  <c r="P30" i="62"/>
  <c r="K85" i="62"/>
  <c r="P29" i="62"/>
  <c r="F29" i="62"/>
  <c r="F27" i="62"/>
  <c r="P26" i="62"/>
  <c r="P23" i="62"/>
  <c r="F23" i="62"/>
  <c r="P22" i="62"/>
  <c r="F21" i="62"/>
  <c r="P20" i="62"/>
  <c r="P18" i="62"/>
  <c r="P15" i="62"/>
  <c r="P14" i="62"/>
  <c r="F13" i="62"/>
  <c r="P10" i="62"/>
  <c r="F10" i="62"/>
  <c r="P9" i="62"/>
  <c r="F9" i="62"/>
  <c r="P6" i="62"/>
  <c r="F5" i="62"/>
  <c r="P4" i="62"/>
  <c r="F4" i="62"/>
  <c r="C11" i="61"/>
  <c r="B12" i="61"/>
  <c r="C77" i="68"/>
  <c r="B77" i="68"/>
  <c r="B78" i="68" s="1"/>
  <c r="B71" i="68"/>
  <c r="C62" i="68"/>
  <c r="B62" i="68"/>
  <c r="B63" i="68" s="1"/>
  <c r="C54" i="68"/>
  <c r="B55" i="68"/>
  <c r="C49" i="68"/>
  <c r="I49" i="68" s="1"/>
  <c r="C34" i="68"/>
  <c r="B37" i="68"/>
  <c r="C35" i="68"/>
  <c r="F35" i="68" s="1"/>
  <c r="C31" i="68"/>
  <c r="F31" i="68" s="1"/>
  <c r="C18" i="68"/>
  <c r="B19" i="68"/>
  <c r="C17" i="68"/>
  <c r="I17" i="68" s="1"/>
  <c r="C15" i="68"/>
  <c r="F15" i="68" s="1"/>
  <c r="C13" i="68"/>
  <c r="C11" i="68"/>
  <c r="F11" i="68" s="1"/>
  <c r="I87" i="69"/>
  <c r="I90" i="69" s="1"/>
  <c r="N86" i="69"/>
  <c r="M86" i="69"/>
  <c r="L86" i="69"/>
  <c r="J86" i="69"/>
  <c r="I86" i="69"/>
  <c r="H86" i="69"/>
  <c r="G86" i="69"/>
  <c r="E86" i="69"/>
  <c r="N85" i="69"/>
  <c r="M85" i="69"/>
  <c r="L85" i="69"/>
  <c r="J85" i="69"/>
  <c r="I85" i="69"/>
  <c r="H85" i="69"/>
  <c r="G85" i="69"/>
  <c r="E85" i="69"/>
  <c r="N84" i="69"/>
  <c r="M84" i="69"/>
  <c r="L84" i="69"/>
  <c r="J84" i="69"/>
  <c r="I84" i="69"/>
  <c r="H84" i="69"/>
  <c r="H87" i="69" s="1"/>
  <c r="H90" i="69" s="1"/>
  <c r="G84" i="69"/>
  <c r="E84" i="69"/>
  <c r="E87" i="69" s="1"/>
  <c r="E90" i="69" s="1"/>
  <c r="O82" i="69"/>
  <c r="F82" i="69"/>
  <c r="O81" i="69"/>
  <c r="F81" i="69"/>
  <c r="O80" i="69"/>
  <c r="F80" i="69"/>
  <c r="O79" i="69"/>
  <c r="F79" i="69"/>
  <c r="O78" i="69"/>
  <c r="F78" i="69"/>
  <c r="O77" i="69"/>
  <c r="F77" i="69"/>
  <c r="O76" i="69"/>
  <c r="F76" i="69"/>
  <c r="O75" i="69"/>
  <c r="F75" i="69"/>
  <c r="O74" i="69"/>
  <c r="F74" i="69"/>
  <c r="O73" i="69"/>
  <c r="F73" i="69"/>
  <c r="O72" i="69"/>
  <c r="F72" i="69"/>
  <c r="O71" i="69"/>
  <c r="F71" i="69"/>
  <c r="O70" i="69"/>
  <c r="F70" i="69"/>
  <c r="O69" i="69"/>
  <c r="F69" i="69"/>
  <c r="O68" i="69"/>
  <c r="F68" i="69"/>
  <c r="O67" i="69"/>
  <c r="F67" i="69"/>
  <c r="O66" i="69"/>
  <c r="F66" i="69"/>
  <c r="O65" i="69"/>
  <c r="F65" i="69"/>
  <c r="O64" i="69"/>
  <c r="F64" i="69"/>
  <c r="O63" i="69"/>
  <c r="F63" i="69"/>
  <c r="O62" i="69"/>
  <c r="F62" i="69"/>
  <c r="O61" i="69"/>
  <c r="F61" i="69"/>
  <c r="O60" i="69"/>
  <c r="F60" i="69"/>
  <c r="O59" i="69"/>
  <c r="F59" i="69"/>
  <c r="O58" i="69"/>
  <c r="F58" i="69"/>
  <c r="O57" i="69"/>
  <c r="F57" i="69"/>
  <c r="O56" i="69"/>
  <c r="F56" i="69"/>
  <c r="O55" i="69"/>
  <c r="F55" i="69"/>
  <c r="O54" i="69"/>
  <c r="F54" i="69"/>
  <c r="O53" i="69"/>
  <c r="F53" i="69"/>
  <c r="O52" i="69"/>
  <c r="F52" i="69"/>
  <c r="O51" i="69"/>
  <c r="F51" i="69"/>
  <c r="O50" i="69"/>
  <c r="F50" i="69"/>
  <c r="O49" i="69"/>
  <c r="F49" i="69"/>
  <c r="O48" i="69"/>
  <c r="F48" i="69"/>
  <c r="O47" i="69"/>
  <c r="F47" i="69"/>
  <c r="O46" i="69"/>
  <c r="F46" i="69"/>
  <c r="O45" i="69"/>
  <c r="F45" i="69"/>
  <c r="O44" i="69"/>
  <c r="F44" i="69"/>
  <c r="O43" i="69"/>
  <c r="O42" i="69"/>
  <c r="F42" i="69"/>
  <c r="O41" i="69"/>
  <c r="F41" i="69"/>
  <c r="O40" i="69"/>
  <c r="F40" i="69"/>
  <c r="O39" i="69"/>
  <c r="F39" i="69"/>
  <c r="O38" i="69"/>
  <c r="F38" i="69"/>
  <c r="O37" i="69"/>
  <c r="F37" i="69"/>
  <c r="O36" i="69"/>
  <c r="F36" i="69"/>
  <c r="O35" i="69"/>
  <c r="F35" i="69"/>
  <c r="O34" i="69"/>
  <c r="F34" i="69"/>
  <c r="O33" i="69"/>
  <c r="F33" i="69"/>
  <c r="O32" i="69"/>
  <c r="F32" i="69"/>
  <c r="O31" i="69"/>
  <c r="F31" i="69"/>
  <c r="O30" i="69"/>
  <c r="F30" i="69"/>
  <c r="O29" i="69"/>
  <c r="F29" i="69"/>
  <c r="O28" i="69"/>
  <c r="F28" i="69"/>
  <c r="O27" i="69"/>
  <c r="F27" i="69"/>
  <c r="O26" i="69"/>
  <c r="F26" i="69"/>
  <c r="O25" i="69"/>
  <c r="F25" i="69"/>
  <c r="O24" i="69"/>
  <c r="F24" i="69"/>
  <c r="O23" i="69"/>
  <c r="F23" i="69"/>
  <c r="O22" i="69"/>
  <c r="F22" i="69"/>
  <c r="O21" i="69"/>
  <c r="F21" i="69"/>
  <c r="O20" i="69"/>
  <c r="F20" i="69"/>
  <c r="O19" i="69"/>
  <c r="F19" i="69"/>
  <c r="O18" i="69"/>
  <c r="F18" i="69"/>
  <c r="O17" i="69"/>
  <c r="F17" i="69"/>
  <c r="O16" i="69"/>
  <c r="F16" i="69"/>
  <c r="O15" i="69"/>
  <c r="F15" i="69"/>
  <c r="O14" i="69"/>
  <c r="F14" i="69"/>
  <c r="O13" i="69"/>
  <c r="F13" i="69"/>
  <c r="O12" i="69"/>
  <c r="F12" i="69"/>
  <c r="O11" i="69"/>
  <c r="F11" i="69"/>
  <c r="O10" i="69"/>
  <c r="F10" i="69"/>
  <c r="O9" i="69"/>
  <c r="F9" i="69"/>
  <c r="O8" i="69"/>
  <c r="F8" i="69"/>
  <c r="O7" i="69"/>
  <c r="F7" i="69"/>
  <c r="O6" i="69"/>
  <c r="F6" i="69"/>
  <c r="O5" i="69"/>
  <c r="F5" i="69"/>
  <c r="O4" i="69"/>
  <c r="O84" i="69" s="1"/>
  <c r="F4" i="69"/>
  <c r="O86" i="67"/>
  <c r="N86" i="67"/>
  <c r="M86" i="67"/>
  <c r="K86" i="67"/>
  <c r="J86" i="67"/>
  <c r="I86" i="67"/>
  <c r="H86" i="67"/>
  <c r="G86" i="67"/>
  <c r="O85" i="67"/>
  <c r="N85" i="67"/>
  <c r="M85" i="67"/>
  <c r="K85" i="67"/>
  <c r="J85" i="67"/>
  <c r="I85" i="67"/>
  <c r="H85" i="67"/>
  <c r="G85" i="67"/>
  <c r="E85" i="67"/>
  <c r="O84" i="67"/>
  <c r="N84" i="67"/>
  <c r="M84" i="67"/>
  <c r="M87" i="67" s="1"/>
  <c r="M90" i="67" s="1"/>
  <c r="K84" i="67"/>
  <c r="J84" i="67"/>
  <c r="I84" i="67"/>
  <c r="H84" i="67"/>
  <c r="H87" i="67" s="1"/>
  <c r="H90" i="67" s="1"/>
  <c r="G84" i="67"/>
  <c r="E84" i="67"/>
  <c r="P82" i="67"/>
  <c r="F82" i="67"/>
  <c r="P81" i="67"/>
  <c r="F81" i="67"/>
  <c r="P80" i="67"/>
  <c r="F80" i="67"/>
  <c r="P79" i="67"/>
  <c r="F79" i="67"/>
  <c r="P78" i="67"/>
  <c r="F78" i="67"/>
  <c r="P77" i="67"/>
  <c r="F77" i="67"/>
  <c r="P76" i="67"/>
  <c r="F76" i="67"/>
  <c r="P75" i="67"/>
  <c r="F75" i="67"/>
  <c r="P74" i="67"/>
  <c r="F74" i="67"/>
  <c r="P73" i="67"/>
  <c r="F73" i="67"/>
  <c r="P72" i="67"/>
  <c r="F72" i="67"/>
  <c r="P71" i="67"/>
  <c r="F71" i="67"/>
  <c r="P70" i="67"/>
  <c r="F70" i="67"/>
  <c r="P69" i="67"/>
  <c r="F69" i="67"/>
  <c r="P68" i="67"/>
  <c r="F68" i="67"/>
  <c r="P67" i="67"/>
  <c r="F67" i="67"/>
  <c r="P66" i="67"/>
  <c r="F66" i="67"/>
  <c r="P65" i="67"/>
  <c r="F65" i="67"/>
  <c r="E86" i="67"/>
  <c r="P64" i="67"/>
  <c r="F64" i="67"/>
  <c r="P63" i="67"/>
  <c r="F63" i="67"/>
  <c r="P62" i="67"/>
  <c r="F62" i="67"/>
  <c r="P61" i="67"/>
  <c r="F61" i="67"/>
  <c r="P60" i="67"/>
  <c r="F60" i="67"/>
  <c r="P59" i="67"/>
  <c r="F59" i="67"/>
  <c r="P58" i="67"/>
  <c r="F58" i="67"/>
  <c r="P57" i="67"/>
  <c r="F57" i="67"/>
  <c r="P56" i="67"/>
  <c r="F56" i="67"/>
  <c r="P55" i="67"/>
  <c r="F55" i="67"/>
  <c r="P54" i="67"/>
  <c r="F54" i="67"/>
  <c r="P53" i="67"/>
  <c r="F53" i="67"/>
  <c r="P52" i="67"/>
  <c r="F52" i="67"/>
  <c r="P51" i="67"/>
  <c r="F51" i="67"/>
  <c r="P50" i="67"/>
  <c r="F50" i="67"/>
  <c r="P49" i="67"/>
  <c r="F49" i="67"/>
  <c r="P48" i="67"/>
  <c r="F48" i="67"/>
  <c r="P47" i="67"/>
  <c r="F47" i="67"/>
  <c r="P46" i="67"/>
  <c r="F46" i="67"/>
  <c r="P45" i="67"/>
  <c r="F45" i="67"/>
  <c r="P44" i="67"/>
  <c r="F44" i="67"/>
  <c r="P43" i="67"/>
  <c r="F43" i="67"/>
  <c r="P42" i="67"/>
  <c r="F42" i="67"/>
  <c r="P41" i="67"/>
  <c r="F41" i="67"/>
  <c r="P40" i="67"/>
  <c r="F40" i="67"/>
  <c r="P39" i="67"/>
  <c r="F39" i="67"/>
  <c r="P38" i="67"/>
  <c r="F38" i="67"/>
  <c r="P37" i="67"/>
  <c r="F37" i="67"/>
  <c r="P36" i="67"/>
  <c r="F36" i="67"/>
  <c r="P35" i="67"/>
  <c r="F35" i="67"/>
  <c r="P34" i="67"/>
  <c r="F34" i="67"/>
  <c r="P33" i="67"/>
  <c r="F33" i="67"/>
  <c r="P32" i="67"/>
  <c r="F32" i="67"/>
  <c r="P31" i="67"/>
  <c r="F31" i="67"/>
  <c r="P30" i="67"/>
  <c r="F30" i="67"/>
  <c r="F85" i="67" s="1"/>
  <c r="P29" i="67"/>
  <c r="F29" i="67"/>
  <c r="P28" i="67"/>
  <c r="F28" i="67"/>
  <c r="P27" i="67"/>
  <c r="F27" i="67"/>
  <c r="P26" i="67"/>
  <c r="F26" i="67"/>
  <c r="P25" i="67"/>
  <c r="F25" i="67"/>
  <c r="P24" i="67"/>
  <c r="F24" i="67"/>
  <c r="P23" i="67"/>
  <c r="F23" i="67"/>
  <c r="P22" i="67"/>
  <c r="F22" i="67"/>
  <c r="P21" i="67"/>
  <c r="F21" i="67"/>
  <c r="P20" i="67"/>
  <c r="F20" i="67"/>
  <c r="P19" i="67"/>
  <c r="F19" i="67"/>
  <c r="P18" i="67"/>
  <c r="F18" i="67"/>
  <c r="P17" i="67"/>
  <c r="F17" i="67"/>
  <c r="P16" i="67"/>
  <c r="F16" i="67"/>
  <c r="P15" i="67"/>
  <c r="F15" i="67"/>
  <c r="P14" i="67"/>
  <c r="F14" i="67"/>
  <c r="P13" i="67"/>
  <c r="F13" i="67"/>
  <c r="P12" i="67"/>
  <c r="F12" i="67"/>
  <c r="P11" i="67"/>
  <c r="F11" i="67"/>
  <c r="P10" i="67"/>
  <c r="F10" i="67"/>
  <c r="P9" i="67"/>
  <c r="F9" i="67"/>
  <c r="P8" i="67"/>
  <c r="F8" i="67"/>
  <c r="P7" i="67"/>
  <c r="F7" i="67"/>
  <c r="P6" i="67"/>
  <c r="F6" i="67"/>
  <c r="P5" i="67"/>
  <c r="F5" i="67"/>
  <c r="P4" i="67"/>
  <c r="F4" i="67"/>
  <c r="O86" i="65"/>
  <c r="N86" i="65"/>
  <c r="M86" i="65"/>
  <c r="K86" i="65"/>
  <c r="J86" i="65"/>
  <c r="I86" i="65"/>
  <c r="H86" i="65"/>
  <c r="G86" i="65"/>
  <c r="E86" i="65"/>
  <c r="P85" i="65"/>
  <c r="O85" i="65"/>
  <c r="N85" i="65"/>
  <c r="M85" i="65"/>
  <c r="K85" i="65"/>
  <c r="J85" i="65"/>
  <c r="I85" i="65"/>
  <c r="H85" i="65"/>
  <c r="G85" i="65"/>
  <c r="F85" i="65"/>
  <c r="E85" i="65"/>
  <c r="P84" i="65"/>
  <c r="O84" i="65"/>
  <c r="N84" i="65"/>
  <c r="M84" i="65"/>
  <c r="M87" i="65" s="1"/>
  <c r="M90" i="65" s="1"/>
  <c r="K84" i="65"/>
  <c r="J84" i="65"/>
  <c r="J87" i="65" s="1"/>
  <c r="J90" i="65" s="1"/>
  <c r="I84" i="65"/>
  <c r="H84" i="65"/>
  <c r="H87" i="65" s="1"/>
  <c r="H90" i="65" s="1"/>
  <c r="G84" i="65"/>
  <c r="F84" i="65"/>
  <c r="E84" i="65"/>
  <c r="P82" i="65"/>
  <c r="F82" i="65"/>
  <c r="P81" i="65"/>
  <c r="F81" i="65"/>
  <c r="P80" i="65"/>
  <c r="F80" i="65"/>
  <c r="P79" i="65"/>
  <c r="F79" i="65"/>
  <c r="P78" i="65"/>
  <c r="F78" i="65"/>
  <c r="P77" i="65"/>
  <c r="F77" i="65"/>
  <c r="P76" i="65"/>
  <c r="F76" i="65"/>
  <c r="P75" i="65"/>
  <c r="F75" i="65"/>
  <c r="P74" i="65"/>
  <c r="F74" i="65"/>
  <c r="P73" i="65"/>
  <c r="F73" i="65"/>
  <c r="P72" i="65"/>
  <c r="F72" i="65"/>
  <c r="P71" i="65"/>
  <c r="F71" i="65"/>
  <c r="P70" i="65"/>
  <c r="F70" i="65"/>
  <c r="P69" i="65"/>
  <c r="F69" i="65"/>
  <c r="P68" i="65"/>
  <c r="F68" i="65"/>
  <c r="P67" i="65"/>
  <c r="F67" i="65"/>
  <c r="P66" i="65"/>
  <c r="F66" i="65"/>
  <c r="P65" i="65"/>
  <c r="F65" i="65"/>
  <c r="P64" i="65"/>
  <c r="F64" i="65"/>
  <c r="P63" i="65"/>
  <c r="F63" i="65"/>
  <c r="P62" i="65"/>
  <c r="F62" i="65"/>
  <c r="P61" i="65"/>
  <c r="F61" i="65"/>
  <c r="P60" i="65"/>
  <c r="F60" i="65"/>
  <c r="P59" i="65"/>
  <c r="F59" i="65"/>
  <c r="P58" i="65"/>
  <c r="F58" i="65"/>
  <c r="P57" i="65"/>
  <c r="F57" i="65"/>
  <c r="P56" i="65"/>
  <c r="F56" i="65"/>
  <c r="O86" i="64"/>
  <c r="N86" i="64"/>
  <c r="M86" i="64"/>
  <c r="K86" i="64"/>
  <c r="J86" i="64"/>
  <c r="I86" i="64"/>
  <c r="H86" i="64"/>
  <c r="G86" i="64"/>
  <c r="E86" i="64"/>
  <c r="O85" i="64"/>
  <c r="N85" i="64"/>
  <c r="M85" i="64"/>
  <c r="K85" i="64"/>
  <c r="J85" i="64"/>
  <c r="I85" i="64"/>
  <c r="I87" i="64" s="1"/>
  <c r="I90" i="64" s="1"/>
  <c r="H85" i="64"/>
  <c r="G85" i="64"/>
  <c r="E85" i="64"/>
  <c r="O84" i="64"/>
  <c r="N84" i="64"/>
  <c r="M84" i="64"/>
  <c r="M87" i="64" s="1"/>
  <c r="M90" i="64" s="1"/>
  <c r="AZ6" i="3" s="1"/>
  <c r="K84" i="64"/>
  <c r="K87" i="64" s="1"/>
  <c r="K90" i="64" s="1"/>
  <c r="J84" i="64"/>
  <c r="J87" i="64" s="1"/>
  <c r="J90" i="64" s="1"/>
  <c r="I84" i="64"/>
  <c r="H84" i="64"/>
  <c r="G84" i="64"/>
  <c r="E84" i="64"/>
  <c r="E87" i="64" s="1"/>
  <c r="E90" i="64" s="1"/>
  <c r="P82" i="64"/>
  <c r="F82" i="64"/>
  <c r="P81" i="64"/>
  <c r="F81" i="64"/>
  <c r="P80" i="64"/>
  <c r="F80" i="64"/>
  <c r="P79" i="64"/>
  <c r="F79" i="64"/>
  <c r="P78" i="64"/>
  <c r="F78" i="64"/>
  <c r="P77" i="64"/>
  <c r="F77" i="64"/>
  <c r="P76" i="64"/>
  <c r="F76" i="64"/>
  <c r="P75" i="64"/>
  <c r="F75" i="64"/>
  <c r="P74" i="64"/>
  <c r="F74" i="64"/>
  <c r="P73" i="64"/>
  <c r="F73" i="64"/>
  <c r="P72" i="64"/>
  <c r="F72" i="64"/>
  <c r="P71" i="64"/>
  <c r="F71" i="64"/>
  <c r="P70" i="64"/>
  <c r="F70" i="64"/>
  <c r="P69" i="64"/>
  <c r="F69" i="64"/>
  <c r="P68" i="64"/>
  <c r="F68" i="64"/>
  <c r="P67" i="64"/>
  <c r="F67" i="64"/>
  <c r="P66" i="64"/>
  <c r="F66" i="64"/>
  <c r="P65" i="64"/>
  <c r="F65" i="64"/>
  <c r="P64" i="64"/>
  <c r="F64" i="64"/>
  <c r="P63" i="64"/>
  <c r="F63" i="64"/>
  <c r="P62" i="64"/>
  <c r="F62" i="64"/>
  <c r="P61" i="64"/>
  <c r="F61" i="64"/>
  <c r="P60" i="64"/>
  <c r="F60" i="64"/>
  <c r="P59" i="64"/>
  <c r="F59" i="64"/>
  <c r="P58" i="64"/>
  <c r="F58" i="64"/>
  <c r="P57" i="64"/>
  <c r="F57" i="64"/>
  <c r="P56" i="64"/>
  <c r="F56" i="64"/>
  <c r="P55" i="64"/>
  <c r="F55" i="64"/>
  <c r="P54" i="64"/>
  <c r="F54" i="64"/>
  <c r="F53" i="64"/>
  <c r="F52" i="64"/>
  <c r="F51" i="64"/>
  <c r="F50" i="64"/>
  <c r="F49" i="64"/>
  <c r="F48" i="64"/>
  <c r="F47" i="64"/>
  <c r="F46" i="64"/>
  <c r="F45" i="64"/>
  <c r="F44" i="64"/>
  <c r="P43" i="64"/>
  <c r="F43" i="64"/>
  <c r="F42" i="64"/>
  <c r="F41" i="64"/>
  <c r="F40" i="64"/>
  <c r="F39" i="64"/>
  <c r="F38" i="64"/>
  <c r="F37" i="64"/>
  <c r="F36" i="64"/>
  <c r="F35" i="64"/>
  <c r="F34" i="64"/>
  <c r="F33" i="64"/>
  <c r="F32" i="64"/>
  <c r="F31" i="64"/>
  <c r="F30" i="64"/>
  <c r="P29" i="64"/>
  <c r="F29" i="64"/>
  <c r="P28" i="64"/>
  <c r="F28" i="64"/>
  <c r="P27" i="64"/>
  <c r="F27" i="64"/>
  <c r="P26" i="64"/>
  <c r="F26" i="64"/>
  <c r="P25" i="64"/>
  <c r="F25" i="64"/>
  <c r="P24" i="64"/>
  <c r="F24" i="64"/>
  <c r="P23" i="64"/>
  <c r="F23" i="64"/>
  <c r="P22" i="64"/>
  <c r="F22" i="64"/>
  <c r="P21" i="64"/>
  <c r="F21" i="64"/>
  <c r="P20" i="64"/>
  <c r="F20" i="64"/>
  <c r="P19" i="64"/>
  <c r="F19" i="64"/>
  <c r="P18" i="64"/>
  <c r="F18" i="64"/>
  <c r="P17" i="64"/>
  <c r="F17" i="64"/>
  <c r="P16" i="64"/>
  <c r="F16" i="64"/>
  <c r="P15" i="64"/>
  <c r="F15" i="64"/>
  <c r="P14" i="64"/>
  <c r="F14" i="64"/>
  <c r="P13" i="64"/>
  <c r="F13" i="64"/>
  <c r="P12" i="64"/>
  <c r="F12" i="64"/>
  <c r="P11" i="64"/>
  <c r="F11" i="64"/>
  <c r="P10" i="64"/>
  <c r="F10" i="64"/>
  <c r="P9" i="64"/>
  <c r="F9" i="64"/>
  <c r="P8" i="64"/>
  <c r="F8" i="64"/>
  <c r="P7" i="64"/>
  <c r="F7" i="64"/>
  <c r="P6" i="64"/>
  <c r="F6" i="64"/>
  <c r="P5" i="64"/>
  <c r="F5" i="64"/>
  <c r="P4" i="64"/>
  <c r="F4" i="64"/>
  <c r="K87" i="70"/>
  <c r="K90" i="70" s="1"/>
  <c r="K86" i="70"/>
  <c r="J86" i="70"/>
  <c r="I86" i="70"/>
  <c r="H86" i="70"/>
  <c r="G86" i="70"/>
  <c r="O85" i="70"/>
  <c r="N85" i="70"/>
  <c r="M85" i="70"/>
  <c r="K85" i="70"/>
  <c r="J85" i="70"/>
  <c r="I85" i="70"/>
  <c r="H85" i="70"/>
  <c r="G85" i="70"/>
  <c r="E85" i="70"/>
  <c r="K84" i="70"/>
  <c r="J84" i="70"/>
  <c r="J87" i="70" s="1"/>
  <c r="J90" i="70" s="1"/>
  <c r="I84" i="70"/>
  <c r="H84" i="70"/>
  <c r="G84" i="70"/>
  <c r="G87" i="70" s="1"/>
  <c r="G90" i="70" s="1"/>
  <c r="E84" i="70"/>
  <c r="P82" i="70"/>
  <c r="F82" i="70"/>
  <c r="P81" i="70"/>
  <c r="F81" i="70"/>
  <c r="P80" i="70"/>
  <c r="F80" i="70"/>
  <c r="P79" i="70"/>
  <c r="F79" i="70"/>
  <c r="P78" i="70"/>
  <c r="F78" i="70"/>
  <c r="P77" i="70"/>
  <c r="F77" i="70"/>
  <c r="P76" i="70"/>
  <c r="F76" i="70"/>
  <c r="P75" i="70"/>
  <c r="F75" i="70"/>
  <c r="P74" i="70"/>
  <c r="F74" i="70"/>
  <c r="P73" i="70"/>
  <c r="F73" i="70"/>
  <c r="P72" i="70"/>
  <c r="F72" i="70"/>
  <c r="P71" i="70"/>
  <c r="F71" i="70"/>
  <c r="F70" i="70"/>
  <c r="P69" i="70"/>
  <c r="F69" i="70"/>
  <c r="P68" i="70"/>
  <c r="F68" i="70"/>
  <c r="P67" i="70"/>
  <c r="F67" i="70"/>
  <c r="P66" i="70"/>
  <c r="F66" i="70"/>
  <c r="P65" i="70"/>
  <c r="F65" i="70"/>
  <c r="P64" i="70"/>
  <c r="F64" i="70"/>
  <c r="P63" i="70"/>
  <c r="F63" i="70"/>
  <c r="P62" i="70"/>
  <c r="F62" i="70"/>
  <c r="E86" i="70"/>
  <c r="P61" i="70"/>
  <c r="F61" i="70"/>
  <c r="P60" i="70"/>
  <c r="F60" i="70"/>
  <c r="P59" i="70"/>
  <c r="F59" i="70"/>
  <c r="O86" i="70"/>
  <c r="N86" i="70"/>
  <c r="F58" i="70"/>
  <c r="P57" i="70"/>
  <c r="F57" i="70"/>
  <c r="P56" i="70"/>
  <c r="F56" i="70"/>
  <c r="P55" i="70"/>
  <c r="F55" i="70"/>
  <c r="P54" i="70"/>
  <c r="F54" i="70"/>
  <c r="P53" i="70"/>
  <c r="F53" i="70"/>
  <c r="P52" i="70"/>
  <c r="F52" i="70"/>
  <c r="P51" i="70"/>
  <c r="F51" i="70"/>
  <c r="P50" i="70"/>
  <c r="F50" i="70"/>
  <c r="P49" i="70"/>
  <c r="F49" i="70"/>
  <c r="P48" i="70"/>
  <c r="F48" i="70"/>
  <c r="P47" i="70"/>
  <c r="F47" i="70"/>
  <c r="P46" i="70"/>
  <c r="F46" i="70"/>
  <c r="P45" i="70"/>
  <c r="F45" i="70"/>
  <c r="P44" i="70"/>
  <c r="F44" i="70"/>
  <c r="P43" i="70"/>
  <c r="F43" i="70"/>
  <c r="P42" i="70"/>
  <c r="F42" i="70"/>
  <c r="P41" i="70"/>
  <c r="F41" i="70"/>
  <c r="P40" i="70"/>
  <c r="F40" i="70"/>
  <c r="P39" i="70"/>
  <c r="F39" i="70"/>
  <c r="P38" i="70"/>
  <c r="F38" i="70"/>
  <c r="P37" i="70"/>
  <c r="F37" i="70"/>
  <c r="P36" i="70"/>
  <c r="F36" i="70"/>
  <c r="P35" i="70"/>
  <c r="F35" i="70"/>
  <c r="P34" i="70"/>
  <c r="F34" i="70"/>
  <c r="P33" i="70"/>
  <c r="F33" i="70"/>
  <c r="P32" i="70"/>
  <c r="F32" i="70"/>
  <c r="P31" i="70"/>
  <c r="F31" i="70"/>
  <c r="P30" i="70"/>
  <c r="F30" i="70"/>
  <c r="P29" i="70"/>
  <c r="F29" i="70"/>
  <c r="P28" i="70"/>
  <c r="F28" i="70"/>
  <c r="P27" i="70"/>
  <c r="F27" i="70"/>
  <c r="P26" i="70"/>
  <c r="F26" i="70"/>
  <c r="P25" i="70"/>
  <c r="F25" i="70"/>
  <c r="P24" i="70"/>
  <c r="F24" i="70"/>
  <c r="P23" i="70"/>
  <c r="F23" i="70"/>
  <c r="P22" i="70"/>
  <c r="F22" i="70"/>
  <c r="P21" i="70"/>
  <c r="F21" i="70"/>
  <c r="P20" i="70"/>
  <c r="F20" i="70"/>
  <c r="N84" i="70"/>
  <c r="F19" i="70"/>
  <c r="P18" i="70"/>
  <c r="F18" i="70"/>
  <c r="P17" i="70"/>
  <c r="F17" i="70"/>
  <c r="P16" i="70"/>
  <c r="F16" i="70"/>
  <c r="P15" i="70"/>
  <c r="F15" i="70"/>
  <c r="P14" i="70"/>
  <c r="F14" i="70"/>
  <c r="P13" i="70"/>
  <c r="F13" i="70"/>
  <c r="P12" i="70"/>
  <c r="F12" i="70"/>
  <c r="P11" i="70"/>
  <c r="F11" i="70"/>
  <c r="P10" i="70"/>
  <c r="F10" i="70"/>
  <c r="P9" i="70"/>
  <c r="F9" i="70"/>
  <c r="P8" i="70"/>
  <c r="F8" i="70"/>
  <c r="P7" i="70"/>
  <c r="F7" i="70"/>
  <c r="P6" i="70"/>
  <c r="F6" i="70"/>
  <c r="P5" i="70"/>
  <c r="F5" i="70"/>
  <c r="P4" i="70"/>
  <c r="F4" i="70"/>
  <c r="O86" i="63"/>
  <c r="N86" i="63"/>
  <c r="M86" i="63"/>
  <c r="K86" i="63"/>
  <c r="J86" i="63"/>
  <c r="I86" i="63"/>
  <c r="H86" i="63"/>
  <c r="G86" i="63"/>
  <c r="E86" i="63"/>
  <c r="O85" i="63"/>
  <c r="N85" i="63"/>
  <c r="M85" i="63"/>
  <c r="M87" i="63" s="1"/>
  <c r="M90" i="63" s="1"/>
  <c r="AL6" i="3" s="1"/>
  <c r="K85" i="63"/>
  <c r="J85" i="63"/>
  <c r="I85" i="63"/>
  <c r="H85" i="63"/>
  <c r="G85" i="63"/>
  <c r="E85" i="63"/>
  <c r="O84" i="63"/>
  <c r="O87" i="63" s="1"/>
  <c r="O90" i="63" s="1"/>
  <c r="AN6" i="3" s="1"/>
  <c r="N84" i="63"/>
  <c r="M84" i="63"/>
  <c r="K84" i="63"/>
  <c r="J84" i="63"/>
  <c r="J87" i="63" s="1"/>
  <c r="J90" i="63" s="1"/>
  <c r="I84" i="63"/>
  <c r="H84" i="63"/>
  <c r="G84" i="63"/>
  <c r="E84" i="63"/>
  <c r="E87" i="63" s="1"/>
  <c r="E90" i="63" s="1"/>
  <c r="P82" i="63"/>
  <c r="F82" i="63"/>
  <c r="P81" i="63"/>
  <c r="F81" i="63"/>
  <c r="P80" i="63"/>
  <c r="F80" i="63"/>
  <c r="P79" i="63"/>
  <c r="F79" i="63"/>
  <c r="P78" i="63"/>
  <c r="F78" i="63"/>
  <c r="P77" i="63"/>
  <c r="F77" i="63"/>
  <c r="P76" i="63"/>
  <c r="F76" i="63"/>
  <c r="P75" i="63"/>
  <c r="F75" i="63"/>
  <c r="P74" i="63"/>
  <c r="F74" i="63"/>
  <c r="P73" i="63"/>
  <c r="F73" i="63"/>
  <c r="P72" i="63"/>
  <c r="F72" i="63"/>
  <c r="P71" i="63"/>
  <c r="F71" i="63"/>
  <c r="P70" i="63"/>
  <c r="F70" i="63"/>
  <c r="P69" i="63"/>
  <c r="F69" i="63"/>
  <c r="P68" i="63"/>
  <c r="F68" i="63"/>
  <c r="P67" i="63"/>
  <c r="F67" i="63"/>
  <c r="P66" i="63"/>
  <c r="F66" i="63"/>
  <c r="P65" i="63"/>
  <c r="F65" i="63"/>
  <c r="P64" i="63"/>
  <c r="F64" i="63"/>
  <c r="P63" i="63"/>
  <c r="F63" i="63"/>
  <c r="P62" i="63"/>
  <c r="F62" i="63"/>
  <c r="P61" i="63"/>
  <c r="F61" i="63"/>
  <c r="P60" i="63"/>
  <c r="F60" i="63"/>
  <c r="P59" i="63"/>
  <c r="F59" i="63"/>
  <c r="P58" i="63"/>
  <c r="F58" i="63"/>
  <c r="P57" i="63"/>
  <c r="F57" i="63"/>
  <c r="P56" i="63"/>
  <c r="F56" i="63"/>
  <c r="P55" i="63"/>
  <c r="F55" i="63"/>
  <c r="P54" i="63"/>
  <c r="F54" i="63"/>
  <c r="P53" i="63"/>
  <c r="F53" i="63"/>
  <c r="P52" i="63"/>
  <c r="F52" i="63"/>
  <c r="P51" i="63"/>
  <c r="F51" i="63"/>
  <c r="P50" i="63"/>
  <c r="F50" i="63"/>
  <c r="P49" i="63"/>
  <c r="F49" i="63"/>
  <c r="P48" i="63"/>
  <c r="F48" i="63"/>
  <c r="P47" i="63"/>
  <c r="F47" i="63"/>
  <c r="P46" i="63"/>
  <c r="F46" i="63"/>
  <c r="P45" i="63"/>
  <c r="F45" i="63"/>
  <c r="P44" i="63"/>
  <c r="F44" i="63"/>
  <c r="P43" i="63"/>
  <c r="F43" i="63"/>
  <c r="P42" i="63"/>
  <c r="F42" i="63"/>
  <c r="P41" i="63"/>
  <c r="F41" i="63"/>
  <c r="P40" i="63"/>
  <c r="F40" i="63"/>
  <c r="P39" i="63"/>
  <c r="F39" i="63"/>
  <c r="P38" i="63"/>
  <c r="F38" i="63"/>
  <c r="P37" i="63"/>
  <c r="F37" i="63"/>
  <c r="P36" i="63"/>
  <c r="F36" i="63"/>
  <c r="P35" i="63"/>
  <c r="F35" i="63"/>
  <c r="P34" i="63"/>
  <c r="F34" i="63"/>
  <c r="P33" i="63"/>
  <c r="F33" i="63"/>
  <c r="P32" i="63"/>
  <c r="F32" i="63"/>
  <c r="P31" i="63"/>
  <c r="F31" i="63"/>
  <c r="P30" i="63"/>
  <c r="P85" i="63" s="1"/>
  <c r="F30" i="63"/>
  <c r="P29" i="63"/>
  <c r="F29" i="63"/>
  <c r="P28" i="63"/>
  <c r="F28" i="63"/>
  <c r="P27" i="63"/>
  <c r="F27" i="63"/>
  <c r="P26" i="63"/>
  <c r="F26" i="63"/>
  <c r="P25" i="63"/>
  <c r="F25" i="63"/>
  <c r="P24" i="63"/>
  <c r="F24" i="63"/>
  <c r="P23" i="63"/>
  <c r="F23" i="63"/>
  <c r="P22" i="63"/>
  <c r="F22" i="63"/>
  <c r="P21" i="63"/>
  <c r="F21" i="63"/>
  <c r="P20" i="63"/>
  <c r="F20" i="63"/>
  <c r="P19" i="63"/>
  <c r="F19" i="63"/>
  <c r="P18" i="63"/>
  <c r="F18" i="63"/>
  <c r="P17" i="63"/>
  <c r="F17" i="63"/>
  <c r="P16" i="63"/>
  <c r="F16" i="63"/>
  <c r="P15" i="63"/>
  <c r="F15" i="63"/>
  <c r="P14" i="63"/>
  <c r="F14" i="63"/>
  <c r="P13" i="63"/>
  <c r="F13" i="63"/>
  <c r="P12" i="63"/>
  <c r="F12" i="63"/>
  <c r="P11" i="63"/>
  <c r="F11" i="63"/>
  <c r="P10" i="63"/>
  <c r="F10" i="63"/>
  <c r="P9" i="63"/>
  <c r="F9" i="63"/>
  <c r="P8" i="63"/>
  <c r="F8" i="63"/>
  <c r="P7" i="63"/>
  <c r="F7" i="63"/>
  <c r="P6" i="63"/>
  <c r="F6" i="63"/>
  <c r="P5" i="63"/>
  <c r="F5" i="63"/>
  <c r="P4" i="63"/>
  <c r="F4" i="63"/>
  <c r="AN63" i="3" l="1"/>
  <c r="AN60" i="3"/>
  <c r="AN54" i="3"/>
  <c r="AN49" i="3"/>
  <c r="AN47" i="3"/>
  <c r="AN44" i="3"/>
  <c r="AN40" i="3"/>
  <c r="AN36" i="3"/>
  <c r="AN13" i="3"/>
  <c r="AN50" i="3"/>
  <c r="AN37" i="3"/>
  <c r="AN7" i="3"/>
  <c r="AN62" i="3"/>
  <c r="AN55" i="3"/>
  <c r="AN48" i="3"/>
  <c r="AN46" i="3"/>
  <c r="AN16" i="3"/>
  <c r="AO6" i="3"/>
  <c r="AL55" i="3"/>
  <c r="AL48" i="3"/>
  <c r="AO48" i="3" s="1"/>
  <c r="AO43" i="3"/>
  <c r="AL16" i="3"/>
  <c r="AL60" i="3"/>
  <c r="AL44" i="3"/>
  <c r="AO36" i="3"/>
  <c r="AO65" i="3" s="1"/>
  <c r="AL50" i="3"/>
  <c r="AL46" i="3"/>
  <c r="AO46" i="3" s="1"/>
  <c r="AL7" i="3"/>
  <c r="AL63" i="3"/>
  <c r="AO63" i="3" s="1"/>
  <c r="AL47" i="3"/>
  <c r="AL40" i="3"/>
  <c r="AO40" i="3" s="1"/>
  <c r="AL49" i="3"/>
  <c r="AO49" i="3" s="1"/>
  <c r="AL62" i="3"/>
  <c r="AO62" i="3" s="1"/>
  <c r="AL37" i="3"/>
  <c r="AO37" i="3" s="1"/>
  <c r="AL54" i="3"/>
  <c r="AO54" i="3" s="1"/>
  <c r="AL13" i="3"/>
  <c r="AO13" i="3" s="1"/>
  <c r="G15" i="68"/>
  <c r="P84" i="63"/>
  <c r="G87" i="63"/>
  <c r="G90" i="63" s="1"/>
  <c r="K87" i="63"/>
  <c r="K90" i="63" s="1"/>
  <c r="H87" i="70"/>
  <c r="H90" i="70" s="1"/>
  <c r="F86" i="64"/>
  <c r="H87" i="64"/>
  <c r="H90" i="64" s="1"/>
  <c r="I87" i="70"/>
  <c r="I90" i="70" s="1"/>
  <c r="P85" i="64"/>
  <c r="P86" i="64"/>
  <c r="I87" i="67"/>
  <c r="I90" i="67" s="1"/>
  <c r="H87" i="66"/>
  <c r="H90" i="66" s="1"/>
  <c r="M87" i="66"/>
  <c r="M90" i="66" s="1"/>
  <c r="F86" i="65"/>
  <c r="K87" i="65"/>
  <c r="K90" i="65" s="1"/>
  <c r="J87" i="67"/>
  <c r="J90" i="67" s="1"/>
  <c r="O87" i="67"/>
  <c r="O90" i="67" s="1"/>
  <c r="E87" i="65"/>
  <c r="E90" i="65" s="1"/>
  <c r="G11" i="68"/>
  <c r="H31" i="68"/>
  <c r="F85" i="66"/>
  <c r="F87" i="66" s="1"/>
  <c r="F90" i="66" s="1"/>
  <c r="F86" i="66"/>
  <c r="O85" i="69"/>
  <c r="F84" i="70"/>
  <c r="F85" i="64"/>
  <c r="F87" i="65"/>
  <c r="F90" i="65" s="1"/>
  <c r="G87" i="65"/>
  <c r="G90" i="65" s="1"/>
  <c r="O86" i="69"/>
  <c r="G35" i="68"/>
  <c r="C51" i="68"/>
  <c r="H84" i="62"/>
  <c r="P12" i="62"/>
  <c r="F15" i="62"/>
  <c r="F22" i="62"/>
  <c r="P24" i="62"/>
  <c r="F28" i="62"/>
  <c r="M85" i="62"/>
  <c r="F33" i="62"/>
  <c r="F34" i="62"/>
  <c r="F51" i="62"/>
  <c r="H86" i="62"/>
  <c r="P65" i="62"/>
  <c r="P76" i="62"/>
  <c r="F79" i="62"/>
  <c r="P84" i="67"/>
  <c r="F86" i="69"/>
  <c r="F85" i="63"/>
  <c r="F85" i="70"/>
  <c r="P86" i="65"/>
  <c r="H35" i="68"/>
  <c r="I84" i="62"/>
  <c r="P7" i="62"/>
  <c r="F11" i="62"/>
  <c r="P13" i="62"/>
  <c r="F16" i="62"/>
  <c r="P19" i="62"/>
  <c r="P25" i="62"/>
  <c r="N85" i="62"/>
  <c r="F39" i="62"/>
  <c r="F40" i="62"/>
  <c r="F46" i="62"/>
  <c r="P48" i="62"/>
  <c r="F52" i="62"/>
  <c r="I86" i="62"/>
  <c r="F57" i="62"/>
  <c r="F58" i="62"/>
  <c r="P71" i="62"/>
  <c r="F80" i="62"/>
  <c r="P87" i="63"/>
  <c r="P90" i="63" s="1"/>
  <c r="P86" i="63"/>
  <c r="N87" i="63"/>
  <c r="N90" i="63" s="1"/>
  <c r="AM6" i="3" s="1"/>
  <c r="P19" i="70"/>
  <c r="P85" i="70"/>
  <c r="M86" i="70"/>
  <c r="M84" i="70"/>
  <c r="N87" i="64"/>
  <c r="N90" i="64" s="1"/>
  <c r="BA6" i="3" s="1"/>
  <c r="I87" i="65"/>
  <c r="I90" i="65" s="1"/>
  <c r="K87" i="67"/>
  <c r="K90" i="67" s="1"/>
  <c r="J87" i="69"/>
  <c r="J90" i="69" s="1"/>
  <c r="H11" i="68"/>
  <c r="C29" i="68"/>
  <c r="I29" i="68" s="1"/>
  <c r="J84" i="62"/>
  <c r="F6" i="62"/>
  <c r="P8" i="62"/>
  <c r="F12" i="62"/>
  <c r="F17" i="62"/>
  <c r="F18" i="62"/>
  <c r="E85" i="62"/>
  <c r="O85" i="62"/>
  <c r="P31" i="62"/>
  <c r="F35" i="62"/>
  <c r="P37" i="62"/>
  <c r="P43" i="62"/>
  <c r="P49" i="62"/>
  <c r="P60" i="62"/>
  <c r="F63" i="62"/>
  <c r="F70" i="62"/>
  <c r="F76" i="62"/>
  <c r="P86" i="66"/>
  <c r="E87" i="66"/>
  <c r="E90" i="66" s="1"/>
  <c r="P85" i="67"/>
  <c r="L87" i="69"/>
  <c r="L90" i="69" s="1"/>
  <c r="BG6" i="3" s="1"/>
  <c r="C88" i="68"/>
  <c r="C53" i="68"/>
  <c r="I53" i="68" s="1"/>
  <c r="K84" i="62"/>
  <c r="K87" i="62" s="1"/>
  <c r="K90" i="62" s="1"/>
  <c r="F24" i="62"/>
  <c r="G85" i="62"/>
  <c r="F36" i="62"/>
  <c r="F42" i="62"/>
  <c r="K86" i="62"/>
  <c r="J86" i="62"/>
  <c r="F59" i="62"/>
  <c r="P67" i="62"/>
  <c r="F84" i="66"/>
  <c r="P70" i="70"/>
  <c r="E87" i="70"/>
  <c r="E90" i="70" s="1"/>
  <c r="F84" i="64"/>
  <c r="F87" i="64" s="1"/>
  <c r="F90" i="64" s="1"/>
  <c r="G87" i="64"/>
  <c r="G90" i="64" s="1"/>
  <c r="O87" i="65"/>
  <c r="O90" i="65" s="1"/>
  <c r="N87" i="67"/>
  <c r="N90" i="67" s="1"/>
  <c r="N87" i="69"/>
  <c r="N90" i="69" s="1"/>
  <c r="M87" i="69"/>
  <c r="M90" i="69" s="1"/>
  <c r="G31" i="68"/>
  <c r="C47" i="68"/>
  <c r="C86" i="68" s="1"/>
  <c r="F19" i="62"/>
  <c r="P21" i="62"/>
  <c r="P27" i="62"/>
  <c r="H85" i="62"/>
  <c r="P33" i="62"/>
  <c r="P85" i="62" s="1"/>
  <c r="P44" i="62"/>
  <c r="F47" i="62"/>
  <c r="F54" i="62"/>
  <c r="M86" i="62"/>
  <c r="F60" i="62"/>
  <c r="F65" i="62"/>
  <c r="F66" i="62"/>
  <c r="P84" i="66"/>
  <c r="P87" i="66" s="1"/>
  <c r="P90" i="66" s="1"/>
  <c r="F86" i="63"/>
  <c r="H87" i="63"/>
  <c r="H90" i="63" s="1"/>
  <c r="O84" i="70"/>
  <c r="O87" i="70" s="1"/>
  <c r="O90" i="70" s="1"/>
  <c r="AU6" i="3" s="1"/>
  <c r="F86" i="70"/>
  <c r="P58" i="70"/>
  <c r="P84" i="64"/>
  <c r="P86" i="67"/>
  <c r="F7" i="62"/>
  <c r="F8" i="62"/>
  <c r="F14" i="62"/>
  <c r="P16" i="62"/>
  <c r="F20" i="62"/>
  <c r="F25" i="62"/>
  <c r="F26" i="62"/>
  <c r="I85" i="62"/>
  <c r="P39" i="62"/>
  <c r="F43" i="62"/>
  <c r="P45" i="62"/>
  <c r="F48" i="62"/>
  <c r="P51" i="62"/>
  <c r="N86" i="62"/>
  <c r="P57" i="62"/>
  <c r="O86" i="62"/>
  <c r="F71" i="62"/>
  <c r="F72" i="62"/>
  <c r="F78" i="62"/>
  <c r="P80" i="62"/>
  <c r="I87" i="66"/>
  <c r="I90" i="66" s="1"/>
  <c r="F84" i="63"/>
  <c r="I87" i="63"/>
  <c r="I90" i="63" s="1"/>
  <c r="O87" i="64"/>
  <c r="O90" i="64" s="1"/>
  <c r="BB6" i="3" s="1"/>
  <c r="N87" i="65"/>
  <c r="N90" i="65" s="1"/>
  <c r="F84" i="67"/>
  <c r="F86" i="67"/>
  <c r="G87" i="67"/>
  <c r="G90" i="67" s="1"/>
  <c r="F84" i="69"/>
  <c r="F87" i="69" s="1"/>
  <c r="F90" i="69" s="1"/>
  <c r="F85" i="69"/>
  <c r="G87" i="69"/>
  <c r="G90" i="69" s="1"/>
  <c r="H15" i="68"/>
  <c r="C33" i="68"/>
  <c r="I33" i="68" s="1"/>
  <c r="E84" i="62"/>
  <c r="O84" i="62"/>
  <c r="P5" i="62"/>
  <c r="M84" i="62"/>
  <c r="M87" i="62" s="1"/>
  <c r="M90" i="62" s="1"/>
  <c r="P17" i="62"/>
  <c r="P28" i="62"/>
  <c r="J85" i="62"/>
  <c r="F31" i="62"/>
  <c r="F38" i="62"/>
  <c r="P40" i="62"/>
  <c r="F44" i="62"/>
  <c r="F49" i="62"/>
  <c r="F50" i="62"/>
  <c r="E86" i="62"/>
  <c r="P63" i="62"/>
  <c r="F67" i="62"/>
  <c r="P69" i="62"/>
  <c r="P75" i="62"/>
  <c r="P81" i="62"/>
  <c r="J87" i="66"/>
  <c r="J90" i="66" s="1"/>
  <c r="F56" i="62"/>
  <c r="N84" i="62"/>
  <c r="N87" i="62" s="1"/>
  <c r="N90" i="62" s="1"/>
  <c r="P56" i="62"/>
  <c r="P11" i="62"/>
  <c r="F30" i="62"/>
  <c r="F85" i="62" s="1"/>
  <c r="G84" i="62"/>
  <c r="F11" i="61"/>
  <c r="F12" i="61" s="1"/>
  <c r="E11" i="61"/>
  <c r="E12" i="61" s="1"/>
  <c r="E14" i="61" s="1"/>
  <c r="G11" i="61"/>
  <c r="G12" i="61" s="1"/>
  <c r="G14" i="61" s="1"/>
  <c r="C14" i="61"/>
  <c r="E62" i="68"/>
  <c r="E63" i="68" s="1"/>
  <c r="F62" i="68"/>
  <c r="F63" i="68" s="1"/>
  <c r="G62" i="68"/>
  <c r="G63" i="68" s="1"/>
  <c r="I62" i="68"/>
  <c r="I63" i="68" s="1"/>
  <c r="H62" i="68"/>
  <c r="H63" i="68" s="1"/>
  <c r="F18" i="68"/>
  <c r="E18" i="68"/>
  <c r="I18" i="68"/>
  <c r="H18" i="68"/>
  <c r="G18" i="68"/>
  <c r="E54" i="68"/>
  <c r="I54" i="68"/>
  <c r="H54" i="68"/>
  <c r="G54" i="68"/>
  <c r="F54" i="68"/>
  <c r="I34" i="68"/>
  <c r="E34" i="68"/>
  <c r="H34" i="68"/>
  <c r="F34" i="68"/>
  <c r="G34" i="68"/>
  <c r="I77" i="68"/>
  <c r="I78" i="68" s="1"/>
  <c r="H77" i="68"/>
  <c r="H78" i="68" s="1"/>
  <c r="G77" i="68"/>
  <c r="G78" i="68" s="1"/>
  <c r="F77" i="68"/>
  <c r="F78" i="68" s="1"/>
  <c r="E77" i="68"/>
  <c r="E78" i="68" s="1"/>
  <c r="I11" i="68"/>
  <c r="E13" i="68"/>
  <c r="I15" i="68"/>
  <c r="E17" i="68"/>
  <c r="I31" i="68"/>
  <c r="I35" i="68"/>
  <c r="C39" i="68"/>
  <c r="I47" i="68"/>
  <c r="E49" i="68"/>
  <c r="I51" i="68"/>
  <c r="C70" i="68"/>
  <c r="C12" i="68"/>
  <c r="F13" i="68"/>
  <c r="C16" i="68"/>
  <c r="F17" i="68"/>
  <c r="C28" i="68"/>
  <c r="F29" i="68"/>
  <c r="C32" i="68"/>
  <c r="F33" i="68"/>
  <c r="C36" i="68"/>
  <c r="C94" i="68" s="1"/>
  <c r="C48" i="68"/>
  <c r="F49" i="68"/>
  <c r="C52" i="68"/>
  <c r="G13" i="68"/>
  <c r="G17" i="68"/>
  <c r="G29" i="68"/>
  <c r="G33" i="68"/>
  <c r="G49" i="68"/>
  <c r="H13" i="68"/>
  <c r="H17" i="68"/>
  <c r="H29" i="68"/>
  <c r="H49" i="68"/>
  <c r="H53" i="68"/>
  <c r="E11" i="68"/>
  <c r="I13" i="68"/>
  <c r="E15" i="68"/>
  <c r="C21" i="68"/>
  <c r="E31" i="68"/>
  <c r="E35" i="68"/>
  <c r="E51" i="68"/>
  <c r="C57" i="68"/>
  <c r="C10" i="68"/>
  <c r="C14" i="68"/>
  <c r="C30" i="68"/>
  <c r="C46" i="68"/>
  <c r="C50" i="68"/>
  <c r="O87" i="69"/>
  <c r="O90" i="69" s="1"/>
  <c r="E87" i="67"/>
  <c r="E90" i="67" s="1"/>
  <c r="P87" i="65"/>
  <c r="P90" i="65" s="1"/>
  <c r="P87" i="64"/>
  <c r="P90" i="64" s="1"/>
  <c r="BC6" i="3" s="1"/>
  <c r="P86" i="70"/>
  <c r="F87" i="70"/>
  <c r="F90" i="70" s="1"/>
  <c r="P84" i="70"/>
  <c r="M87" i="70"/>
  <c r="M90" i="70" s="1"/>
  <c r="AS6" i="3" s="1"/>
  <c r="N87" i="70"/>
  <c r="N90" i="70" s="1"/>
  <c r="AT6" i="3" s="1"/>
  <c r="F87" i="63"/>
  <c r="F90" i="63" s="1"/>
  <c r="BA62" i="3" l="1"/>
  <c r="BA50" i="3"/>
  <c r="BA46" i="3"/>
  <c r="BA37" i="3"/>
  <c r="BA7" i="3"/>
  <c r="BA36" i="3"/>
  <c r="BA63" i="3"/>
  <c r="BA54" i="3"/>
  <c r="BA47" i="3"/>
  <c r="BA13" i="3"/>
  <c r="BA44" i="3"/>
  <c r="BA55" i="3"/>
  <c r="BA48" i="3"/>
  <c r="BA43" i="3"/>
  <c r="BA16" i="3"/>
  <c r="BA60" i="3"/>
  <c r="AO60" i="3"/>
  <c r="AO55" i="3"/>
  <c r="AN66" i="3"/>
  <c r="AO47" i="3"/>
  <c r="AO50" i="3"/>
  <c r="AO16" i="3"/>
  <c r="AO44" i="3"/>
  <c r="AO7" i="3"/>
  <c r="AL65" i="3"/>
  <c r="AL66" i="3" s="1"/>
  <c r="I93" i="68"/>
  <c r="E47" i="68"/>
  <c r="G53" i="68"/>
  <c r="E53" i="68"/>
  <c r="E93" i="68" s="1"/>
  <c r="H33" i="68"/>
  <c r="E29" i="68"/>
  <c r="E33" i="68"/>
  <c r="F87" i="67"/>
  <c r="F90" i="67" s="1"/>
  <c r="H88" i="68"/>
  <c r="F53" i="68"/>
  <c r="F93" i="68" s="1"/>
  <c r="G87" i="62"/>
  <c r="G90" i="62" s="1"/>
  <c r="C93" i="68"/>
  <c r="I86" i="68"/>
  <c r="P84" i="62"/>
  <c r="O87" i="62"/>
  <c r="O90" i="62" s="1"/>
  <c r="G93" i="68"/>
  <c r="F84" i="62"/>
  <c r="P86" i="62"/>
  <c r="P87" i="62" s="1"/>
  <c r="P90" i="62" s="1"/>
  <c r="P87" i="67"/>
  <c r="P90" i="67" s="1"/>
  <c r="G88" i="68"/>
  <c r="F47" i="68"/>
  <c r="F86" i="68" s="1"/>
  <c r="H47" i="68"/>
  <c r="H86" i="68" s="1"/>
  <c r="G47" i="68"/>
  <c r="H93" i="68"/>
  <c r="F86" i="62"/>
  <c r="F87" i="62" s="1"/>
  <c r="F90" i="62" s="1"/>
  <c r="I87" i="62"/>
  <c r="I90" i="62" s="1"/>
  <c r="E87" i="62"/>
  <c r="E90" i="62" s="1"/>
  <c r="J87" i="62"/>
  <c r="J90" i="62" s="1"/>
  <c r="H87" i="62"/>
  <c r="H90" i="62" s="1"/>
  <c r="P87" i="70"/>
  <c r="P90" i="70" s="1"/>
  <c r="AV6" i="3" s="1"/>
  <c r="G86" i="68"/>
  <c r="F51" i="68"/>
  <c r="H51" i="68"/>
  <c r="G51" i="68"/>
  <c r="H11" i="61"/>
  <c r="H12" i="61" s="1"/>
  <c r="F10" i="68"/>
  <c r="C85" i="68"/>
  <c r="C9" i="68"/>
  <c r="I10" i="68"/>
  <c r="E10" i="68"/>
  <c r="G10" i="68"/>
  <c r="E86" i="68"/>
  <c r="G28" i="68"/>
  <c r="F28" i="68"/>
  <c r="C27" i="68"/>
  <c r="I28" i="68"/>
  <c r="E28" i="68"/>
  <c r="F30" i="68"/>
  <c r="H30" i="68" s="1"/>
  <c r="I30" i="68"/>
  <c r="G30" i="68"/>
  <c r="E30" i="68"/>
  <c r="I88" i="68"/>
  <c r="H52" i="68"/>
  <c r="I52" i="68"/>
  <c r="G52" i="68"/>
  <c r="F52" i="68"/>
  <c r="E52" i="68"/>
  <c r="E88" i="68"/>
  <c r="F64" i="68"/>
  <c r="I70" i="68"/>
  <c r="I91" i="68" s="1"/>
  <c r="H70" i="68"/>
  <c r="H91" i="68" s="1"/>
  <c r="C91" i="68"/>
  <c r="G70" i="68"/>
  <c r="G91" i="68" s="1"/>
  <c r="F70" i="68"/>
  <c r="F91" i="68" s="1"/>
  <c r="E70" i="68"/>
  <c r="E91" i="68" s="1"/>
  <c r="H32" i="68"/>
  <c r="I32" i="68"/>
  <c r="G32" i="68"/>
  <c r="F32" i="68"/>
  <c r="E32" i="68"/>
  <c r="C92" i="68"/>
  <c r="H16" i="68"/>
  <c r="G16" i="68"/>
  <c r="F16" i="68"/>
  <c r="I16" i="68"/>
  <c r="E16" i="68"/>
  <c r="F14" i="68"/>
  <c r="E14" i="68"/>
  <c r="C89" i="68"/>
  <c r="I14" i="68"/>
  <c r="H14" i="68"/>
  <c r="G14" i="68"/>
  <c r="F50" i="68"/>
  <c r="I50" i="68"/>
  <c r="H50" i="68"/>
  <c r="G50" i="68"/>
  <c r="E50" i="68"/>
  <c r="G48" i="68"/>
  <c r="F48" i="68"/>
  <c r="H48" i="68" s="1"/>
  <c r="I48" i="68"/>
  <c r="E48" i="68"/>
  <c r="F88" i="68"/>
  <c r="E46" i="68"/>
  <c r="F46" i="68"/>
  <c r="I46" i="68"/>
  <c r="G46" i="68"/>
  <c r="C45" i="68"/>
  <c r="H36" i="68"/>
  <c r="H94" i="68" s="1"/>
  <c r="I36" i="68"/>
  <c r="I94" i="68" s="1"/>
  <c r="G36" i="68"/>
  <c r="G94" i="68" s="1"/>
  <c r="F36" i="68"/>
  <c r="F94" i="68" s="1"/>
  <c r="E36" i="68"/>
  <c r="E94" i="68" s="1"/>
  <c r="G12" i="68"/>
  <c r="F12" i="68"/>
  <c r="I12" i="68"/>
  <c r="I87" i="68" s="1"/>
  <c r="E12" i="68"/>
  <c r="E87" i="68" s="1"/>
  <c r="C87" i="68"/>
  <c r="F79" i="68"/>
  <c r="C69" i="68"/>
  <c r="BA66" i="3" l="1"/>
  <c r="BC7" i="3"/>
  <c r="BC66" i="3" s="1"/>
  <c r="E89" i="68"/>
  <c r="I92" i="68"/>
  <c r="H46" i="68"/>
  <c r="F87" i="68"/>
  <c r="G92" i="68"/>
  <c r="H92" i="68"/>
  <c r="H28" i="68"/>
  <c r="I85" i="68"/>
  <c r="F89" i="68"/>
  <c r="H13" i="61"/>
  <c r="F13" i="61" s="1"/>
  <c r="F14" i="61" s="1"/>
  <c r="F15" i="61" s="1"/>
  <c r="G87" i="68"/>
  <c r="F85" i="68"/>
  <c r="H12" i="68"/>
  <c r="H87" i="68" s="1"/>
  <c r="G89" i="68"/>
  <c r="E92" i="68"/>
  <c r="I45" i="68"/>
  <c r="I55" i="68" s="1"/>
  <c r="I57" i="68" s="1"/>
  <c r="H45" i="68"/>
  <c r="G45" i="68"/>
  <c r="G55" i="68" s="1"/>
  <c r="G57" i="68" s="1"/>
  <c r="F45" i="68"/>
  <c r="F55" i="68" s="1"/>
  <c r="E45" i="68"/>
  <c r="E55" i="68" s="1"/>
  <c r="E57" i="68" s="1"/>
  <c r="G69" i="68"/>
  <c r="F69" i="68"/>
  <c r="E69" i="68"/>
  <c r="I69" i="68"/>
  <c r="H69" i="68"/>
  <c r="C90" i="68"/>
  <c r="G85" i="68"/>
  <c r="C84" i="68"/>
  <c r="I9" i="68"/>
  <c r="H9" i="68"/>
  <c r="G9" i="68"/>
  <c r="F9" i="68"/>
  <c r="E9" i="68"/>
  <c r="H89" i="68"/>
  <c r="I89" i="68"/>
  <c r="F92" i="68"/>
  <c r="E85" i="68"/>
  <c r="F27" i="68"/>
  <c r="F37" i="68" s="1"/>
  <c r="G27" i="68"/>
  <c r="G37" i="68" s="1"/>
  <c r="G39" i="68" s="1"/>
  <c r="E27" i="68"/>
  <c r="E37" i="68" s="1"/>
  <c r="E39" i="68" s="1"/>
  <c r="I27" i="68"/>
  <c r="I37" i="68" s="1"/>
  <c r="I39" i="68" s="1"/>
  <c r="H27" i="68"/>
  <c r="H37" i="68" s="1"/>
  <c r="H10" i="68"/>
  <c r="H55" i="68" l="1"/>
  <c r="H85" i="68"/>
  <c r="H14" i="61"/>
  <c r="H71" i="68"/>
  <c r="H90" i="68"/>
  <c r="H56" i="68"/>
  <c r="F56" i="68" s="1"/>
  <c r="F57" i="68" s="1"/>
  <c r="F58" i="68" s="1"/>
  <c r="G19" i="68"/>
  <c r="G21" i="68" s="1"/>
  <c r="G84" i="68"/>
  <c r="E71" i="68"/>
  <c r="E90" i="68"/>
  <c r="E19" i="68"/>
  <c r="E21" i="68" s="1"/>
  <c r="E84" i="68"/>
  <c r="F84" i="68"/>
  <c r="F19" i="68"/>
  <c r="I71" i="68"/>
  <c r="I90" i="68"/>
  <c r="H84" i="68"/>
  <c r="H19" i="68"/>
  <c r="F71" i="68"/>
  <c r="F90" i="68"/>
  <c r="H38" i="68"/>
  <c r="F38" i="68" s="1"/>
  <c r="F39" i="68" s="1"/>
  <c r="F40" i="68" s="1"/>
  <c r="I84" i="68"/>
  <c r="I19" i="68"/>
  <c r="I21" i="68" s="1"/>
  <c r="G71" i="68"/>
  <c r="G90" i="68"/>
  <c r="C95" i="68"/>
  <c r="C97" i="68" s="1"/>
  <c r="H95" i="68" l="1"/>
  <c r="G95" i="68"/>
  <c r="G97" i="68" s="1"/>
  <c r="I95" i="68"/>
  <c r="I97" i="68" s="1"/>
  <c r="H39" i="68"/>
  <c r="H57" i="68"/>
  <c r="F95" i="68"/>
  <c r="E95" i="68"/>
  <c r="E97" i="68" s="1"/>
  <c r="F72" i="68"/>
  <c r="H20" i="68"/>
  <c r="H96" i="68" l="1"/>
  <c r="F20" i="68"/>
  <c r="F21" i="68" s="1"/>
  <c r="F22" i="68" s="1"/>
  <c r="H21" i="68"/>
  <c r="F96" i="68" l="1"/>
  <c r="F97" i="68" s="1"/>
  <c r="F98" i="68" s="1"/>
  <c r="H97" i="68"/>
  <c r="G140" i="27" l="1"/>
  <c r="J140" i="27"/>
  <c r="I140" i="27"/>
  <c r="H140" i="27"/>
  <c r="G139" i="27"/>
  <c r="C44" i="41" l="1"/>
  <c r="C22" i="41"/>
  <c r="C115" i="41" l="1"/>
  <c r="C95" i="41"/>
  <c r="C64" i="41"/>
  <c r="F48" i="27" l="1"/>
  <c r="E139" i="27" l="1"/>
  <c r="F58" i="27"/>
  <c r="E140" i="27" l="1"/>
  <c r="F32" i="27"/>
  <c r="F22" i="27" l="1"/>
  <c r="F18" i="27" l="1"/>
  <c r="F40" i="27" l="1"/>
  <c r="F101" i="27"/>
  <c r="F125" i="27" l="1"/>
  <c r="F104" i="27" l="1"/>
  <c r="F61" i="27" l="1"/>
  <c r="F55" i="27" l="1"/>
  <c r="F24" i="27" l="1"/>
  <c r="F25" i="27"/>
  <c r="F87" i="27" l="1"/>
  <c r="F6" i="27" l="1"/>
  <c r="F9" i="27"/>
  <c r="F15" i="27"/>
  <c r="F35" i="27"/>
  <c r="F44" i="27"/>
  <c r="F52" i="27"/>
  <c r="F54" i="27"/>
  <c r="F124" i="27"/>
  <c r="F117" i="27"/>
  <c r="F103" i="27"/>
  <c r="F89" i="27"/>
  <c r="F46" i="27" l="1"/>
  <c r="F47" i="27"/>
  <c r="F49" i="27"/>
  <c r="F50" i="27"/>
  <c r="F51" i="27"/>
  <c r="F53" i="27"/>
  <c r="F56" i="27"/>
  <c r="F57" i="27"/>
  <c r="F59" i="27"/>
  <c r="F60"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8" i="27"/>
  <c r="F90" i="27"/>
  <c r="F91" i="27"/>
  <c r="F92" i="27"/>
  <c r="F93" i="27"/>
  <c r="F94" i="27"/>
  <c r="F96" i="27"/>
  <c r="F97" i="27"/>
  <c r="F98" i="27"/>
  <c r="F99" i="27"/>
  <c r="F100" i="27"/>
  <c r="F102" i="27"/>
  <c r="F105" i="27"/>
  <c r="F106" i="27"/>
  <c r="F107" i="27"/>
  <c r="F108" i="27"/>
  <c r="F109" i="27"/>
  <c r="F110" i="27"/>
  <c r="F111" i="27"/>
  <c r="F112" i="27"/>
  <c r="F113" i="27"/>
  <c r="F114" i="27"/>
  <c r="F115" i="27"/>
  <c r="F116" i="27"/>
  <c r="F118" i="27"/>
  <c r="F119" i="27"/>
  <c r="F120" i="27"/>
  <c r="F121" i="27"/>
  <c r="F122" i="27"/>
  <c r="F123" i="27"/>
  <c r="F126" i="27"/>
  <c r="F127" i="27"/>
  <c r="F128" i="27"/>
  <c r="F129" i="27"/>
  <c r="F130" i="27"/>
  <c r="F131" i="27"/>
  <c r="F132" i="27"/>
  <c r="F133" i="27"/>
  <c r="F134" i="27"/>
  <c r="F135" i="27"/>
  <c r="F136" i="27"/>
  <c r="F5" i="27"/>
  <c r="F7" i="27"/>
  <c r="F8" i="27"/>
  <c r="F10" i="27"/>
  <c r="F11" i="27"/>
  <c r="F12" i="27"/>
  <c r="F13" i="27"/>
  <c r="F14" i="27"/>
  <c r="F16" i="27"/>
  <c r="F17" i="27"/>
  <c r="F19" i="27"/>
  <c r="F20" i="27"/>
  <c r="F21" i="27"/>
  <c r="F23" i="27"/>
  <c r="F26" i="27"/>
  <c r="F27" i="27"/>
  <c r="F28" i="27"/>
  <c r="F29" i="27"/>
  <c r="F30" i="27"/>
  <c r="F31" i="27"/>
  <c r="F33" i="27"/>
  <c r="F34" i="27"/>
  <c r="F36" i="27"/>
  <c r="F37" i="27"/>
  <c r="F38" i="27"/>
  <c r="F39" i="27"/>
  <c r="F41" i="27"/>
  <c r="F42" i="27"/>
  <c r="F43" i="27"/>
  <c r="F140" i="27" l="1"/>
  <c r="F45" i="27"/>
  <c r="F139" i="27" s="1"/>
  <c r="F4" i="27" l="1"/>
  <c r="F138" i="27" s="1"/>
  <c r="B4" i="4" l="1"/>
  <c r="C4" i="4"/>
  <c r="D4" i="4"/>
  <c r="E4" i="4"/>
  <c r="B10" i="4"/>
  <c r="C10" i="4"/>
  <c r="D10" i="4"/>
  <c r="E10" i="4"/>
  <c r="B13" i="4"/>
  <c r="C13" i="4"/>
  <c r="D13" i="4"/>
  <c r="E13" i="4"/>
  <c r="B33" i="4"/>
  <c r="C33" i="4"/>
  <c r="D33" i="4"/>
  <c r="E33" i="4"/>
  <c r="B34" i="4"/>
  <c r="C34" i="4"/>
  <c r="D34" i="4"/>
  <c r="E34" i="4"/>
  <c r="B37" i="4"/>
  <c r="C37" i="4"/>
  <c r="D37" i="4"/>
  <c r="E37" i="4"/>
  <c r="B40" i="4"/>
  <c r="C40" i="4"/>
  <c r="D40" i="4"/>
  <c r="E40" i="4"/>
  <c r="B41" i="4"/>
  <c r="C41" i="4"/>
  <c r="D41" i="4"/>
  <c r="E41" i="4"/>
  <c r="B43" i="4"/>
  <c r="C43" i="4"/>
  <c r="D43" i="4"/>
  <c r="E43" i="4"/>
  <c r="B44" i="4"/>
  <c r="C44" i="4"/>
  <c r="D44" i="4"/>
  <c r="E44" i="4"/>
  <c r="B45" i="4"/>
  <c r="C45" i="4"/>
  <c r="D45" i="4"/>
  <c r="E45" i="4"/>
  <c r="B46" i="4"/>
  <c r="C46" i="4"/>
  <c r="D46" i="4"/>
  <c r="E46" i="4"/>
  <c r="B47" i="4"/>
  <c r="C47" i="4"/>
  <c r="D47" i="4"/>
  <c r="E47" i="4"/>
  <c r="B51" i="4"/>
  <c r="C51" i="4"/>
  <c r="D51" i="4"/>
  <c r="E51" i="4"/>
  <c r="B52" i="4"/>
  <c r="C52" i="4"/>
  <c r="D52" i="4"/>
  <c r="E52" i="4"/>
  <c r="B57" i="4"/>
  <c r="C57" i="4"/>
  <c r="D57" i="4"/>
  <c r="E57" i="4"/>
  <c r="B59" i="4"/>
  <c r="C59" i="4"/>
  <c r="D59" i="4"/>
  <c r="E59" i="4"/>
  <c r="B60" i="4"/>
  <c r="C60" i="4"/>
  <c r="D60" i="4"/>
  <c r="E60" i="4"/>
  <c r="C85" i="39"/>
  <c r="C45" i="39"/>
  <c r="C35" i="39"/>
  <c r="F5" i="16" l="1"/>
  <c r="F6" i="16"/>
  <c r="F4" i="16"/>
  <c r="N23" i="5" l="1"/>
  <c r="O23" i="5"/>
  <c r="M23" i="5"/>
  <c r="N17" i="5"/>
  <c r="O17" i="5"/>
  <c r="M17" i="5"/>
  <c r="N8" i="5"/>
  <c r="O8" i="5"/>
  <c r="M8" i="5"/>
  <c r="G27" i="5" l="1"/>
  <c r="H27" i="5"/>
  <c r="I27" i="5"/>
  <c r="J27" i="5"/>
  <c r="K27" i="5"/>
  <c r="M27" i="5"/>
  <c r="N27" i="5"/>
  <c r="O27" i="5"/>
  <c r="G26" i="5" l="1"/>
  <c r="H26" i="5"/>
  <c r="I26" i="5"/>
  <c r="J26" i="5"/>
  <c r="K26" i="5"/>
  <c r="M26" i="5"/>
  <c r="N26" i="5"/>
  <c r="O26" i="5"/>
  <c r="P26" i="5"/>
  <c r="E26" i="5"/>
  <c r="F23" i="6"/>
  <c r="F26" i="5" s="1"/>
  <c r="G25" i="5" l="1"/>
  <c r="H25" i="5"/>
  <c r="I25" i="5"/>
  <c r="J25" i="5"/>
  <c r="K25" i="5"/>
  <c r="M25" i="5"/>
  <c r="N25" i="5"/>
  <c r="O25" i="5"/>
  <c r="P25" i="5"/>
  <c r="E25" i="5"/>
  <c r="F21" i="6"/>
  <c r="F22" i="6"/>
  <c r="F25" i="5" s="1"/>
  <c r="G23" i="5" l="1"/>
  <c r="H23" i="5"/>
  <c r="I23" i="5"/>
  <c r="J23" i="5"/>
  <c r="K23" i="5"/>
  <c r="G22" i="5"/>
  <c r="H22" i="5"/>
  <c r="I22" i="5"/>
  <c r="J22" i="5"/>
  <c r="K22" i="5"/>
  <c r="M22" i="5"/>
  <c r="N22" i="5"/>
  <c r="O22" i="5"/>
  <c r="G21" i="5"/>
  <c r="H21" i="5"/>
  <c r="I21" i="5"/>
  <c r="J21" i="5"/>
  <c r="K21" i="5"/>
  <c r="M21" i="5"/>
  <c r="N21" i="5"/>
  <c r="O21" i="5"/>
  <c r="E21" i="5"/>
  <c r="G20" i="5"/>
  <c r="H20" i="5"/>
  <c r="I20" i="5"/>
  <c r="J20" i="5"/>
  <c r="K20" i="5"/>
  <c r="M20" i="5"/>
  <c r="N20" i="5"/>
  <c r="O20" i="5"/>
  <c r="G19" i="5"/>
  <c r="H19" i="5"/>
  <c r="I19" i="5"/>
  <c r="J19" i="5"/>
  <c r="K19" i="5"/>
  <c r="M19" i="5"/>
  <c r="N19" i="5"/>
  <c r="O19" i="5"/>
  <c r="G15" i="5" l="1"/>
  <c r="H15" i="5"/>
  <c r="I15" i="5"/>
  <c r="J15" i="5"/>
  <c r="K15" i="5"/>
  <c r="M15" i="5"/>
  <c r="N15" i="5"/>
  <c r="O15" i="5"/>
  <c r="E15" i="5"/>
  <c r="P13" i="6"/>
  <c r="P15" i="5" s="1"/>
  <c r="F13" i="6"/>
  <c r="F15" i="5" s="1"/>
  <c r="G17" i="5" l="1"/>
  <c r="H17" i="5"/>
  <c r="I17" i="5"/>
  <c r="J17" i="5"/>
  <c r="K17" i="5"/>
  <c r="F7" i="8"/>
  <c r="E17" i="5" l="1"/>
  <c r="G18" i="5"/>
  <c r="H18" i="5"/>
  <c r="I18" i="5"/>
  <c r="J18" i="5"/>
  <c r="K18" i="5"/>
  <c r="M18" i="5"/>
  <c r="N18" i="5"/>
  <c r="O18" i="5"/>
  <c r="G16" i="5"/>
  <c r="H16" i="5"/>
  <c r="I16" i="5"/>
  <c r="J16" i="5"/>
  <c r="K16" i="5"/>
  <c r="M16" i="5"/>
  <c r="N16" i="5"/>
  <c r="O16" i="5"/>
  <c r="G14" i="5" l="1"/>
  <c r="H14" i="5"/>
  <c r="I14" i="5"/>
  <c r="J14" i="5"/>
  <c r="K14" i="5"/>
  <c r="M14" i="5"/>
  <c r="N14" i="5"/>
  <c r="O14" i="5"/>
  <c r="E14" i="5"/>
  <c r="G13" i="5"/>
  <c r="H13" i="5"/>
  <c r="I13" i="5"/>
  <c r="J13" i="5"/>
  <c r="K13" i="5"/>
  <c r="M13" i="5"/>
  <c r="N13" i="5"/>
  <c r="O13" i="5"/>
  <c r="G12" i="5"/>
  <c r="H12" i="5"/>
  <c r="I12" i="5"/>
  <c r="J12" i="5"/>
  <c r="K12" i="5"/>
  <c r="M12" i="5"/>
  <c r="N12" i="5"/>
  <c r="O12" i="5"/>
  <c r="O7" i="9"/>
  <c r="G8" i="5"/>
  <c r="H8" i="5"/>
  <c r="I8" i="5"/>
  <c r="J8" i="5"/>
  <c r="K8" i="5"/>
  <c r="G11" i="5"/>
  <c r="H11" i="5"/>
  <c r="I11" i="5"/>
  <c r="J11" i="5"/>
  <c r="K11" i="5"/>
  <c r="M11" i="5"/>
  <c r="N11" i="5"/>
  <c r="O11" i="5"/>
  <c r="E12" i="5"/>
  <c r="G9" i="5"/>
  <c r="H9" i="5"/>
  <c r="I9" i="5"/>
  <c r="J9" i="5"/>
  <c r="K9" i="5"/>
  <c r="M9" i="5"/>
  <c r="N9" i="5"/>
  <c r="O9" i="5"/>
  <c r="G10" i="5"/>
  <c r="H10" i="5"/>
  <c r="I10" i="5"/>
  <c r="J10" i="5"/>
  <c r="K10" i="5"/>
  <c r="M10" i="5"/>
  <c r="N10" i="5"/>
  <c r="O10" i="5"/>
  <c r="E10" i="5"/>
  <c r="E9" i="5"/>
  <c r="E8" i="5"/>
  <c r="G7" i="5"/>
  <c r="H7" i="5"/>
  <c r="I7" i="5"/>
  <c r="J7" i="5"/>
  <c r="K7" i="5"/>
  <c r="M7" i="5"/>
  <c r="N7" i="5"/>
  <c r="O7" i="5"/>
  <c r="G6" i="5"/>
  <c r="H6" i="5"/>
  <c r="I6" i="5"/>
  <c r="J6" i="5"/>
  <c r="K6" i="5"/>
  <c r="M6" i="5"/>
  <c r="N6" i="5"/>
  <c r="O6" i="5"/>
  <c r="G5" i="5"/>
  <c r="H5" i="5"/>
  <c r="I5" i="5"/>
  <c r="J5" i="5"/>
  <c r="K5" i="5"/>
  <c r="M5" i="5"/>
  <c r="N5" i="5"/>
  <c r="O5" i="5"/>
  <c r="G4" i="5"/>
  <c r="H4" i="5"/>
  <c r="I4" i="5"/>
  <c r="J4" i="5"/>
  <c r="K4" i="5"/>
  <c r="M4" i="5"/>
  <c r="N4" i="5"/>
  <c r="O4" i="5"/>
  <c r="E6" i="5"/>
  <c r="P9" i="6"/>
  <c r="P10" i="5" s="1"/>
  <c r="F9" i="6"/>
  <c r="F10" i="5" s="1"/>
  <c r="F8" i="6" l="1"/>
  <c r="F9" i="5" s="1"/>
  <c r="P8" i="6"/>
  <c r="P9" i="5" s="1"/>
  <c r="F24" i="6" l="1"/>
  <c r="F27" i="5" s="1"/>
  <c r="F8" i="10" l="1"/>
  <c r="F9" i="10"/>
  <c r="F8" i="9"/>
  <c r="F20" i="5" s="1"/>
  <c r="F9" i="9"/>
  <c r="F9" i="8"/>
  <c r="F8" i="7"/>
  <c r="F9" i="7"/>
  <c r="F20" i="6"/>
  <c r="F19" i="6" l="1"/>
  <c r="F22" i="5" s="1"/>
  <c r="F8" i="8" l="1"/>
  <c r="F18" i="6"/>
  <c r="F21" i="5" s="1"/>
  <c r="F17" i="6" l="1"/>
  <c r="F19" i="5" s="1"/>
  <c r="F16" i="6" l="1"/>
  <c r="F18" i="5" s="1"/>
  <c r="F7" i="10" l="1"/>
  <c r="F6" i="9"/>
  <c r="F13" i="5" s="1"/>
  <c r="F7" i="9"/>
  <c r="F6" i="7"/>
  <c r="F7" i="7"/>
  <c r="F4" i="7"/>
  <c r="F5" i="7"/>
  <c r="F15" i="6"/>
  <c r="F17" i="5" l="1"/>
  <c r="F12" i="6"/>
  <c r="F14" i="6"/>
  <c r="F16" i="5" s="1"/>
  <c r="F6" i="8" l="1"/>
  <c r="F14" i="5" s="1"/>
  <c r="F11" i="6"/>
  <c r="F12" i="5" s="1"/>
  <c r="F4" i="6" l="1"/>
  <c r="F4" i="5" s="1"/>
  <c r="F5" i="6"/>
  <c r="F6" i="6"/>
  <c r="F7" i="5" s="1"/>
  <c r="F7" i="6"/>
  <c r="F10" i="6"/>
  <c r="F5" i="10" l="1"/>
  <c r="F4" i="9"/>
  <c r="F5" i="5" s="1"/>
  <c r="F5" i="9"/>
  <c r="F4" i="8"/>
  <c r="F6" i="5" s="1"/>
  <c r="F5" i="8"/>
  <c r="P4" i="6" l="1"/>
  <c r="P4" i="5" s="1"/>
  <c r="E4" i="5" l="1"/>
  <c r="E5" i="5"/>
  <c r="E7" i="5"/>
  <c r="E11" i="5"/>
  <c r="E13" i="5"/>
  <c r="E30" i="5" s="1"/>
  <c r="E16" i="5"/>
  <c r="E18" i="5"/>
  <c r="E19" i="5"/>
  <c r="E20" i="5"/>
  <c r="E22" i="5"/>
  <c r="E23" i="5"/>
  <c r="E27" i="5"/>
  <c r="E29" i="5" l="1"/>
  <c r="AG5" i="3"/>
  <c r="F6" i="10" l="1"/>
  <c r="F4" i="10" l="1"/>
  <c r="F8" i="5" s="1"/>
  <c r="I13" i="8" l="1"/>
  <c r="G13" i="8"/>
  <c r="I12" i="8"/>
  <c r="G12" i="8"/>
  <c r="I11" i="8"/>
  <c r="G11" i="8"/>
  <c r="C95" i="39" l="1"/>
  <c r="Y60" i="37" l="1"/>
  <c r="Y57" i="37"/>
  <c r="Y55" i="37"/>
  <c r="Y54" i="37"/>
  <c r="Y53" i="37"/>
  <c r="Y52" i="37"/>
  <c r="Y49" i="37"/>
  <c r="Y48" i="37"/>
  <c r="Y47" i="37"/>
  <c r="Y41" i="37"/>
  <c r="Y38" i="37"/>
  <c r="Y37" i="37"/>
  <c r="Y35" i="37"/>
  <c r="Y34" i="37"/>
  <c r="Y31" i="37"/>
  <c r="Y30" i="37"/>
  <c r="Y29" i="37"/>
  <c r="Y28" i="37"/>
  <c r="Y27" i="37"/>
  <c r="Y26" i="37"/>
  <c r="Y25" i="37"/>
  <c r="Y24" i="37"/>
  <c r="Y23" i="37"/>
  <c r="Y22" i="37"/>
  <c r="Y21" i="37"/>
  <c r="Y20" i="37"/>
  <c r="Y19" i="37"/>
  <c r="Y18" i="37"/>
  <c r="Y17" i="37"/>
  <c r="Y16" i="37"/>
  <c r="Y15" i="37"/>
  <c r="Y14" i="37"/>
  <c r="Y13" i="37"/>
  <c r="Y11" i="37"/>
  <c r="Y10" i="37"/>
  <c r="Y8" i="37"/>
  <c r="Y7" i="37"/>
  <c r="Y6" i="37"/>
  <c r="Y5" i="37"/>
  <c r="Y4" i="37"/>
  <c r="M24" i="60" l="1"/>
  <c r="H24" i="60"/>
  <c r="E24" i="60"/>
  <c r="M23" i="60"/>
  <c r="H23" i="60"/>
  <c r="E23" i="60"/>
  <c r="M22" i="60"/>
  <c r="H22" i="60"/>
  <c r="E22" i="60"/>
  <c r="M21" i="60"/>
  <c r="H21" i="60"/>
  <c r="E21" i="60"/>
  <c r="M20" i="60"/>
  <c r="H20" i="60"/>
  <c r="E20" i="60"/>
  <c r="M19" i="60"/>
  <c r="H19" i="60"/>
  <c r="E19" i="60"/>
  <c r="M18" i="60"/>
  <c r="H18" i="60"/>
  <c r="E18" i="60"/>
  <c r="F18" i="60" s="1"/>
  <c r="I18" i="60" s="1"/>
  <c r="M17" i="60"/>
  <c r="H17" i="60"/>
  <c r="E17" i="60"/>
  <c r="F17" i="60" s="1"/>
  <c r="I17" i="60" s="1"/>
  <c r="M16" i="60"/>
  <c r="H16" i="60"/>
  <c r="E16" i="60"/>
  <c r="M15" i="60"/>
  <c r="H15" i="60"/>
  <c r="E15" i="60"/>
  <c r="F15" i="60" s="1"/>
  <c r="I15" i="60" s="1"/>
  <c r="M14" i="60"/>
  <c r="H14" i="60"/>
  <c r="E14" i="60"/>
  <c r="F14" i="60" s="1"/>
  <c r="I14" i="60" s="1"/>
  <c r="M13" i="60"/>
  <c r="H13" i="60"/>
  <c r="E13" i="60"/>
  <c r="M12" i="60"/>
  <c r="H12" i="60"/>
  <c r="E12" i="60"/>
  <c r="F12" i="60" s="1"/>
  <c r="I12" i="60" s="1"/>
  <c r="M11" i="60"/>
  <c r="H11" i="60"/>
  <c r="E11" i="60"/>
  <c r="M10" i="60"/>
  <c r="H10" i="60"/>
  <c r="E10" i="60"/>
  <c r="M9" i="60"/>
  <c r="H9" i="60"/>
  <c r="E9" i="60"/>
  <c r="M8" i="60"/>
  <c r="H8" i="60"/>
  <c r="E8" i="60"/>
  <c r="F8" i="60" s="1"/>
  <c r="I8" i="60" s="1"/>
  <c r="M7" i="60"/>
  <c r="H7" i="60"/>
  <c r="E7" i="60"/>
  <c r="J14" i="60" l="1"/>
  <c r="E25" i="60"/>
  <c r="F19" i="60"/>
  <c r="I19" i="60" s="1"/>
  <c r="J19" i="60" s="1"/>
  <c r="F21" i="60"/>
  <c r="I21" i="60" s="1"/>
  <c r="J21" i="60" s="1"/>
  <c r="F24" i="60"/>
  <c r="I24" i="60" s="1"/>
  <c r="F11" i="60"/>
  <c r="I11" i="60" s="1"/>
  <c r="J11" i="60" s="1"/>
  <c r="F13" i="60"/>
  <c r="I13" i="60" s="1"/>
  <c r="J13" i="60" s="1"/>
  <c r="F20" i="60"/>
  <c r="I20" i="60" s="1"/>
  <c r="J20" i="60" s="1"/>
  <c r="F22" i="60"/>
  <c r="I22" i="60" s="1"/>
  <c r="J22" i="60" s="1"/>
  <c r="D25" i="60"/>
  <c r="F10" i="60"/>
  <c r="I10" i="60" s="1"/>
  <c r="J10" i="60" s="1"/>
  <c r="F9" i="60"/>
  <c r="I9" i="60" s="1"/>
  <c r="J9" i="60" s="1"/>
  <c r="F16" i="60"/>
  <c r="I16" i="60" s="1"/>
  <c r="J16" i="60" s="1"/>
  <c r="J18" i="60"/>
  <c r="F23" i="60"/>
  <c r="I23" i="60" s="1"/>
  <c r="J23" i="60" s="1"/>
  <c r="F7" i="60"/>
  <c r="I7" i="60" s="1"/>
  <c r="H25" i="60"/>
  <c r="J15" i="60"/>
  <c r="J8" i="60"/>
  <c r="J24" i="60"/>
  <c r="J12" i="60"/>
  <c r="J17" i="60"/>
  <c r="C25" i="60"/>
  <c r="G25" i="60"/>
  <c r="F25" i="60" l="1"/>
  <c r="I25" i="60"/>
  <c r="J7" i="60"/>
  <c r="J25" i="60" l="1"/>
  <c r="AU5" i="3" l="1"/>
  <c r="AT5" i="3" l="1"/>
  <c r="AS5" i="3"/>
  <c r="AL67" i="3"/>
  <c r="AN67" i="3"/>
  <c r="AU65" i="3" l="1"/>
  <c r="AU66" i="3" s="1"/>
  <c r="AV5" i="3"/>
  <c r="AM67" i="3"/>
  <c r="I28" i="6"/>
  <c r="I27" i="6"/>
  <c r="I26" i="6"/>
  <c r="H28" i="6"/>
  <c r="H27" i="6"/>
  <c r="H26" i="6"/>
  <c r="G28" i="6"/>
  <c r="G27" i="6"/>
  <c r="G26" i="6"/>
  <c r="E28" i="6"/>
  <c r="E27" i="6"/>
  <c r="E26" i="6"/>
  <c r="AT65" i="3" l="1"/>
  <c r="AT66" i="3" s="1"/>
  <c r="AS65" i="3"/>
  <c r="AS66" i="3" s="1"/>
  <c r="AV65" i="3" l="1"/>
  <c r="AV66" i="3" s="1"/>
  <c r="E8" i="16"/>
  <c r="C12" i="40" s="1"/>
  <c r="C14" i="40" s="1"/>
  <c r="G8" i="16"/>
  <c r="H8" i="16"/>
  <c r="I8" i="16"/>
  <c r="J8" i="16"/>
  <c r="F13" i="8" l="1"/>
  <c r="F28" i="6"/>
  <c r="F5" i="26" l="1"/>
  <c r="E12" i="8" l="1"/>
  <c r="F12" i="8"/>
  <c r="J12" i="8"/>
  <c r="F27" i="6" l="1"/>
  <c r="F26" i="6" l="1"/>
  <c r="E10" i="16" l="1"/>
  <c r="J10" i="16" l="1"/>
  <c r="I10" i="16"/>
  <c r="H10" i="16"/>
  <c r="G10" i="16"/>
  <c r="F10" i="16" l="1"/>
  <c r="F6" i="26"/>
  <c r="F23" i="5" s="1"/>
  <c r="I134" i="41"/>
  <c r="G134" i="41"/>
  <c r="F134" i="41"/>
  <c r="E134" i="41"/>
  <c r="I133" i="41"/>
  <c r="H133" i="41"/>
  <c r="F133" i="41"/>
  <c r="I132" i="41"/>
  <c r="H132" i="41"/>
  <c r="G132" i="41"/>
  <c r="I131" i="41"/>
  <c r="H131" i="41"/>
  <c r="G131" i="41"/>
  <c r="E131" i="41"/>
  <c r="I130" i="41"/>
  <c r="F130" i="41"/>
  <c r="I129" i="41"/>
  <c r="E129" i="41"/>
  <c r="I128" i="41"/>
  <c r="H128" i="41"/>
  <c r="F128" i="41"/>
  <c r="I127" i="41"/>
  <c r="H127" i="41"/>
  <c r="G127" i="41"/>
  <c r="E127" i="41"/>
  <c r="I126" i="41"/>
  <c r="G126" i="41"/>
  <c r="I125" i="41"/>
  <c r="H125" i="41"/>
  <c r="G125" i="41"/>
  <c r="F125" i="41"/>
  <c r="I117" i="41"/>
  <c r="C111" i="41"/>
  <c r="F111" i="41" s="1"/>
  <c r="B115" i="41"/>
  <c r="I97" i="41"/>
  <c r="C92" i="41"/>
  <c r="F92" i="41" s="1"/>
  <c r="B95" i="41"/>
  <c r="I75" i="41"/>
  <c r="I77" i="41" s="1"/>
  <c r="G75" i="41"/>
  <c r="G77" i="41" s="1"/>
  <c r="F75" i="41"/>
  <c r="E75" i="41"/>
  <c r="E77" i="41" s="1"/>
  <c r="C77" i="41"/>
  <c r="C74" i="41" s="1"/>
  <c r="H74" i="41" s="1"/>
  <c r="H75" i="41" s="1"/>
  <c r="B75" i="41"/>
  <c r="I66" i="41"/>
  <c r="C60" i="41"/>
  <c r="F60" i="41" s="1"/>
  <c r="B64" i="41"/>
  <c r="I44" i="41"/>
  <c r="I46" i="41" s="1"/>
  <c r="B44" i="41"/>
  <c r="I22" i="41"/>
  <c r="C18" i="41"/>
  <c r="K18" i="41" s="1"/>
  <c r="R144" i="27" s="1"/>
  <c r="AD6" i="3" s="1"/>
  <c r="B22" i="41"/>
  <c r="BO6" i="3" l="1"/>
  <c r="I135" i="41"/>
  <c r="C66" i="41"/>
  <c r="C55" i="41"/>
  <c r="E55" i="41" s="1"/>
  <c r="F55" i="41" s="1"/>
  <c r="C61" i="41"/>
  <c r="F61" i="41" s="1"/>
  <c r="C54" i="41"/>
  <c r="E54" i="41" s="1"/>
  <c r="C63" i="41"/>
  <c r="H63" i="41" s="1"/>
  <c r="C110" i="41"/>
  <c r="E110" i="41" s="1"/>
  <c r="C112" i="41"/>
  <c r="F112" i="41" s="1"/>
  <c r="C113" i="41"/>
  <c r="G113" i="41" s="1"/>
  <c r="C58" i="41"/>
  <c r="G58" i="41" s="1"/>
  <c r="G129" i="41" s="1"/>
  <c r="C105" i="41"/>
  <c r="E105" i="41" s="1"/>
  <c r="C106" i="41"/>
  <c r="E106" i="41" s="1"/>
  <c r="C107" i="41"/>
  <c r="F107" i="41" s="1"/>
  <c r="C114" i="41"/>
  <c r="H114" i="41" s="1"/>
  <c r="C109" i="41"/>
  <c r="H109" i="41" s="1"/>
  <c r="H129" i="41" s="1"/>
  <c r="C117" i="41"/>
  <c r="C24" i="41"/>
  <c r="C26" i="41" s="1"/>
  <c r="I138" i="41"/>
  <c r="I140" i="41" s="1"/>
  <c r="H76" i="41"/>
  <c r="F76" i="41" s="1"/>
  <c r="F77" i="41" s="1"/>
  <c r="F78" i="41" s="1"/>
  <c r="F18" i="41"/>
  <c r="C13" i="41"/>
  <c r="K13" i="41" s="1"/>
  <c r="M144" i="27" s="1"/>
  <c r="Y6" i="3" s="1"/>
  <c r="C16" i="41"/>
  <c r="K16" i="41" s="1"/>
  <c r="P144" i="27" s="1"/>
  <c r="AB6" i="3" s="1"/>
  <c r="C19" i="41"/>
  <c r="K19" i="41" s="1"/>
  <c r="S144" i="27" s="1"/>
  <c r="AE6" i="3" s="1"/>
  <c r="C86" i="41"/>
  <c r="C89" i="41"/>
  <c r="F89" i="41" s="1"/>
  <c r="C93" i="41"/>
  <c r="G93" i="41" s="1"/>
  <c r="C62" i="41"/>
  <c r="G62" i="41" s="1"/>
  <c r="C17" i="41"/>
  <c r="K17" i="41" s="1"/>
  <c r="C20" i="41"/>
  <c r="K20" i="41" s="1"/>
  <c r="C56" i="41"/>
  <c r="F56" i="41" s="1"/>
  <c r="C59" i="41"/>
  <c r="E59" i="41" s="1"/>
  <c r="C90" i="41"/>
  <c r="E90" i="41" s="1"/>
  <c r="C94" i="41"/>
  <c r="H94" i="41" s="1"/>
  <c r="C14" i="41"/>
  <c r="K14" i="41" s="1"/>
  <c r="N144" i="27" s="1"/>
  <c r="Z6" i="3" s="1"/>
  <c r="C87" i="41"/>
  <c r="F87" i="41" s="1"/>
  <c r="C21" i="41"/>
  <c r="K21" i="41" s="1"/>
  <c r="I24" i="41"/>
  <c r="I26" i="41" s="1"/>
  <c r="C91" i="41"/>
  <c r="F91" i="41" s="1"/>
  <c r="C97" i="41"/>
  <c r="C12" i="41"/>
  <c r="K12" i="41" s="1"/>
  <c r="L144" i="27" s="1"/>
  <c r="X6" i="3" s="1"/>
  <c r="C85" i="41"/>
  <c r="Q144" i="27" l="1"/>
  <c r="AC6" i="3" s="1"/>
  <c r="BN6" i="3" s="1"/>
  <c r="BP6" i="3"/>
  <c r="BK6" i="3"/>
  <c r="H64" i="41"/>
  <c r="H65" i="41" s="1"/>
  <c r="F65" i="41" s="1"/>
  <c r="K63" i="41"/>
  <c r="H95" i="41"/>
  <c r="H96" i="41" s="1"/>
  <c r="F96" i="41" s="1"/>
  <c r="K94" i="41"/>
  <c r="E61" i="41"/>
  <c r="E132" i="41" s="1"/>
  <c r="F58" i="41"/>
  <c r="F64" i="41" s="1"/>
  <c r="H106" i="41"/>
  <c r="F106" i="41" s="1"/>
  <c r="C108" i="41"/>
  <c r="E108" i="41" s="1"/>
  <c r="E115" i="41" s="1"/>
  <c r="E117" i="41" s="1"/>
  <c r="F109" i="41"/>
  <c r="H77" i="41"/>
  <c r="K77" i="41" s="1"/>
  <c r="E13" i="41"/>
  <c r="F13" i="41" s="1"/>
  <c r="H21" i="41"/>
  <c r="C88" i="41"/>
  <c r="E85" i="41"/>
  <c r="C57" i="41"/>
  <c r="F19" i="41"/>
  <c r="F16" i="41"/>
  <c r="C15" i="41"/>
  <c r="K15" i="41" s="1"/>
  <c r="O144" i="27" s="1"/>
  <c r="AA6" i="3" s="1"/>
  <c r="E12" i="41"/>
  <c r="G17" i="41"/>
  <c r="G130" i="41" s="1"/>
  <c r="E17" i="41"/>
  <c r="H17" i="41"/>
  <c r="E86" i="41"/>
  <c r="F86" i="41" s="1"/>
  <c r="F95" i="41" s="1"/>
  <c r="G20" i="41"/>
  <c r="F14" i="41"/>
  <c r="H66" i="41" l="1"/>
  <c r="BI6" i="3"/>
  <c r="F66" i="41"/>
  <c r="K22" i="41"/>
  <c r="F97" i="41"/>
  <c r="H115" i="41"/>
  <c r="H126" i="41"/>
  <c r="F115" i="41"/>
  <c r="H97" i="41"/>
  <c r="F22" i="41"/>
  <c r="E57" i="41"/>
  <c r="E64" i="41" s="1"/>
  <c r="E66" i="41" s="1"/>
  <c r="E15" i="41"/>
  <c r="E88" i="41"/>
  <c r="E95" i="41" s="1"/>
  <c r="E97" i="41" s="1"/>
  <c r="G108" i="41"/>
  <c r="G115" i="41" s="1"/>
  <c r="G117" i="41" s="1"/>
  <c r="H116" i="41"/>
  <c r="H117" i="41" s="1"/>
  <c r="H23" i="41"/>
  <c r="H130" i="41"/>
  <c r="H22" i="41"/>
  <c r="G88" i="41" l="1"/>
  <c r="G95" i="41" s="1"/>
  <c r="G97" i="41" s="1"/>
  <c r="F98" i="41" s="1"/>
  <c r="H25" i="41"/>
  <c r="F25" i="41" s="1"/>
  <c r="H24" i="41"/>
  <c r="H136" i="41"/>
  <c r="F23" i="41"/>
  <c r="F136" i="41" s="1"/>
  <c r="G57" i="41"/>
  <c r="G64" i="41" s="1"/>
  <c r="G66" i="41" s="1"/>
  <c r="F67" i="41" s="1"/>
  <c r="G15" i="41"/>
  <c r="E22" i="41"/>
  <c r="E24" i="41" s="1"/>
  <c r="E26" i="41" s="1"/>
  <c r="F116" i="41"/>
  <c r="H137" i="41"/>
  <c r="BL6" i="3" l="1"/>
  <c r="L18" i="41"/>
  <c r="L16" i="41"/>
  <c r="L13" i="41"/>
  <c r="L20" i="41"/>
  <c r="L19" i="41"/>
  <c r="L14" i="41"/>
  <c r="L17" i="41"/>
  <c r="L12" i="41"/>
  <c r="L21" i="41"/>
  <c r="L15" i="41"/>
  <c r="H26" i="41"/>
  <c r="F24" i="41"/>
  <c r="F26" i="41" s="1"/>
  <c r="G22" i="41"/>
  <c r="G24" i="41" s="1"/>
  <c r="G26" i="41" s="1"/>
  <c r="F137" i="41"/>
  <c r="F117" i="41"/>
  <c r="F118" i="41" s="1"/>
  <c r="L22" i="41" l="1"/>
  <c r="F27" i="41"/>
  <c r="B12" i="40" l="1"/>
  <c r="C11" i="40" l="1"/>
  <c r="H11" i="40" s="1"/>
  <c r="H12" i="40" s="1"/>
  <c r="E11" i="40" l="1"/>
  <c r="E12" i="40" s="1"/>
  <c r="E14" i="40" s="1"/>
  <c r="G11" i="40"/>
  <c r="G12" i="40" s="1"/>
  <c r="G14" i="40" s="1"/>
  <c r="H13" i="40"/>
  <c r="F13" i="40" s="1"/>
  <c r="H14" i="40" l="1"/>
  <c r="F11" i="40"/>
  <c r="F12" i="40" s="1"/>
  <c r="F14" i="40" l="1"/>
  <c r="F15" i="40" s="1"/>
  <c r="B23" i="39"/>
  <c r="B35" i="39"/>
  <c r="C34" i="39"/>
  <c r="F35" i="39"/>
  <c r="B45" i="39"/>
  <c r="C44" i="39"/>
  <c r="F45" i="39"/>
  <c r="F47" i="39" s="1"/>
  <c r="B73" i="39"/>
  <c r="B85" i="39"/>
  <c r="C87" i="39"/>
  <c r="F85" i="39"/>
  <c r="F87" i="39" s="1"/>
  <c r="B95" i="39"/>
  <c r="C94" i="39"/>
  <c r="E94" i="39" s="1"/>
  <c r="E95" i="39" s="1"/>
  <c r="E97" i="39" s="1"/>
  <c r="F95" i="39"/>
  <c r="F97" i="39" s="1"/>
  <c r="B113" i="39"/>
  <c r="F124" i="39"/>
  <c r="G124" i="39"/>
  <c r="H124" i="39"/>
  <c r="I124" i="39"/>
  <c r="I125" i="39"/>
  <c r="I126" i="39"/>
  <c r="F128" i="39"/>
  <c r="I129" i="39"/>
  <c r="I130" i="39"/>
  <c r="I131" i="39"/>
  <c r="I132" i="39"/>
  <c r="F133" i="39"/>
  <c r="I133" i="39"/>
  <c r="E134" i="39"/>
  <c r="F134" i="39"/>
  <c r="G134" i="39"/>
  <c r="I134" i="39"/>
  <c r="F37" i="39" l="1"/>
  <c r="C97" i="39"/>
  <c r="C83" i="39"/>
  <c r="E83" i="39" s="1"/>
  <c r="C47" i="39"/>
  <c r="E34" i="39"/>
  <c r="H34" i="39"/>
  <c r="I34" i="39"/>
  <c r="E44" i="39"/>
  <c r="E45" i="39" s="1"/>
  <c r="I44" i="39"/>
  <c r="I45" i="39" s="1"/>
  <c r="H44" i="39"/>
  <c r="H45" i="39" s="1"/>
  <c r="C84" i="39"/>
  <c r="C128" i="39" s="1"/>
  <c r="C37" i="39"/>
  <c r="I94" i="39"/>
  <c r="I95" i="39" s="1"/>
  <c r="I97" i="39" s="1"/>
  <c r="C33" i="39"/>
  <c r="H94" i="39"/>
  <c r="H95" i="39" s="1"/>
  <c r="H97" i="39" s="1"/>
  <c r="H47" i="39" l="1"/>
  <c r="I47" i="39"/>
  <c r="E47" i="39"/>
  <c r="I83" i="39"/>
  <c r="G94" i="39"/>
  <c r="G95" i="39" s="1"/>
  <c r="G97" i="39" s="1"/>
  <c r="H83" i="39"/>
  <c r="G83" i="39" s="1"/>
  <c r="G34" i="39"/>
  <c r="H84" i="39"/>
  <c r="H128" i="39" s="1"/>
  <c r="I84" i="39"/>
  <c r="I128" i="39" s="1"/>
  <c r="E84" i="39"/>
  <c r="E85" i="39" s="1"/>
  <c r="I33" i="39"/>
  <c r="E33" i="39"/>
  <c r="E35" i="39" s="1"/>
  <c r="H33" i="39"/>
  <c r="H35" i="39" s="1"/>
  <c r="H37" i="39" s="1"/>
  <c r="G44" i="39"/>
  <c r="G45" i="39" s="1"/>
  <c r="E37" i="39" l="1"/>
  <c r="G47" i="39"/>
  <c r="E87" i="39"/>
  <c r="H85" i="39"/>
  <c r="E128" i="39"/>
  <c r="I85" i="39"/>
  <c r="G84" i="39"/>
  <c r="G128" i="39" s="1"/>
  <c r="G33" i="39"/>
  <c r="G35" i="39" s="1"/>
  <c r="G37" i="39" s="1"/>
  <c r="I35" i="39"/>
  <c r="I127" i="39"/>
  <c r="I135" i="39" s="1"/>
  <c r="I137" i="39" s="1"/>
  <c r="I37" i="39" l="1"/>
  <c r="I87" i="39"/>
  <c r="H87" i="39"/>
  <c r="G85" i="39"/>
  <c r="A79" i="37"/>
  <c r="A78" i="37"/>
  <c r="W60" i="37"/>
  <c r="U60" i="37"/>
  <c r="AD60" i="37"/>
  <c r="AB60" i="37"/>
  <c r="AK59" i="37"/>
  <c r="AI59" i="37"/>
  <c r="AG59" i="37"/>
  <c r="AD59" i="37"/>
  <c r="AB59" i="37"/>
  <c r="W59" i="37"/>
  <c r="Y59" i="37"/>
  <c r="AK58" i="37"/>
  <c r="AI58" i="37"/>
  <c r="AG58" i="37"/>
  <c r="AD58" i="37"/>
  <c r="AB58" i="37"/>
  <c r="W58" i="37"/>
  <c r="Y58" i="37"/>
  <c r="W57" i="37"/>
  <c r="U57" i="37"/>
  <c r="AD57" i="37"/>
  <c r="AK56" i="37"/>
  <c r="AI56" i="37"/>
  <c r="AG56" i="37"/>
  <c r="AD56" i="37"/>
  <c r="AB56" i="37"/>
  <c r="W56" i="37"/>
  <c r="W55" i="37"/>
  <c r="U55" i="37"/>
  <c r="AD55" i="37"/>
  <c r="W54" i="37"/>
  <c r="U54" i="37"/>
  <c r="AD54" i="37"/>
  <c r="W53" i="37"/>
  <c r="U53" i="37"/>
  <c r="AD53" i="37"/>
  <c r="W52" i="37"/>
  <c r="U52" i="37"/>
  <c r="AD52" i="37"/>
  <c r="AK51" i="37"/>
  <c r="AI51" i="37"/>
  <c r="AG51" i="37"/>
  <c r="AD51" i="37"/>
  <c r="AB51" i="37"/>
  <c r="W51" i="37"/>
  <c r="Y51" i="37"/>
  <c r="U51" i="37"/>
  <c r="AK50" i="37"/>
  <c r="AI50" i="37"/>
  <c r="AG50" i="37"/>
  <c r="AD50" i="37"/>
  <c r="AB50" i="37"/>
  <c r="W50" i="37"/>
  <c r="W49" i="37"/>
  <c r="U49" i="37"/>
  <c r="AD49" i="37"/>
  <c r="AK49" i="37"/>
  <c r="W48" i="37"/>
  <c r="U48" i="37"/>
  <c r="AD48" i="37"/>
  <c r="W47" i="37"/>
  <c r="U47" i="37"/>
  <c r="AD47" i="37"/>
  <c r="AK46" i="37"/>
  <c r="AI46" i="37"/>
  <c r="AG46" i="37"/>
  <c r="AD46" i="37"/>
  <c r="AB46" i="37"/>
  <c r="W46" i="37"/>
  <c r="AP46" i="37"/>
  <c r="AK45" i="37"/>
  <c r="AI45" i="37"/>
  <c r="AG45" i="37"/>
  <c r="AD45" i="37"/>
  <c r="AB45" i="37"/>
  <c r="W45" i="37"/>
  <c r="AK44" i="37"/>
  <c r="AI44" i="37"/>
  <c r="AG44" i="37"/>
  <c r="AD44" i="37"/>
  <c r="AB44" i="37"/>
  <c r="W44" i="37"/>
  <c r="AK43" i="37"/>
  <c r="AI43" i="37"/>
  <c r="AG43" i="37"/>
  <c r="AD43" i="37"/>
  <c r="AB43" i="37"/>
  <c r="W43" i="37"/>
  <c r="AK42" i="37"/>
  <c r="AI42" i="37"/>
  <c r="AG42" i="37"/>
  <c r="AD42" i="37"/>
  <c r="AB42" i="37"/>
  <c r="W42" i="37"/>
  <c r="W41" i="37"/>
  <c r="U41" i="37"/>
  <c r="AD41" i="37"/>
  <c r="AK40" i="37"/>
  <c r="AI40" i="37"/>
  <c r="AG40" i="37"/>
  <c r="AD40" i="37"/>
  <c r="AB40" i="37"/>
  <c r="W40" i="37"/>
  <c r="AK39" i="37"/>
  <c r="AI39" i="37"/>
  <c r="AG39" i="37"/>
  <c r="AD39" i="37"/>
  <c r="AB39" i="37"/>
  <c r="W39" i="37"/>
  <c r="W38" i="37"/>
  <c r="U38" i="37"/>
  <c r="W37" i="37"/>
  <c r="U37" i="37"/>
  <c r="AD37" i="37"/>
  <c r="AK37" i="37"/>
  <c r="AK36" i="37"/>
  <c r="AI36" i="37"/>
  <c r="AG36" i="37"/>
  <c r="AD36" i="37"/>
  <c r="AB36" i="37"/>
  <c r="W36" i="37"/>
  <c r="Y36" i="37"/>
  <c r="W35" i="37"/>
  <c r="U35" i="37"/>
  <c r="AD35" i="37"/>
  <c r="W34" i="37"/>
  <c r="U34" i="37"/>
  <c r="AD34" i="37"/>
  <c r="AK33" i="37"/>
  <c r="AI33" i="37"/>
  <c r="AG33" i="37"/>
  <c r="AD33" i="37"/>
  <c r="AB33" i="37"/>
  <c r="W33" i="37"/>
  <c r="AK32" i="37"/>
  <c r="AI32" i="37"/>
  <c r="AG32" i="37"/>
  <c r="AD32" i="37"/>
  <c r="AB32" i="37"/>
  <c r="W32" i="37"/>
  <c r="W31" i="37"/>
  <c r="U31" i="37"/>
  <c r="AD31" i="37"/>
  <c r="W30" i="37"/>
  <c r="U30" i="37"/>
  <c r="AD30" i="37"/>
  <c r="W29" i="37"/>
  <c r="U29" i="37"/>
  <c r="AD29" i="37"/>
  <c r="W28" i="37"/>
  <c r="U28" i="37"/>
  <c r="AD28" i="37"/>
  <c r="W27" i="37"/>
  <c r="U27" i="37"/>
  <c r="AD27" i="37"/>
  <c r="W26" i="37"/>
  <c r="U26" i="37"/>
  <c r="AD26" i="37"/>
  <c r="W25" i="37"/>
  <c r="U25" i="37"/>
  <c r="AD25" i="37"/>
  <c r="W24" i="37"/>
  <c r="U24" i="37"/>
  <c r="AD24" i="37"/>
  <c r="W23" i="37"/>
  <c r="U23" i="37"/>
  <c r="AD23" i="37"/>
  <c r="W22" i="37"/>
  <c r="U22" i="37"/>
  <c r="AD22" i="37"/>
  <c r="W21" i="37"/>
  <c r="U21" i="37"/>
  <c r="R21" i="37"/>
  <c r="R61" i="37" s="1"/>
  <c r="S4" i="37" s="1"/>
  <c r="W20" i="37"/>
  <c r="U20" i="37"/>
  <c r="AD20" i="37"/>
  <c r="W19" i="37"/>
  <c r="U19" i="37"/>
  <c r="AD19" i="37"/>
  <c r="W18" i="37"/>
  <c r="U18" i="37"/>
  <c r="AD18" i="37"/>
  <c r="W17" i="37"/>
  <c r="U17" i="37"/>
  <c r="AD17" i="37"/>
  <c r="W16" i="37"/>
  <c r="U16" i="37"/>
  <c r="AD16" i="37"/>
  <c r="W15" i="37"/>
  <c r="U15" i="37"/>
  <c r="AD15" i="37"/>
  <c r="W14" i="37"/>
  <c r="U14" i="37"/>
  <c r="AD14" i="37"/>
  <c r="AK14" i="37"/>
  <c r="W13" i="37"/>
  <c r="U13" i="37"/>
  <c r="AD13" i="37"/>
  <c r="AK12" i="37"/>
  <c r="AI12" i="37"/>
  <c r="AG12" i="37"/>
  <c r="AD12" i="37"/>
  <c r="AB12" i="37"/>
  <c r="W12" i="37"/>
  <c r="W11" i="37"/>
  <c r="U11" i="37"/>
  <c r="W10" i="37"/>
  <c r="U10" i="37"/>
  <c r="AD10" i="37"/>
  <c r="AK10" i="37"/>
  <c r="AK9" i="37"/>
  <c r="AI9" i="37"/>
  <c r="AG9" i="37"/>
  <c r="AD9" i="37"/>
  <c r="AB9" i="37"/>
  <c r="W9" i="37"/>
  <c r="Y9" i="37"/>
  <c r="W8" i="37"/>
  <c r="U8" i="37"/>
  <c r="AD8" i="37"/>
  <c r="AK8" i="37"/>
  <c r="W7" i="37"/>
  <c r="U7" i="37"/>
  <c r="AD7" i="37"/>
  <c r="W6" i="37"/>
  <c r="U6" i="37"/>
  <c r="AD6" i="37"/>
  <c r="W5" i="37"/>
  <c r="U5" i="37"/>
  <c r="AD5" i="37"/>
  <c r="AK5" i="37"/>
  <c r="W4" i="37"/>
  <c r="U4" i="37"/>
  <c r="AD4" i="37"/>
  <c r="AK3" i="37"/>
  <c r="AI3" i="37"/>
  <c r="AG3" i="37"/>
  <c r="AD3" i="37"/>
  <c r="AB3" i="37"/>
  <c r="Y3" i="37"/>
  <c r="Y12" i="37" l="1"/>
  <c r="Y33" i="37"/>
  <c r="Y39" i="37"/>
  <c r="Y40" i="37"/>
  <c r="Y42" i="37"/>
  <c r="Y43" i="37"/>
  <c r="Y44" i="37"/>
  <c r="Y45" i="37"/>
  <c r="Y50" i="37"/>
  <c r="Y32" i="37"/>
  <c r="Y46" i="37"/>
  <c r="Y56" i="37"/>
  <c r="AP20" i="37"/>
  <c r="AK21" i="37"/>
  <c r="AK29" i="37"/>
  <c r="AB25" i="37"/>
  <c r="AK22" i="37"/>
  <c r="AK41" i="37"/>
  <c r="U45" i="37"/>
  <c r="U46" i="37"/>
  <c r="AK53" i="37"/>
  <c r="AP12" i="37"/>
  <c r="AK6" i="37"/>
  <c r="AK18" i="37"/>
  <c r="AB20" i="37"/>
  <c r="AB22" i="37"/>
  <c r="AK27" i="37"/>
  <c r="AK38" i="37"/>
  <c r="U40" i="37"/>
  <c r="AB53" i="37"/>
  <c r="AK55" i="37"/>
  <c r="AP8" i="37"/>
  <c r="AK13" i="37"/>
  <c r="AP16" i="37"/>
  <c r="AK19" i="37"/>
  <c r="AP21" i="37"/>
  <c r="AK25" i="37"/>
  <c r="AK30" i="37"/>
  <c r="AK34" i="37"/>
  <c r="U42" i="37"/>
  <c r="AP4" i="37"/>
  <c r="AB8" i="37"/>
  <c r="M61" i="37"/>
  <c r="M70" i="37" s="1"/>
  <c r="U9" i="37"/>
  <c r="N10" i="37"/>
  <c r="N13" i="37"/>
  <c r="AP17" i="37"/>
  <c r="AI29" i="37"/>
  <c r="AB30" i="37"/>
  <c r="AP32" i="37"/>
  <c r="U43" i="37"/>
  <c r="AP45" i="37"/>
  <c r="E61" i="37"/>
  <c r="AI5" i="37"/>
  <c r="N7" i="37"/>
  <c r="AG7" i="37" s="1"/>
  <c r="S3" i="37"/>
  <c r="S5" i="37"/>
  <c r="S6" i="37"/>
  <c r="AP7" i="37"/>
  <c r="AP11" i="37"/>
  <c r="N14" i="37"/>
  <c r="AI19" i="37"/>
  <c r="AI20" i="37"/>
  <c r="AP23" i="37"/>
  <c r="AP31" i="37"/>
  <c r="U33" i="37"/>
  <c r="AI34" i="37"/>
  <c r="AI35" i="37"/>
  <c r="AB55" i="37"/>
  <c r="AP9" i="37"/>
  <c r="AP13" i="37"/>
  <c r="AP51" i="37"/>
  <c r="N4" i="37"/>
  <c r="AP5" i="37"/>
  <c r="AI6" i="37"/>
  <c r="AI8" i="37"/>
  <c r="U12" i="37"/>
  <c r="AB14" i="37"/>
  <c r="AP15" i="37"/>
  <c r="P21" i="37"/>
  <c r="P61" i="37" s="1"/>
  <c r="Q21" i="37" s="1"/>
  <c r="K25" i="3" s="1"/>
  <c r="AI21" i="37"/>
  <c r="AK24" i="37"/>
  <c r="AI24" i="37"/>
  <c r="AP26" i="37"/>
  <c r="AK28" i="37"/>
  <c r="AK35" i="37"/>
  <c r="N43" i="37"/>
  <c r="AN43" i="37" s="1"/>
  <c r="AK48" i="37"/>
  <c r="AP48" i="37"/>
  <c r="AK52" i="37"/>
  <c r="AK54" i="37"/>
  <c r="AI54" i="37"/>
  <c r="AI55" i="37"/>
  <c r="AK60" i="37"/>
  <c r="G87" i="39"/>
  <c r="AG14" i="37"/>
  <c r="AN14" i="37"/>
  <c r="AN13" i="37"/>
  <c r="AG13" i="37"/>
  <c r="AN4" i="37"/>
  <c r="AG4" i="37"/>
  <c r="AG10" i="37"/>
  <c r="AN10" i="37"/>
  <c r="AB13" i="37"/>
  <c r="AK15" i="37"/>
  <c r="AK16" i="37"/>
  <c r="AK17" i="37"/>
  <c r="N23" i="37"/>
  <c r="AB28" i="37"/>
  <c r="AP28" i="37"/>
  <c r="AI37" i="37"/>
  <c r="AB47" i="37"/>
  <c r="AK47" i="37"/>
  <c r="N11" i="37"/>
  <c r="N17" i="37"/>
  <c r="AI4" i="37"/>
  <c r="AK7" i="37"/>
  <c r="N8" i="37"/>
  <c r="AK11" i="37"/>
  <c r="N12" i="37"/>
  <c r="AN12" i="37" s="1"/>
  <c r="AP29" i="37"/>
  <c r="AK57" i="37"/>
  <c r="AB57" i="37"/>
  <c r="AI27" i="37"/>
  <c r="AP27" i="37"/>
  <c r="N27" i="37"/>
  <c r="AB27" i="37"/>
  <c r="N31" i="37"/>
  <c r="F61" i="37"/>
  <c r="N15" i="37"/>
  <c r="AP19" i="37"/>
  <c r="N19" i="37"/>
  <c r="AB19" i="37"/>
  <c r="G61" i="37"/>
  <c r="AI13" i="37"/>
  <c r="H61" i="37"/>
  <c r="AB5" i="37"/>
  <c r="N6" i="37"/>
  <c r="AP6" i="37"/>
  <c r="I61" i="37"/>
  <c r="U3" i="37"/>
  <c r="AK4" i="37"/>
  <c r="AI10" i="37"/>
  <c r="AB10" i="37"/>
  <c r="AP10" i="37"/>
  <c r="AI14" i="37"/>
  <c r="AP14" i="37"/>
  <c r="S60" i="37"/>
  <c r="S59" i="37"/>
  <c r="S58" i="37"/>
  <c r="S57" i="37"/>
  <c r="S56" i="37"/>
  <c r="S55" i="37"/>
  <c r="S54" i="37"/>
  <c r="S53" i="37"/>
  <c r="S52" i="37"/>
  <c r="S51" i="37"/>
  <c r="S50" i="37"/>
  <c r="S49" i="37"/>
  <c r="S48" i="37"/>
  <c r="S47" i="37"/>
  <c r="S46" i="37"/>
  <c r="S45" i="37"/>
  <c r="S44" i="37"/>
  <c r="S43" i="37"/>
  <c r="S42" i="37"/>
  <c r="S41" i="37"/>
  <c r="S40" i="37"/>
  <c r="S39" i="37"/>
  <c r="S38" i="37"/>
  <c r="S37" i="37"/>
  <c r="S36" i="37"/>
  <c r="S35" i="37"/>
  <c r="S34" i="37"/>
  <c r="S33" i="37"/>
  <c r="S32" i="37"/>
  <c r="S31" i="37"/>
  <c r="S30" i="37"/>
  <c r="S29" i="37"/>
  <c r="S28" i="37"/>
  <c r="S27" i="37"/>
  <c r="S26" i="37"/>
  <c r="S25" i="37"/>
  <c r="S24" i="37"/>
  <c r="S23" i="37"/>
  <c r="S22" i="37"/>
  <c r="S20" i="37"/>
  <c r="S19" i="37"/>
  <c r="S18" i="37"/>
  <c r="S17" i="37"/>
  <c r="S16" i="37"/>
  <c r="S15" i="37"/>
  <c r="S14" i="37"/>
  <c r="S13" i="37"/>
  <c r="S12" i="37"/>
  <c r="S11" i="37"/>
  <c r="S10" i="37"/>
  <c r="S9" i="37"/>
  <c r="S8" i="37"/>
  <c r="S7" i="37"/>
  <c r="AP24" i="37"/>
  <c r="N28" i="37"/>
  <c r="AB29" i="37"/>
  <c r="AI30" i="37"/>
  <c r="AP30" i="37"/>
  <c r="N30" i="37"/>
  <c r="N3" i="37"/>
  <c r="AI7" i="37"/>
  <c r="AB4" i="37"/>
  <c r="AB7" i="37"/>
  <c r="N9" i="37"/>
  <c r="AN9" i="37" s="1"/>
  <c r="AB18" i="37"/>
  <c r="S21" i="37"/>
  <c r="AI22" i="37"/>
  <c r="AP22" i="37"/>
  <c r="N22" i="37"/>
  <c r="AI25" i="37"/>
  <c r="AP25" i="37"/>
  <c r="N25" i="37"/>
  <c r="AB31" i="37"/>
  <c r="AP37" i="37"/>
  <c r="E70" i="37"/>
  <c r="AD61" i="37"/>
  <c r="AE7" i="37" s="1"/>
  <c r="E11" i="3" s="1"/>
  <c r="AB6" i="37"/>
  <c r="AI38" i="37"/>
  <c r="AP38" i="37"/>
  <c r="AB38" i="37"/>
  <c r="N5" i="37"/>
  <c r="C61" i="37"/>
  <c r="K61" i="37"/>
  <c r="W3" i="37"/>
  <c r="AI11" i="37"/>
  <c r="AB11" i="37"/>
  <c r="AI15" i="37"/>
  <c r="AB15" i="37"/>
  <c r="AI16" i="37"/>
  <c r="AB16" i="37"/>
  <c r="AI17" i="37"/>
  <c r="AB17" i="37"/>
  <c r="AK20" i="37"/>
  <c r="AB26" i="37"/>
  <c r="U32" i="37"/>
  <c r="N18" i="37"/>
  <c r="N16" i="37"/>
  <c r="AK23" i="37"/>
  <c r="AI23" i="37"/>
  <c r="AP3" i="37"/>
  <c r="J61" i="37"/>
  <c r="AP18" i="37"/>
  <c r="N20" i="37"/>
  <c r="AB23" i="37"/>
  <c r="AK31" i="37"/>
  <c r="AP41" i="37"/>
  <c r="AI41" i="37"/>
  <c r="AB41" i="37"/>
  <c r="AI18" i="37"/>
  <c r="AI26" i="37"/>
  <c r="N33" i="37"/>
  <c r="AN33" i="37" s="1"/>
  <c r="AP33" i="37"/>
  <c r="AP44" i="37"/>
  <c r="U44" i="37"/>
  <c r="AI49" i="37"/>
  <c r="AI52" i="37"/>
  <c r="AB54" i="37"/>
  <c r="AB24" i="37"/>
  <c r="AI31" i="37"/>
  <c r="N37" i="37"/>
  <c r="AB37" i="37"/>
  <c r="N39" i="37"/>
  <c r="AN39" i="37" s="1"/>
  <c r="AP39" i="37"/>
  <c r="AP40" i="37"/>
  <c r="AB48" i="37"/>
  <c r="N50" i="37"/>
  <c r="AN50" i="37" s="1"/>
  <c r="U50" i="37"/>
  <c r="AP50" i="37"/>
  <c r="N53" i="37"/>
  <c r="AP53" i="37"/>
  <c r="AI53" i="37"/>
  <c r="AK26" i="37"/>
  <c r="AI28" i="37"/>
  <c r="N34" i="37"/>
  <c r="AB34" i="37"/>
  <c r="AP34" i="37"/>
  <c r="N24" i="37"/>
  <c r="N32" i="37"/>
  <c r="AN32" i="37" s="1"/>
  <c r="D61" i="37"/>
  <c r="L61" i="37"/>
  <c r="N21" i="37"/>
  <c r="N29" i="37"/>
  <c r="N35" i="37"/>
  <c r="AB35" i="37"/>
  <c r="AP35" i="37"/>
  <c r="U39" i="37"/>
  <c r="N42" i="37"/>
  <c r="AN42" i="37" s="1"/>
  <c r="AP42" i="37"/>
  <c r="N26" i="37"/>
  <c r="N36" i="37"/>
  <c r="AN36" i="37" s="1"/>
  <c r="AP36" i="37"/>
  <c r="U36" i="37"/>
  <c r="N41" i="37"/>
  <c r="AP43" i="37"/>
  <c r="N47" i="37"/>
  <c r="AI47" i="37"/>
  <c r="N49" i="37"/>
  <c r="N52" i="37"/>
  <c r="N40" i="37"/>
  <c r="AN40" i="37" s="1"/>
  <c r="N44" i="37"/>
  <c r="AN44" i="37" s="1"/>
  <c r="AP49" i="37"/>
  <c r="AP52" i="37"/>
  <c r="N38" i="37"/>
  <c r="N46" i="37"/>
  <c r="AN46" i="37" s="1"/>
  <c r="AP47" i="37"/>
  <c r="N48" i="37"/>
  <c r="AI48" i="37"/>
  <c r="AP54" i="37"/>
  <c r="N54" i="37"/>
  <c r="AP55" i="37"/>
  <c r="N55" i="37"/>
  <c r="AP56" i="37"/>
  <c r="U56" i="37"/>
  <c r="N56" i="37"/>
  <c r="AN56" i="37" s="1"/>
  <c r="AP58" i="37"/>
  <c r="AP59" i="37"/>
  <c r="AI60" i="37"/>
  <c r="AB49" i="37"/>
  <c r="N51" i="37"/>
  <c r="AN51" i="37" s="1"/>
  <c r="AB52" i="37"/>
  <c r="AI57" i="37"/>
  <c r="N45" i="37"/>
  <c r="AN45" i="37" s="1"/>
  <c r="N57" i="37"/>
  <c r="N58" i="37"/>
  <c r="AN58" i="37" s="1"/>
  <c r="N59" i="37"/>
  <c r="AN59" i="37" s="1"/>
  <c r="N60" i="37"/>
  <c r="AP57" i="37"/>
  <c r="U58" i="37"/>
  <c r="U59" i="37"/>
  <c r="AP60" i="37"/>
  <c r="AN7" i="37" l="1"/>
  <c r="AE14" i="37"/>
  <c r="AE48" i="37"/>
  <c r="E52" i="3" s="1"/>
  <c r="AE30" i="37"/>
  <c r="E34" i="3" s="1"/>
  <c r="AE51" i="37"/>
  <c r="AE58" i="37"/>
  <c r="AE42" i="37"/>
  <c r="AE34" i="37"/>
  <c r="E38" i="3" s="1"/>
  <c r="E42" i="3"/>
  <c r="Y61" i="37"/>
  <c r="Z40" i="37" s="1"/>
  <c r="AE29" i="37"/>
  <c r="E33" i="3" s="1"/>
  <c r="AE31" i="37"/>
  <c r="E35" i="3" s="1"/>
  <c r="AE20" i="37"/>
  <c r="E24" i="3" s="1"/>
  <c r="AE17" i="37"/>
  <c r="E21" i="3" s="1"/>
  <c r="AE10" i="37"/>
  <c r="E14" i="3" s="1"/>
  <c r="E15" i="3"/>
  <c r="AE15" i="37"/>
  <c r="E19" i="3" s="1"/>
  <c r="AE60" i="37"/>
  <c r="E64" i="3" s="1"/>
  <c r="AE53" i="37"/>
  <c r="E57" i="3" s="1"/>
  <c r="AE56" i="37"/>
  <c r="AE40" i="37"/>
  <c r="AE52" i="37"/>
  <c r="E56" i="3" s="1"/>
  <c r="AE32" i="37"/>
  <c r="AE27" i="37"/>
  <c r="E31" i="3" s="1"/>
  <c r="AE46" i="37"/>
  <c r="AE37" i="37"/>
  <c r="E41" i="3" s="1"/>
  <c r="AE22" i="37"/>
  <c r="E26" i="3" s="1"/>
  <c r="AE12" i="37"/>
  <c r="AE28" i="37"/>
  <c r="E32" i="3" s="1"/>
  <c r="AE47" i="37"/>
  <c r="E51" i="3" s="1"/>
  <c r="E18" i="3"/>
  <c r="AE3" i="37"/>
  <c r="AE8" i="37"/>
  <c r="E12" i="3" s="1"/>
  <c r="AE55" i="37"/>
  <c r="E59" i="3" s="1"/>
  <c r="AE45" i="37"/>
  <c r="AE50" i="37"/>
  <c r="AE44" i="37"/>
  <c r="AE49" i="37"/>
  <c r="E53" i="3" s="1"/>
  <c r="AE26" i="37"/>
  <c r="E30" i="3" s="1"/>
  <c r="AE41" i="37"/>
  <c r="E45" i="3" s="1"/>
  <c r="AE24" i="37"/>
  <c r="E28" i="3" s="1"/>
  <c r="AI61" i="37"/>
  <c r="AJ40" i="37" s="1"/>
  <c r="AE54" i="37"/>
  <c r="E58" i="3" s="1"/>
  <c r="AE43" i="37"/>
  <c r="AE59" i="37"/>
  <c r="AE36" i="37"/>
  <c r="AE19" i="37"/>
  <c r="E23" i="3" s="1"/>
  <c r="AE33" i="37"/>
  <c r="AE25" i="37"/>
  <c r="E29" i="3" s="1"/>
  <c r="AE39" i="37"/>
  <c r="S61" i="37"/>
  <c r="AE5" i="37"/>
  <c r="E9" i="3" s="1"/>
  <c r="AG5" i="37"/>
  <c r="AN5" i="37"/>
  <c r="L70" i="37"/>
  <c r="AG20" i="37"/>
  <c r="AN20" i="37"/>
  <c r="AG28" i="37"/>
  <c r="AN28" i="37"/>
  <c r="AG6" i="37"/>
  <c r="AN6" i="37"/>
  <c r="AG54" i="37"/>
  <c r="AN54" i="37"/>
  <c r="AG38" i="37"/>
  <c r="AN38" i="37"/>
  <c r="AN26" i="37"/>
  <c r="AG26" i="37"/>
  <c r="D70" i="37"/>
  <c r="N61" i="37"/>
  <c r="L62" i="37" s="1"/>
  <c r="L73" i="37" s="1"/>
  <c r="AN3" i="37"/>
  <c r="AE18" i="37"/>
  <c r="E22" i="3" s="1"/>
  <c r="AG19" i="37"/>
  <c r="AN19" i="37"/>
  <c r="AG27" i="37"/>
  <c r="AN27" i="37"/>
  <c r="AG17" i="37"/>
  <c r="AN17" i="37"/>
  <c r="AE23" i="37"/>
  <c r="E27" i="3" s="1"/>
  <c r="AG55" i="37"/>
  <c r="AN55" i="37"/>
  <c r="AN48" i="37"/>
  <c r="AG48" i="37"/>
  <c r="AG57" i="37"/>
  <c r="AN57" i="37"/>
  <c r="AN49" i="37"/>
  <c r="AG49" i="37"/>
  <c r="AG34" i="37"/>
  <c r="AN34" i="37"/>
  <c r="AG16" i="37"/>
  <c r="AN16" i="37"/>
  <c r="AE21" i="37"/>
  <c r="E25" i="3" s="1"/>
  <c r="AE4" i="37"/>
  <c r="E8" i="3" s="1"/>
  <c r="AG22" i="37"/>
  <c r="AN22" i="37"/>
  <c r="AG11" i="37"/>
  <c r="AN11" i="37"/>
  <c r="AE16" i="37"/>
  <c r="E20" i="3" s="1"/>
  <c r="AN41" i="37"/>
  <c r="AG41" i="37"/>
  <c r="AN21" i="37"/>
  <c r="AG21" i="37"/>
  <c r="AN52" i="37"/>
  <c r="AG52" i="37"/>
  <c r="AB61" i="37"/>
  <c r="AC11" i="37" s="1"/>
  <c r="B15" i="3" s="1"/>
  <c r="AK61" i="37"/>
  <c r="AL31" i="37" s="1"/>
  <c r="S35" i="3" s="1"/>
  <c r="H70" i="37"/>
  <c r="AG15" i="37"/>
  <c r="AN15" i="37"/>
  <c r="AN37" i="37"/>
  <c r="AG37" i="37"/>
  <c r="AN47" i="37"/>
  <c r="AG47" i="37"/>
  <c r="AG24" i="37"/>
  <c r="AN24" i="37"/>
  <c r="AN53" i="37"/>
  <c r="AG53" i="37"/>
  <c r="J70" i="37"/>
  <c r="W61" i="37"/>
  <c r="AG30" i="37"/>
  <c r="AN30" i="37"/>
  <c r="F70" i="37"/>
  <c r="AE9" i="37"/>
  <c r="AE6" i="37"/>
  <c r="E10" i="3" s="1"/>
  <c r="AN35" i="37"/>
  <c r="AG35" i="37"/>
  <c r="K70" i="37"/>
  <c r="U61" i="37"/>
  <c r="V39" i="37" s="1"/>
  <c r="G70" i="37"/>
  <c r="AN31" i="37"/>
  <c r="AG31" i="37"/>
  <c r="AE57" i="37"/>
  <c r="E61" i="3" s="1"/>
  <c r="AN8" i="37"/>
  <c r="AG8" i="37"/>
  <c r="AE35" i="37"/>
  <c r="E39" i="3" s="1"/>
  <c r="AG23" i="37"/>
  <c r="AN23" i="37"/>
  <c r="AE13" i="37"/>
  <c r="E17" i="3" s="1"/>
  <c r="AN18" i="37"/>
  <c r="AG18" i="37"/>
  <c r="AG60" i="37"/>
  <c r="AN60" i="37"/>
  <c r="AG29" i="37"/>
  <c r="AN29" i="37"/>
  <c r="AP61" i="37"/>
  <c r="AQ59" i="37" s="1"/>
  <c r="C70" i="37"/>
  <c r="AG25" i="37"/>
  <c r="AN25" i="37"/>
  <c r="I70" i="37"/>
  <c r="Q60" i="37"/>
  <c r="Q59" i="37"/>
  <c r="Q58" i="37"/>
  <c r="Q57" i="37"/>
  <c r="Q56" i="37"/>
  <c r="Q55" i="37"/>
  <c r="Q54" i="37"/>
  <c r="Q53" i="37"/>
  <c r="Q52" i="37"/>
  <c r="Q51" i="37"/>
  <c r="Q50" i="37"/>
  <c r="Q49" i="37"/>
  <c r="Q48" i="37"/>
  <c r="Q47" i="37"/>
  <c r="Q46" i="37"/>
  <c r="Q45" i="37"/>
  <c r="Q44" i="37"/>
  <c r="Q43" i="37"/>
  <c r="Q42" i="37"/>
  <c r="Q39" i="37"/>
  <c r="Q41" i="37"/>
  <c r="Q34" i="37"/>
  <c r="Q29" i="37"/>
  <c r="Q37" i="37"/>
  <c r="Q32" i="37"/>
  <c r="Q24" i="37"/>
  <c r="Q27" i="37"/>
  <c r="Q19" i="37"/>
  <c r="Q30" i="37"/>
  <c r="Q22" i="37"/>
  <c r="Q38" i="37"/>
  <c r="Q33" i="37"/>
  <c r="Q25" i="37"/>
  <c r="Q36" i="37"/>
  <c r="Q28" i="37"/>
  <c r="Q20" i="37"/>
  <c r="Q3" i="37"/>
  <c r="Q18" i="37"/>
  <c r="Q13" i="37"/>
  <c r="Q9" i="37"/>
  <c r="Q5" i="37"/>
  <c r="Q31" i="37"/>
  <c r="Q26" i="37"/>
  <c r="Q4" i="37"/>
  <c r="Q12" i="37"/>
  <c r="Q8" i="37"/>
  <c r="Q6" i="37"/>
  <c r="Q14" i="37"/>
  <c r="Q40" i="37"/>
  <c r="Q35" i="37"/>
  <c r="Q23" i="37"/>
  <c r="Q17" i="37"/>
  <c r="Q16" i="37"/>
  <c r="Q15" i="37"/>
  <c r="Q11" i="37"/>
  <c r="Q7" i="37"/>
  <c r="Q10" i="37"/>
  <c r="AC4" i="37" l="1"/>
  <c r="B8" i="3" s="1"/>
  <c r="AC15" i="37"/>
  <c r="B19" i="3" s="1"/>
  <c r="AC49" i="37"/>
  <c r="B53" i="3" s="1"/>
  <c r="AC57" i="37"/>
  <c r="B61" i="3" s="1"/>
  <c r="AC29" i="37"/>
  <c r="B33" i="3" s="1"/>
  <c r="K62" i="37"/>
  <c r="K73" i="37" s="1"/>
  <c r="I62" i="37"/>
  <c r="I73" i="37" s="1"/>
  <c r="C62" i="37"/>
  <c r="C73" i="37" s="1"/>
  <c r="G62" i="37"/>
  <c r="G73" i="37" s="1"/>
  <c r="F62" i="37"/>
  <c r="AJ17" i="37"/>
  <c r="AJ47" i="37"/>
  <c r="AC7" i="37"/>
  <c r="B11" i="3" s="1"/>
  <c r="AJ51" i="37"/>
  <c r="AL7" i="37"/>
  <c r="S11" i="3" s="1"/>
  <c r="Z45" i="37"/>
  <c r="AC23" i="37"/>
  <c r="B27" i="3" s="1"/>
  <c r="Z12" i="37"/>
  <c r="Z46" i="37"/>
  <c r="AC41" i="37"/>
  <c r="B45" i="3" s="1"/>
  <c r="AC26" i="37"/>
  <c r="B30" i="3" s="1"/>
  <c r="AC35" i="37"/>
  <c r="B39" i="3" s="1"/>
  <c r="J62" i="37"/>
  <c r="J73" i="37" s="1"/>
  <c r="Z33" i="37"/>
  <c r="AC10" i="37"/>
  <c r="B14" i="3" s="1"/>
  <c r="AC37" i="37"/>
  <c r="B41" i="3" s="1"/>
  <c r="AC31" i="37"/>
  <c r="B35" i="3" s="1"/>
  <c r="Z44" i="37"/>
  <c r="Z42" i="37"/>
  <c r="Z43" i="37"/>
  <c r="Z56" i="37"/>
  <c r="Z50" i="37"/>
  <c r="Z39" i="37"/>
  <c r="AC17" i="37"/>
  <c r="B21" i="3" s="1"/>
  <c r="Z7" i="37"/>
  <c r="Z29" i="37"/>
  <c r="Z14" i="37"/>
  <c r="Z30" i="37"/>
  <c r="Z5" i="37"/>
  <c r="Z23" i="37"/>
  <c r="Z49" i="37"/>
  <c r="Z16" i="37"/>
  <c r="Z34" i="37"/>
  <c r="Z21" i="37"/>
  <c r="Z4" i="37"/>
  <c r="Z48" i="37"/>
  <c r="Z31" i="37"/>
  <c r="Z24" i="37"/>
  <c r="Z53" i="37"/>
  <c r="Z25" i="37"/>
  <c r="Z26" i="37"/>
  <c r="Z19" i="37"/>
  <c r="Z28" i="37"/>
  <c r="Z60" i="37"/>
  <c r="Z13" i="37"/>
  <c r="Z47" i="37"/>
  <c r="Z18" i="37"/>
  <c r="Z37" i="37"/>
  <c r="Z10" i="37"/>
  <c r="Z27" i="37"/>
  <c r="Z55" i="37"/>
  <c r="Z20" i="37"/>
  <c r="Z41" i="37"/>
  <c r="Z35" i="37"/>
  <c r="Z17" i="37"/>
  <c r="Z22" i="37"/>
  <c r="Z15" i="37"/>
  <c r="Z6" i="37"/>
  <c r="Z52" i="37"/>
  <c r="Z8" i="37"/>
  <c r="Z54" i="37"/>
  <c r="Z38" i="37"/>
  <c r="Z11" i="37"/>
  <c r="Z57" i="37"/>
  <c r="Z58" i="37"/>
  <c r="Z59" i="37"/>
  <c r="Z3" i="37"/>
  <c r="Z51" i="37"/>
  <c r="Z9" i="37"/>
  <c r="Z36" i="37"/>
  <c r="Z32" i="37"/>
  <c r="AJ20" i="37"/>
  <c r="AL23" i="37"/>
  <c r="S27" i="3" s="1"/>
  <c r="V3" i="37"/>
  <c r="AJ60" i="37"/>
  <c r="AJ44" i="37"/>
  <c r="AJ6" i="37"/>
  <c r="AJ23" i="37"/>
  <c r="AJ39" i="37"/>
  <c r="AJ36" i="37"/>
  <c r="AL26" i="37"/>
  <c r="S30" i="3" s="1"/>
  <c r="AE61" i="37"/>
  <c r="AJ13" i="37"/>
  <c r="AJ27" i="37"/>
  <c r="H62" i="37"/>
  <c r="H73" i="37" s="1"/>
  <c r="AJ53" i="37"/>
  <c r="AJ3" i="37"/>
  <c r="AJ42" i="37"/>
  <c r="AJ30" i="37"/>
  <c r="AQ52" i="37"/>
  <c r="AJ18" i="37"/>
  <c r="V58" i="37"/>
  <c r="AJ26" i="37"/>
  <c r="AJ57" i="37"/>
  <c r="AJ14" i="37"/>
  <c r="AL15" i="37"/>
  <c r="S19" i="3" s="1"/>
  <c r="V32" i="37"/>
  <c r="AJ31" i="37"/>
  <c r="AC24" i="37"/>
  <c r="B28" i="3" s="1"/>
  <c r="AC52" i="37"/>
  <c r="B56" i="3" s="1"/>
  <c r="AJ41" i="37"/>
  <c r="AJ35" i="37"/>
  <c r="AJ59" i="37"/>
  <c r="AJ55" i="37"/>
  <c r="AJ34" i="37"/>
  <c r="AJ12" i="37"/>
  <c r="AJ33" i="37"/>
  <c r="AJ21" i="37"/>
  <c r="AJ43" i="37"/>
  <c r="V50" i="37"/>
  <c r="AJ16" i="37"/>
  <c r="AJ52" i="37"/>
  <c r="V36" i="37"/>
  <c r="AJ7" i="37"/>
  <c r="AC16" i="37"/>
  <c r="B20" i="3" s="1"/>
  <c r="AC54" i="37"/>
  <c r="B58" i="3" s="1"/>
  <c r="AJ4" i="37"/>
  <c r="AC13" i="37"/>
  <c r="B17" i="3" s="1"/>
  <c r="AC38" i="37"/>
  <c r="B42" i="3" s="1"/>
  <c r="V44" i="37"/>
  <c r="AJ10" i="37"/>
  <c r="AC5" i="37"/>
  <c r="B9" i="3" s="1"/>
  <c r="AJ11" i="37"/>
  <c r="AC27" i="37"/>
  <c r="B31" i="3" s="1"/>
  <c r="AC48" i="37"/>
  <c r="B52" i="3" s="1"/>
  <c r="AJ32" i="37"/>
  <c r="AJ5" i="37"/>
  <c r="AJ9" i="37"/>
  <c r="AJ24" i="37"/>
  <c r="AJ8" i="37"/>
  <c r="AJ56" i="37"/>
  <c r="AJ29" i="37"/>
  <c r="AJ38" i="37"/>
  <c r="V56" i="37"/>
  <c r="AJ49" i="37"/>
  <c r="AJ22" i="37"/>
  <c r="AJ37" i="37"/>
  <c r="AJ28" i="37"/>
  <c r="AJ48" i="37"/>
  <c r="AJ25" i="37"/>
  <c r="AL16" i="37"/>
  <c r="S20" i="3" s="1"/>
  <c r="AL20" i="37"/>
  <c r="S24" i="3" s="1"/>
  <c r="AJ15" i="37"/>
  <c r="AJ54" i="37"/>
  <c r="AJ46" i="37"/>
  <c r="AJ19" i="37"/>
  <c r="AJ58" i="37"/>
  <c r="AJ45" i="37"/>
  <c r="AJ50" i="37"/>
  <c r="AQ55" i="37"/>
  <c r="AQ28" i="37"/>
  <c r="AL4" i="37"/>
  <c r="S8" i="3" s="1"/>
  <c r="AL17" i="37"/>
  <c r="S21" i="3" s="1"/>
  <c r="AQ24" i="37"/>
  <c r="AQ18" i="37"/>
  <c r="AQ56" i="37"/>
  <c r="AQ57" i="37"/>
  <c r="AQ49" i="37"/>
  <c r="AC28" i="37"/>
  <c r="B32" i="3" s="1"/>
  <c r="AQ22" i="37"/>
  <c r="AQ14" i="37"/>
  <c r="AQ54" i="37"/>
  <c r="AC47" i="37"/>
  <c r="B51" i="3" s="1"/>
  <c r="AC18" i="37"/>
  <c r="B22" i="3" s="1"/>
  <c r="AN61" i="37"/>
  <c r="AO38" i="37" s="1"/>
  <c r="W42" i="3" s="1"/>
  <c r="AQ41" i="37"/>
  <c r="X44" i="37"/>
  <c r="X25" i="37"/>
  <c r="X26" i="37"/>
  <c r="X18" i="37"/>
  <c r="X19" i="37"/>
  <c r="X37" i="37"/>
  <c r="X30" i="37"/>
  <c r="X41" i="37"/>
  <c r="X29" i="37"/>
  <c r="X42" i="37"/>
  <c r="X24" i="37"/>
  <c r="X55" i="37"/>
  <c r="X49" i="37"/>
  <c r="X39" i="37"/>
  <c r="X34" i="37"/>
  <c r="X43" i="37"/>
  <c r="X45" i="37"/>
  <c r="X58" i="37"/>
  <c r="X59" i="37"/>
  <c r="X40" i="37"/>
  <c r="X5" i="37"/>
  <c r="X36" i="37"/>
  <c r="X6" i="37"/>
  <c r="X28" i="37"/>
  <c r="X57" i="37"/>
  <c r="X52" i="37"/>
  <c r="X10" i="37"/>
  <c r="X4" i="37"/>
  <c r="X11" i="37"/>
  <c r="X33" i="37"/>
  <c r="X21" i="37"/>
  <c r="X38" i="37"/>
  <c r="X32" i="37"/>
  <c r="X15" i="37"/>
  <c r="X35" i="37"/>
  <c r="X46" i="37"/>
  <c r="X8" i="37"/>
  <c r="X51" i="37"/>
  <c r="X50" i="37"/>
  <c r="X27" i="37"/>
  <c r="X53" i="37"/>
  <c r="X22" i="37"/>
  <c r="X31" i="37"/>
  <c r="X7" i="37"/>
  <c r="X16" i="37"/>
  <c r="X23" i="37"/>
  <c r="X47" i="37"/>
  <c r="X60" i="37"/>
  <c r="X12" i="37"/>
  <c r="X14" i="37"/>
  <c r="X56" i="37"/>
  <c r="X9" i="37"/>
  <c r="X17" i="37"/>
  <c r="X13" i="37"/>
  <c r="X48" i="37"/>
  <c r="X20" i="37"/>
  <c r="X54" i="37"/>
  <c r="AQ53" i="37"/>
  <c r="AL57" i="37"/>
  <c r="S61" i="3" s="1"/>
  <c r="AQ50" i="37"/>
  <c r="AQ34" i="37"/>
  <c r="AQ58" i="37"/>
  <c r="AC19" i="37"/>
  <c r="B23" i="3" s="1"/>
  <c r="N70" i="37"/>
  <c r="E62" i="37"/>
  <c r="E63" i="37" s="1"/>
  <c r="E73" i="37" s="1"/>
  <c r="M62" i="37"/>
  <c r="M73" i="37" s="1"/>
  <c r="AQ33" i="37"/>
  <c r="AQ6" i="37"/>
  <c r="AQ36" i="37"/>
  <c r="AQ47" i="37"/>
  <c r="AQ44" i="37"/>
  <c r="AQ29" i="37"/>
  <c r="AC6" i="37"/>
  <c r="B10" i="3" s="1"/>
  <c r="AC34" i="37"/>
  <c r="B38" i="3" s="1"/>
  <c r="AQ25" i="37"/>
  <c r="AQ30" i="37"/>
  <c r="AG61" i="37"/>
  <c r="AH47" i="37" s="1"/>
  <c r="AL29" i="37"/>
  <c r="S33" i="3" s="1"/>
  <c r="AL21" i="37"/>
  <c r="S25" i="3" s="1"/>
  <c r="AL3" i="37"/>
  <c r="AL9" i="37"/>
  <c r="AL33" i="37"/>
  <c r="AL25" i="37"/>
  <c r="S29" i="3" s="1"/>
  <c r="AL13" i="37"/>
  <c r="S17" i="3" s="1"/>
  <c r="AL30" i="37"/>
  <c r="S34" i="3" s="1"/>
  <c r="AL6" i="37"/>
  <c r="S10" i="3" s="1"/>
  <c r="AL35" i="37"/>
  <c r="S39" i="3" s="1"/>
  <c r="AL37" i="37"/>
  <c r="S41" i="3" s="1"/>
  <c r="AL48" i="37"/>
  <c r="S52" i="3" s="1"/>
  <c r="AL54" i="37"/>
  <c r="S58" i="3" s="1"/>
  <c r="AL52" i="37"/>
  <c r="S56" i="3" s="1"/>
  <c r="AL36" i="37"/>
  <c r="AL19" i="37"/>
  <c r="S23" i="3" s="1"/>
  <c r="AL5" i="37"/>
  <c r="S9" i="3" s="1"/>
  <c r="AL10" i="37"/>
  <c r="S14" i="3" s="1"/>
  <c r="AL53" i="37"/>
  <c r="S57" i="3" s="1"/>
  <c r="AL27" i="37"/>
  <c r="S31" i="3" s="1"/>
  <c r="AL39" i="37"/>
  <c r="AL58" i="37"/>
  <c r="AL41" i="37"/>
  <c r="S45" i="3" s="1"/>
  <c r="AL46" i="37"/>
  <c r="AL14" i="37"/>
  <c r="S18" i="3" s="1"/>
  <c r="AL59" i="37"/>
  <c r="AL56" i="37"/>
  <c r="AL8" i="37"/>
  <c r="S12" i="3" s="1"/>
  <c r="AL28" i="37"/>
  <c r="S32" i="3" s="1"/>
  <c r="AL55" i="37"/>
  <c r="S59" i="3" s="1"/>
  <c r="AL51" i="37"/>
  <c r="AL24" i="37"/>
  <c r="S28" i="3" s="1"/>
  <c r="AL22" i="37"/>
  <c r="S26" i="3" s="1"/>
  <c r="AL12" i="37"/>
  <c r="AL43" i="37"/>
  <c r="AL18" i="37"/>
  <c r="S22" i="3" s="1"/>
  <c r="AL60" i="37"/>
  <c r="S64" i="3" s="1"/>
  <c r="AL45" i="37"/>
  <c r="AL44" i="37"/>
  <c r="AL32" i="37"/>
  <c r="AL42" i="37"/>
  <c r="AL49" i="37"/>
  <c r="S53" i="3" s="1"/>
  <c r="AL38" i="37"/>
  <c r="S42" i="3" s="1"/>
  <c r="AL50" i="37"/>
  <c r="AL34" i="37"/>
  <c r="S38" i="3" s="1"/>
  <c r="AL40" i="37"/>
  <c r="AL11" i="37"/>
  <c r="S15" i="3" s="1"/>
  <c r="AQ40" i="37"/>
  <c r="AQ60" i="37"/>
  <c r="AQ37" i="37"/>
  <c r="Q61" i="37"/>
  <c r="AQ3" i="37"/>
  <c r="AQ43" i="37"/>
  <c r="V27" i="37"/>
  <c r="V28" i="37"/>
  <c r="V20" i="37"/>
  <c r="V29" i="37"/>
  <c r="V6" i="37"/>
  <c r="V24" i="37"/>
  <c r="V19" i="37"/>
  <c r="V17" i="37"/>
  <c r="V16" i="37"/>
  <c r="V13" i="37"/>
  <c r="V8" i="37"/>
  <c r="V9" i="37"/>
  <c r="V60" i="37"/>
  <c r="V25" i="37"/>
  <c r="V38" i="37"/>
  <c r="V54" i="37"/>
  <c r="V12" i="37"/>
  <c r="V11" i="37"/>
  <c r="V46" i="37"/>
  <c r="V4" i="37"/>
  <c r="V34" i="37"/>
  <c r="V26" i="37"/>
  <c r="V37" i="37"/>
  <c r="V57" i="37"/>
  <c r="V47" i="37"/>
  <c r="V51" i="37"/>
  <c r="V53" i="37"/>
  <c r="V7" i="37"/>
  <c r="V22" i="37"/>
  <c r="V48" i="37"/>
  <c r="V30" i="37"/>
  <c r="V5" i="37"/>
  <c r="V18" i="37"/>
  <c r="V14" i="37"/>
  <c r="V10" i="37"/>
  <c r="V23" i="37"/>
  <c r="V45" i="37"/>
  <c r="V40" i="37"/>
  <c r="V49" i="37"/>
  <c r="V15" i="37"/>
  <c r="V52" i="37"/>
  <c r="V31" i="37"/>
  <c r="V35" i="37"/>
  <c r="V55" i="37"/>
  <c r="V41" i="37"/>
  <c r="V33" i="37"/>
  <c r="V42" i="37"/>
  <c r="V21" i="37"/>
  <c r="V43" i="37"/>
  <c r="V59" i="37"/>
  <c r="AQ38" i="37"/>
  <c r="AC21" i="37"/>
  <c r="B25" i="3" s="1"/>
  <c r="AC32" i="37"/>
  <c r="AC33" i="37"/>
  <c r="AC3" i="37"/>
  <c r="AC12" i="37"/>
  <c r="AC42" i="37"/>
  <c r="AC20" i="37"/>
  <c r="B24" i="3" s="1"/>
  <c r="AC58" i="37"/>
  <c r="AC9" i="37"/>
  <c r="AC30" i="37"/>
  <c r="B34" i="3" s="1"/>
  <c r="AC55" i="37"/>
  <c r="B59" i="3" s="1"/>
  <c r="AC44" i="37"/>
  <c r="AC50" i="37"/>
  <c r="AC56" i="37"/>
  <c r="AC22" i="37"/>
  <c r="B26" i="3" s="1"/>
  <c r="AC51" i="37"/>
  <c r="AC40" i="37"/>
  <c r="AC39" i="37"/>
  <c r="AC59" i="37"/>
  <c r="AC36" i="37"/>
  <c r="AC53" i="37"/>
  <c r="B57" i="3" s="1"/>
  <c r="AC43" i="37"/>
  <c r="AC8" i="37"/>
  <c r="B12" i="3" s="1"/>
  <c r="AC14" i="37"/>
  <c r="B18" i="3" s="1"/>
  <c r="AC25" i="37"/>
  <c r="B29" i="3" s="1"/>
  <c r="AC60" i="37"/>
  <c r="B64" i="3" s="1"/>
  <c r="AC46" i="37"/>
  <c r="AC45" i="37"/>
  <c r="AL47" i="37"/>
  <c r="S51" i="3" s="1"/>
  <c r="AQ27" i="37"/>
  <c r="D62" i="37"/>
  <c r="D73" i="37" s="1"/>
  <c r="AQ5" i="37"/>
  <c r="AQ45" i="37"/>
  <c r="AQ46" i="37"/>
  <c r="AQ7" i="37"/>
  <c r="AQ4" i="37"/>
  <c r="AQ31" i="37"/>
  <c r="AQ15" i="37"/>
  <c r="AQ32" i="37"/>
  <c r="AQ16" i="37"/>
  <c r="AQ48" i="37"/>
  <c r="AQ9" i="37"/>
  <c r="AQ21" i="37"/>
  <c r="AQ51" i="37"/>
  <c r="AQ26" i="37"/>
  <c r="AQ8" i="37"/>
  <c r="AQ11" i="37"/>
  <c r="AQ20" i="37"/>
  <c r="AQ23" i="37"/>
  <c r="AQ13" i="37"/>
  <c r="AQ12" i="37"/>
  <c r="AQ17" i="37"/>
  <c r="AQ35" i="37"/>
  <c r="AQ10" i="37"/>
  <c r="AQ42" i="37"/>
  <c r="X3" i="37"/>
  <c r="AQ39" i="37"/>
  <c r="AQ19" i="37"/>
  <c r="AH34" i="37"/>
  <c r="AH5" i="37"/>
  <c r="AB42" i="3" l="1"/>
  <c r="X42" i="3"/>
  <c r="BI42" i="3" s="1"/>
  <c r="AD42" i="3"/>
  <c r="BO42" i="3" s="1"/>
  <c r="Z42" i="3"/>
  <c r="BK42" i="3" s="1"/>
  <c r="AE42" i="3"/>
  <c r="BP42" i="3" s="1"/>
  <c r="Y42" i="3"/>
  <c r="AA42" i="3"/>
  <c r="BL42" i="3" s="1"/>
  <c r="AH20" i="37"/>
  <c r="AH19" i="37"/>
  <c r="AH48" i="37"/>
  <c r="AH57" i="37"/>
  <c r="AC42" i="3"/>
  <c r="BN42" i="3" s="1"/>
  <c r="S65" i="3"/>
  <c r="AH15" i="37"/>
  <c r="AH18" i="37"/>
  <c r="AH60" i="37"/>
  <c r="Z61" i="37"/>
  <c r="AH27" i="37"/>
  <c r="AO47" i="37"/>
  <c r="W51" i="3" s="1"/>
  <c r="AH28" i="37"/>
  <c r="AH38" i="37"/>
  <c r="AH31" i="37"/>
  <c r="AJ61" i="37"/>
  <c r="V61" i="37"/>
  <c r="AH49" i="37"/>
  <c r="AH26" i="37"/>
  <c r="AH17" i="37"/>
  <c r="AH23" i="37"/>
  <c r="AH53" i="37"/>
  <c r="AH25" i="37"/>
  <c r="N62" i="37"/>
  <c r="N73" i="37" s="1"/>
  <c r="AO35" i="37"/>
  <c r="W39" i="3" s="1"/>
  <c r="AO8" i="37"/>
  <c r="W12" i="3" s="1"/>
  <c r="Y12" i="3" s="1"/>
  <c r="AO5" i="37"/>
  <c r="W9" i="3" s="1"/>
  <c r="AO15" i="37"/>
  <c r="W19" i="3" s="1"/>
  <c r="AO54" i="37"/>
  <c r="W58" i="3" s="1"/>
  <c r="AO18" i="37"/>
  <c r="W22" i="3" s="1"/>
  <c r="AE22" i="3" s="1"/>
  <c r="BP22" i="3" s="1"/>
  <c r="AO20" i="37"/>
  <c r="W24" i="3" s="1"/>
  <c r="AH8" i="37"/>
  <c r="AH55" i="37"/>
  <c r="AL61" i="37"/>
  <c r="AH54" i="37"/>
  <c r="AO37" i="37"/>
  <c r="W41" i="3" s="1"/>
  <c r="AH52" i="37"/>
  <c r="AO28" i="37"/>
  <c r="W32" i="3" s="1"/>
  <c r="AH29" i="37"/>
  <c r="AO25" i="37"/>
  <c r="W29" i="3" s="1"/>
  <c r="AO3" i="37"/>
  <c r="W7" i="3" s="1"/>
  <c r="AO21" i="37"/>
  <c r="W25" i="3" s="1"/>
  <c r="AO16" i="37"/>
  <c r="W20" i="3" s="1"/>
  <c r="AO57" i="37"/>
  <c r="W61" i="3" s="1"/>
  <c r="Z61" i="3" s="1"/>
  <c r="BK61" i="3" s="1"/>
  <c r="AQ61" i="37"/>
  <c r="AH37" i="37"/>
  <c r="AO19" i="37"/>
  <c r="W23" i="3" s="1"/>
  <c r="AH22" i="37"/>
  <c r="AH11" i="37"/>
  <c r="AO6" i="37"/>
  <c r="W10" i="3" s="1"/>
  <c r="AO17" i="37"/>
  <c r="W21" i="3" s="1"/>
  <c r="AO29" i="37"/>
  <c r="W33" i="3" s="1"/>
  <c r="AO22" i="37"/>
  <c r="W26" i="3" s="1"/>
  <c r="X61" i="37"/>
  <c r="AO34" i="37"/>
  <c r="W38" i="3" s="1"/>
  <c r="AH41" i="37"/>
  <c r="AO60" i="37"/>
  <c r="W64" i="3" s="1"/>
  <c r="AH35" i="37"/>
  <c r="AO24" i="37"/>
  <c r="W28" i="3" s="1"/>
  <c r="AO26" i="37"/>
  <c r="W30" i="3" s="1"/>
  <c r="AO49" i="37"/>
  <c r="W53" i="3" s="1"/>
  <c r="AH32" i="37"/>
  <c r="AH33" i="37"/>
  <c r="AH9" i="37"/>
  <c r="AH42" i="37"/>
  <c r="AH39" i="37"/>
  <c r="AH56" i="37"/>
  <c r="AH46" i="37"/>
  <c r="AH51" i="37"/>
  <c r="AH45" i="37"/>
  <c r="AH58" i="37"/>
  <c r="AH3" i="37"/>
  <c r="AH44" i="37"/>
  <c r="AH43" i="37"/>
  <c r="AH40" i="37"/>
  <c r="AH12" i="37"/>
  <c r="AH36" i="37"/>
  <c r="AH59" i="37"/>
  <c r="AH50" i="37"/>
  <c r="AH10" i="37"/>
  <c r="AH4" i="37"/>
  <c r="AH13" i="37"/>
  <c r="AH7" i="37"/>
  <c r="AH14" i="37"/>
  <c r="AO41" i="37"/>
  <c r="W45" i="3" s="1"/>
  <c r="X45" i="3" s="1"/>
  <c r="BI45" i="3" s="1"/>
  <c r="AH24" i="37"/>
  <c r="AO53" i="37"/>
  <c r="W57" i="3" s="1"/>
  <c r="AH6" i="37"/>
  <c r="AH16" i="37"/>
  <c r="AH30" i="37"/>
  <c r="AH21" i="37"/>
  <c r="AO52" i="37"/>
  <c r="W56" i="3" s="1"/>
  <c r="AO27" i="37"/>
  <c r="W31" i="3" s="1"/>
  <c r="AO30" i="37"/>
  <c r="W34" i="3" s="1"/>
  <c r="AO43" i="37"/>
  <c r="W47" i="3" s="1"/>
  <c r="AE47" i="3" s="1"/>
  <c r="BP47" i="3" s="1"/>
  <c r="AO33" i="37"/>
  <c r="W37" i="3" s="1"/>
  <c r="AD37" i="3" s="1"/>
  <c r="BO37" i="3" s="1"/>
  <c r="AO14" i="37"/>
  <c r="W18" i="3" s="1"/>
  <c r="AO56" i="37"/>
  <c r="W60" i="3" s="1"/>
  <c r="AD60" i="3" s="1"/>
  <c r="BO60" i="3" s="1"/>
  <c r="AO40" i="37"/>
  <c r="W44" i="3" s="1"/>
  <c r="AO7" i="37"/>
  <c r="W11" i="3" s="1"/>
  <c r="Z11" i="3" s="1"/>
  <c r="BK11" i="3" s="1"/>
  <c r="AO44" i="37"/>
  <c r="W48" i="3" s="1"/>
  <c r="AO32" i="37"/>
  <c r="W36" i="3" s="1"/>
  <c r="AO4" i="37"/>
  <c r="W8" i="3" s="1"/>
  <c r="AB8" i="3" s="1"/>
  <c r="AO42" i="37"/>
  <c r="W46" i="3" s="1"/>
  <c r="AO36" i="37"/>
  <c r="W40" i="3" s="1"/>
  <c r="AE40" i="3" s="1"/>
  <c r="BP40" i="3" s="1"/>
  <c r="AO9" i="37"/>
  <c r="W13" i="3" s="1"/>
  <c r="AO45" i="37"/>
  <c r="W49" i="3" s="1"/>
  <c r="AO10" i="37"/>
  <c r="W14" i="3" s="1"/>
  <c r="AO12" i="37"/>
  <c r="W16" i="3" s="1"/>
  <c r="AO39" i="37"/>
  <c r="W43" i="3" s="1"/>
  <c r="AO13" i="37"/>
  <c r="W17" i="3" s="1"/>
  <c r="AO58" i="37"/>
  <c r="W62" i="3" s="1"/>
  <c r="AO59" i="37"/>
  <c r="W63" i="3" s="1"/>
  <c r="AO51" i="37"/>
  <c r="W55" i="3" s="1"/>
  <c r="AE55" i="3" s="1"/>
  <c r="BP55" i="3" s="1"/>
  <c r="AO46" i="37"/>
  <c r="W50" i="3" s="1"/>
  <c r="AE50" i="3" s="1"/>
  <c r="BP50" i="3" s="1"/>
  <c r="AO50" i="37"/>
  <c r="W54" i="3" s="1"/>
  <c r="Z54" i="3" s="1"/>
  <c r="BK54" i="3" s="1"/>
  <c r="AC61" i="37"/>
  <c r="AO55" i="37"/>
  <c r="W59" i="3" s="1"/>
  <c r="AO23" i="37"/>
  <c r="W27" i="3" s="1"/>
  <c r="AB27" i="3" s="1"/>
  <c r="AO11" i="37"/>
  <c r="W15" i="3" s="1"/>
  <c r="AO31" i="37"/>
  <c r="W35" i="3" s="1"/>
  <c r="AO48" i="37"/>
  <c r="W52" i="3" s="1"/>
  <c r="AD43" i="3" l="1"/>
  <c r="BO43" i="3" s="1"/>
  <c r="Y36" i="3"/>
  <c r="BJ36" i="3" s="1"/>
  <c r="Y59" i="3"/>
  <c r="AB16" i="3"/>
  <c r="BM16" i="3" s="1"/>
  <c r="AE58" i="3"/>
  <c r="BP58" i="3" s="1"/>
  <c r="AD33" i="3"/>
  <c r="BO33" i="3" s="1"/>
  <c r="AE33" i="3"/>
  <c r="BP33" i="3" s="1"/>
  <c r="AA33" i="3"/>
  <c r="BL33" i="3" s="1"/>
  <c r="AD56" i="3"/>
  <c r="BO56" i="3" s="1"/>
  <c r="AD49" i="3"/>
  <c r="BO49" i="3" s="1"/>
  <c r="AD44" i="3"/>
  <c r="BO44" i="3" s="1"/>
  <c r="AE44" i="3"/>
  <c r="BP44" i="3" s="1"/>
  <c r="AB21" i="3"/>
  <c r="X21" i="3"/>
  <c r="BI21" i="3" s="1"/>
  <c r="AD9" i="3"/>
  <c r="BO9" i="3" s="1"/>
  <c r="AE9" i="3"/>
  <c r="BP9" i="3" s="1"/>
  <c r="AA9" i="3"/>
  <c r="BL9" i="3" s="1"/>
  <c r="AD30" i="3"/>
  <c r="BO30" i="3" s="1"/>
  <c r="Z30" i="3"/>
  <c r="BK30" i="3" s="1"/>
  <c r="Z10" i="3"/>
  <c r="BK10" i="3" s="1"/>
  <c r="Z25" i="3"/>
  <c r="BK25" i="3" s="1"/>
  <c r="AE25" i="3"/>
  <c r="BP25" i="3" s="1"/>
  <c r="X25" i="3"/>
  <c r="BI25" i="3" s="1"/>
  <c r="AE62" i="3"/>
  <c r="BP62" i="3" s="1"/>
  <c r="Y62" i="3"/>
  <c r="BJ62" i="3" s="1"/>
  <c r="Z63" i="3"/>
  <c r="BK63" i="3" s="1"/>
  <c r="AE63" i="3"/>
  <c r="BP63" i="3" s="1"/>
  <c r="Z64" i="3"/>
  <c r="BK64" i="3" s="1"/>
  <c r="AB7" i="3"/>
  <c r="BM7" i="3" s="1"/>
  <c r="AA7" i="3"/>
  <c r="BL7" i="3" s="1"/>
  <c r="Z39" i="3"/>
  <c r="BK39" i="3" s="1"/>
  <c r="AE39" i="3"/>
  <c r="BP39" i="3" s="1"/>
  <c r="X39" i="3"/>
  <c r="BI39" i="3" s="1"/>
  <c r="O39" i="4"/>
  <c r="X39" i="4" s="1"/>
  <c r="P5" i="4"/>
  <c r="L39" i="4"/>
  <c r="M39" i="4"/>
  <c r="Q39" i="4"/>
  <c r="Z39" i="4" s="1"/>
  <c r="P39" i="4"/>
  <c r="N58" i="4"/>
  <c r="I39" i="2"/>
  <c r="S39" i="4"/>
  <c r="AB39" i="4" s="1"/>
  <c r="D39" i="2"/>
  <c r="N39" i="4"/>
  <c r="W39" i="4" s="1"/>
  <c r="M9" i="4"/>
  <c r="H39" i="2"/>
  <c r="R39" i="4"/>
  <c r="AA39" i="4" s="1"/>
  <c r="AB33" i="3"/>
  <c r="Y33" i="3"/>
  <c r="Z33" i="3"/>
  <c r="BK33" i="3" s="1"/>
  <c r="X33" i="3"/>
  <c r="BI33" i="3" s="1"/>
  <c r="Z29" i="3"/>
  <c r="BK29" i="3" s="1"/>
  <c r="AB29" i="3"/>
  <c r="Y29" i="3"/>
  <c r="Y19" i="3"/>
  <c r="Z19" i="3"/>
  <c r="BK19" i="3" s="1"/>
  <c r="Y27" i="3"/>
  <c r="Z27" i="3"/>
  <c r="BK27" i="3" s="1"/>
  <c r="AB17" i="3"/>
  <c r="Y17" i="3"/>
  <c r="Z49" i="3"/>
  <c r="BK49" i="3" s="1"/>
  <c r="Y49" i="3"/>
  <c r="BJ49" i="3" s="1"/>
  <c r="AB49" i="3"/>
  <c r="BM49" i="3" s="1"/>
  <c r="AB44" i="3"/>
  <c r="BM44" i="3" s="1"/>
  <c r="Y44" i="3"/>
  <c r="BJ44" i="3" s="1"/>
  <c r="Z44" i="3"/>
  <c r="BK44" i="3" s="1"/>
  <c r="AB47" i="3"/>
  <c r="BM47" i="3" s="1"/>
  <c r="Z47" i="3"/>
  <c r="BK47" i="3" s="1"/>
  <c r="Y47" i="3"/>
  <c r="BJ47" i="3" s="1"/>
  <c r="Z57" i="3"/>
  <c r="BK57" i="3" s="1"/>
  <c r="Y57" i="3"/>
  <c r="Z28" i="3"/>
  <c r="BK28" i="3" s="1"/>
  <c r="AB28" i="3"/>
  <c r="Y28" i="3"/>
  <c r="Z38" i="3"/>
  <c r="BK38" i="3" s="1"/>
  <c r="Y38" i="3"/>
  <c r="AB38" i="3"/>
  <c r="Z21" i="3"/>
  <c r="BK21" i="3" s="1"/>
  <c r="Y21" i="3"/>
  <c r="Y23" i="3"/>
  <c r="AB23" i="3"/>
  <c r="Z23" i="3"/>
  <c r="BK23" i="3" s="1"/>
  <c r="Y20" i="3"/>
  <c r="Z20" i="3"/>
  <c r="BK20" i="3" s="1"/>
  <c r="AB24" i="3"/>
  <c r="Y24" i="3"/>
  <c r="Z24" i="3"/>
  <c r="BK24" i="3" s="1"/>
  <c r="AB9" i="3"/>
  <c r="Z9" i="3"/>
  <c r="BK9" i="3" s="1"/>
  <c r="Y9" i="3"/>
  <c r="X9" i="3"/>
  <c r="BI9" i="3" s="1"/>
  <c r="Z35" i="3"/>
  <c r="BK35" i="3" s="1"/>
  <c r="AB35" i="3"/>
  <c r="Y35" i="3"/>
  <c r="Y16" i="3"/>
  <c r="BJ16" i="3" s="1"/>
  <c r="Z16" i="3"/>
  <c r="BK16" i="3" s="1"/>
  <c r="Z40" i="3"/>
  <c r="BK40" i="3" s="1"/>
  <c r="AB40" i="3"/>
  <c r="BM40" i="3" s="1"/>
  <c r="Y40" i="3"/>
  <c r="BJ40" i="3" s="1"/>
  <c r="X40" i="3"/>
  <c r="BI40" i="3" s="1"/>
  <c r="AB48" i="3"/>
  <c r="BM48" i="3" s="1"/>
  <c r="Y48" i="3"/>
  <c r="BJ48" i="3" s="1"/>
  <c r="Z48" i="3"/>
  <c r="BK48" i="3" s="1"/>
  <c r="AA48" i="3"/>
  <c r="BL48" i="3" s="1"/>
  <c r="Z18" i="3"/>
  <c r="BK18" i="3" s="1"/>
  <c r="AB18" i="3"/>
  <c r="Y18" i="3"/>
  <c r="Z31" i="3"/>
  <c r="BK31" i="3" s="1"/>
  <c r="AB31" i="3"/>
  <c r="Y31" i="3"/>
  <c r="AB45" i="3"/>
  <c r="Y45" i="3"/>
  <c r="Z45" i="3"/>
  <c r="BK45" i="3" s="1"/>
  <c r="Z53" i="3"/>
  <c r="BK53" i="3" s="1"/>
  <c r="Y53" i="3"/>
  <c r="AD26" i="3"/>
  <c r="BO26" i="3" s="1"/>
  <c r="Z26" i="3"/>
  <c r="BK26" i="3" s="1"/>
  <c r="AB26" i="3"/>
  <c r="Y26" i="3"/>
  <c r="Y58" i="3"/>
  <c r="Z58" i="3"/>
  <c r="BK58" i="3" s="1"/>
  <c r="Y39" i="3"/>
  <c r="AB39" i="3"/>
  <c r="Y15" i="3"/>
  <c r="AB15" i="3"/>
  <c r="Y54" i="3"/>
  <c r="BJ54" i="3" s="1"/>
  <c r="Z62" i="3"/>
  <c r="BK62" i="3" s="1"/>
  <c r="Y14" i="3"/>
  <c r="AB14" i="3"/>
  <c r="Z46" i="3"/>
  <c r="BK46" i="3" s="1"/>
  <c r="AB46" i="3"/>
  <c r="BM46" i="3" s="1"/>
  <c r="Y46" i="3"/>
  <c r="BJ46" i="3" s="1"/>
  <c r="AB11" i="3"/>
  <c r="Y11" i="3"/>
  <c r="AB37" i="3"/>
  <c r="BM37" i="3" s="1"/>
  <c r="Y37" i="3"/>
  <c r="BJ37" i="3" s="1"/>
  <c r="Z37" i="3"/>
  <c r="BK37" i="3" s="1"/>
  <c r="AE37" i="3"/>
  <c r="BP37" i="3" s="1"/>
  <c r="AA37" i="3"/>
  <c r="BL37" i="3" s="1"/>
  <c r="X37" i="3"/>
  <c r="BI37" i="3" s="1"/>
  <c r="Z56" i="3"/>
  <c r="BK56" i="3" s="1"/>
  <c r="Y56" i="3"/>
  <c r="AB30" i="3"/>
  <c r="Y30" i="3"/>
  <c r="Y41" i="3"/>
  <c r="AB41" i="3"/>
  <c r="Z41" i="3"/>
  <c r="BK41" i="3" s="1"/>
  <c r="Y51" i="3"/>
  <c r="AB51" i="3"/>
  <c r="Z51" i="3"/>
  <c r="BK51" i="3" s="1"/>
  <c r="AB50" i="3"/>
  <c r="BM50" i="3" s="1"/>
  <c r="Z50" i="3"/>
  <c r="BK50" i="3" s="1"/>
  <c r="Y50" i="3"/>
  <c r="BJ50" i="3" s="1"/>
  <c r="Y52" i="3"/>
  <c r="Z52" i="3"/>
  <c r="BK52" i="3" s="1"/>
  <c r="AB52" i="3"/>
  <c r="Z59" i="3"/>
  <c r="BK59" i="3" s="1"/>
  <c r="Y55" i="3"/>
  <c r="BJ55" i="3" s="1"/>
  <c r="Z55" i="3"/>
  <c r="BK55" i="3" s="1"/>
  <c r="Y43" i="3"/>
  <c r="BJ43" i="3" s="1"/>
  <c r="Z43" i="3"/>
  <c r="BK43" i="3" s="1"/>
  <c r="AB43" i="3"/>
  <c r="BM43" i="3" s="1"/>
  <c r="AB13" i="3"/>
  <c r="BM13" i="3" s="1"/>
  <c r="Y13" i="3"/>
  <c r="BJ13" i="3" s="1"/>
  <c r="AB36" i="3"/>
  <c r="BM36" i="3" s="1"/>
  <c r="Z36" i="3"/>
  <c r="BK36" i="3" s="1"/>
  <c r="X36" i="3"/>
  <c r="BI36" i="3" s="1"/>
  <c r="Z60" i="3"/>
  <c r="BK60" i="3" s="1"/>
  <c r="Y60" i="3"/>
  <c r="BJ60" i="3" s="1"/>
  <c r="AB34" i="3"/>
  <c r="Y34" i="3"/>
  <c r="Z34" i="3"/>
  <c r="BK34" i="3" s="1"/>
  <c r="Y10" i="3"/>
  <c r="AB10" i="3"/>
  <c r="Y25" i="3"/>
  <c r="AB25" i="3"/>
  <c r="Z32" i="3"/>
  <c r="BK32" i="3" s="1"/>
  <c r="AB32" i="3"/>
  <c r="Y32" i="3"/>
  <c r="AD22" i="3"/>
  <c r="BO22" i="3" s="1"/>
  <c r="Y22" i="3"/>
  <c r="AB22" i="3"/>
  <c r="Z22" i="3"/>
  <c r="BK22" i="3" s="1"/>
  <c r="U39" i="4"/>
  <c r="B39" i="2"/>
  <c r="G39" i="2"/>
  <c r="E39" i="2"/>
  <c r="AA11" i="3"/>
  <c r="BL11" i="3" s="1"/>
  <c r="AD11" i="3"/>
  <c r="BO11" i="3" s="1"/>
  <c r="X11" i="3"/>
  <c r="BI11" i="3" s="1"/>
  <c r="AC11" i="3"/>
  <c r="BN11" i="3" s="1"/>
  <c r="AE11" i="3"/>
  <c r="BP11" i="3" s="1"/>
  <c r="AC33" i="3"/>
  <c r="BN33" i="3" s="1"/>
  <c r="AA50" i="3"/>
  <c r="BL50" i="3" s="1"/>
  <c r="AC50" i="3"/>
  <c r="BN50" i="3" s="1"/>
  <c r="AD50" i="3"/>
  <c r="BO50" i="3" s="1"/>
  <c r="X50" i="3"/>
  <c r="BI50" i="3" s="1"/>
  <c r="AA28" i="3"/>
  <c r="BL28" i="3" s="1"/>
  <c r="AE28" i="3"/>
  <c r="BP28" i="3" s="1"/>
  <c r="AD28" i="3"/>
  <c r="BO28" i="3" s="1"/>
  <c r="AC28" i="3"/>
  <c r="BN28" i="3" s="1"/>
  <c r="X28" i="3"/>
  <c r="BI28" i="3" s="1"/>
  <c r="AA20" i="3"/>
  <c r="BL20" i="3" s="1"/>
  <c r="AB20" i="3"/>
  <c r="X20" i="3"/>
  <c r="BI20" i="3" s="1"/>
  <c r="AE20" i="3"/>
  <c r="BP20" i="3" s="1"/>
  <c r="AD20" i="3"/>
  <c r="BO20" i="3" s="1"/>
  <c r="AC20" i="3"/>
  <c r="BN20" i="3" s="1"/>
  <c r="AC9" i="3"/>
  <c r="BN9" i="3" s="1"/>
  <c r="Y61" i="3"/>
  <c r="AC61" i="3"/>
  <c r="BN61" i="3" s="1"/>
  <c r="AA61" i="3"/>
  <c r="BL61" i="3" s="1"/>
  <c r="AB61" i="3"/>
  <c r="AD61" i="3"/>
  <c r="BO61" i="3" s="1"/>
  <c r="X61" i="3"/>
  <c r="BI61" i="3" s="1"/>
  <c r="AE61" i="3"/>
  <c r="BP61" i="3" s="1"/>
  <c r="AA49" i="3"/>
  <c r="BL49" i="3" s="1"/>
  <c r="AE49" i="3"/>
  <c r="BP49" i="3" s="1"/>
  <c r="X49" i="3"/>
  <c r="BI49" i="3" s="1"/>
  <c r="AC49" i="3"/>
  <c r="BN49" i="3" s="1"/>
  <c r="X13" i="3"/>
  <c r="BI13" i="3" s="1"/>
  <c r="Z13" i="3"/>
  <c r="BK13" i="3" s="1"/>
  <c r="AC13" i="3"/>
  <c r="BN13" i="3" s="1"/>
  <c r="AA13" i="3"/>
  <c r="BL13" i="3" s="1"/>
  <c r="AD13" i="3"/>
  <c r="BO13" i="3" s="1"/>
  <c r="AE13" i="3"/>
  <c r="BP13" i="3" s="1"/>
  <c r="AD25" i="3"/>
  <c r="BO25" i="3" s="1"/>
  <c r="AC25" i="3"/>
  <c r="BN25" i="3" s="1"/>
  <c r="AA25" i="3"/>
  <c r="BL25" i="3" s="1"/>
  <c r="Z12" i="3"/>
  <c r="BK12" i="3" s="1"/>
  <c r="AD12" i="3"/>
  <c r="BO12" i="3" s="1"/>
  <c r="X12" i="3"/>
  <c r="BI12" i="3" s="1"/>
  <c r="AC12" i="3"/>
  <c r="BN12" i="3" s="1"/>
  <c r="AB12" i="3"/>
  <c r="AA12" i="3"/>
  <c r="BL12" i="3" s="1"/>
  <c r="AE12" i="3"/>
  <c r="BP12" i="3" s="1"/>
  <c r="X30" i="3"/>
  <c r="BI30" i="3" s="1"/>
  <c r="AA30" i="3"/>
  <c r="BL30" i="3" s="1"/>
  <c r="AE30" i="3"/>
  <c r="BP30" i="3" s="1"/>
  <c r="AC30" i="3"/>
  <c r="BN30" i="3" s="1"/>
  <c r="AA51" i="3"/>
  <c r="BL51" i="3" s="1"/>
  <c r="X51" i="3"/>
  <c r="BI51" i="3" s="1"/>
  <c r="AE51" i="3"/>
  <c r="BP51" i="3" s="1"/>
  <c r="AD51" i="3"/>
  <c r="BO51" i="3" s="1"/>
  <c r="AC51" i="3"/>
  <c r="BN51" i="3" s="1"/>
  <c r="AE52" i="3"/>
  <c r="BP52" i="3" s="1"/>
  <c r="AA52" i="3"/>
  <c r="BL52" i="3" s="1"/>
  <c r="AD52" i="3"/>
  <c r="BO52" i="3" s="1"/>
  <c r="X52" i="3"/>
  <c r="BI52" i="3" s="1"/>
  <c r="AC52" i="3"/>
  <c r="BN52" i="3" s="1"/>
  <c r="AE60" i="3"/>
  <c r="BP60" i="3" s="1"/>
  <c r="AA60" i="3"/>
  <c r="BL60" i="3" s="1"/>
  <c r="AC60" i="3"/>
  <c r="BN60" i="3" s="1"/>
  <c r="AB60" i="3"/>
  <c r="BM60" i="3" s="1"/>
  <c r="X60" i="3"/>
  <c r="BI60" i="3" s="1"/>
  <c r="AC10" i="3"/>
  <c r="BN10" i="3" s="1"/>
  <c r="AD10" i="3"/>
  <c r="BO10" i="3" s="1"/>
  <c r="AA10" i="3"/>
  <c r="BL10" i="3" s="1"/>
  <c r="X10" i="3"/>
  <c r="BI10" i="3" s="1"/>
  <c r="AE10" i="3"/>
  <c r="BP10" i="3" s="1"/>
  <c r="AE35" i="3"/>
  <c r="BP35" i="3" s="1"/>
  <c r="AC35" i="3"/>
  <c r="BN35" i="3" s="1"/>
  <c r="AA35" i="3"/>
  <c r="BL35" i="3" s="1"/>
  <c r="X35" i="3"/>
  <c r="BI35" i="3" s="1"/>
  <c r="AD35" i="3"/>
  <c r="BO35" i="3" s="1"/>
  <c r="Y63" i="3"/>
  <c r="BJ63" i="3" s="1"/>
  <c r="AA63" i="3"/>
  <c r="BL63" i="3" s="1"/>
  <c r="X63" i="3"/>
  <c r="BI63" i="3" s="1"/>
  <c r="AB63" i="3"/>
  <c r="BM63" i="3" s="1"/>
  <c r="AD63" i="3"/>
  <c r="BO63" i="3" s="1"/>
  <c r="AC63" i="3"/>
  <c r="BN63" i="3" s="1"/>
  <c r="AA40" i="3"/>
  <c r="BL40" i="3" s="1"/>
  <c r="AC40" i="3"/>
  <c r="BN40" i="3" s="1"/>
  <c r="AD40" i="3"/>
  <c r="BO40" i="3" s="1"/>
  <c r="AA18" i="3"/>
  <c r="BL18" i="3" s="1"/>
  <c r="AE18" i="3"/>
  <c r="BP18" i="3" s="1"/>
  <c r="AD18" i="3"/>
  <c r="BO18" i="3" s="1"/>
  <c r="X18" i="3"/>
  <c r="BI18" i="3" s="1"/>
  <c r="AC18" i="3"/>
  <c r="BN18" i="3" s="1"/>
  <c r="Y64" i="3"/>
  <c r="AE64" i="3"/>
  <c r="BP64" i="3" s="1"/>
  <c r="AA64" i="3"/>
  <c r="BL64" i="3" s="1"/>
  <c r="X64" i="3"/>
  <c r="BI64" i="3" s="1"/>
  <c r="AC64" i="3"/>
  <c r="BN64" i="3" s="1"/>
  <c r="AB64" i="3"/>
  <c r="AD64" i="3"/>
  <c r="BO64" i="3" s="1"/>
  <c r="X7" i="3"/>
  <c r="BI7" i="3" s="1"/>
  <c r="AE7" i="3"/>
  <c r="BP7" i="3" s="1"/>
  <c r="Y7" i="3"/>
  <c r="BJ7" i="3" s="1"/>
  <c r="AD7" i="3"/>
  <c r="BO7" i="3" s="1"/>
  <c r="Z7" i="3"/>
  <c r="BK7" i="3" s="1"/>
  <c r="AC7" i="3"/>
  <c r="BN7" i="3" s="1"/>
  <c r="AA39" i="3"/>
  <c r="BL39" i="3" s="1"/>
  <c r="AD39" i="3"/>
  <c r="BO39" i="3" s="1"/>
  <c r="AC39" i="3"/>
  <c r="BN39" i="3" s="1"/>
  <c r="AA14" i="3"/>
  <c r="BL14" i="3" s="1"/>
  <c r="Z14" i="3"/>
  <c r="BK14" i="3" s="1"/>
  <c r="X14" i="3"/>
  <c r="BI14" i="3" s="1"/>
  <c r="AC14" i="3"/>
  <c r="BN14" i="3" s="1"/>
  <c r="AD14" i="3"/>
  <c r="BO14" i="3" s="1"/>
  <c r="AE14" i="3"/>
  <c r="BP14" i="3" s="1"/>
  <c r="AC37" i="3"/>
  <c r="BN37" i="3" s="1"/>
  <c r="AA29" i="3"/>
  <c r="BL29" i="3" s="1"/>
  <c r="AE29" i="3"/>
  <c r="BP29" i="3" s="1"/>
  <c r="X29" i="3"/>
  <c r="BI29" i="3" s="1"/>
  <c r="AD29" i="3"/>
  <c r="BO29" i="3" s="1"/>
  <c r="AC29" i="3"/>
  <c r="BN29" i="3" s="1"/>
  <c r="AA55" i="3"/>
  <c r="BL55" i="3" s="1"/>
  <c r="X55" i="3"/>
  <c r="BI55" i="3" s="1"/>
  <c r="AC55" i="3"/>
  <c r="BN55" i="3" s="1"/>
  <c r="AB55" i="3"/>
  <c r="BM55" i="3" s="1"/>
  <c r="AD55" i="3"/>
  <c r="BO55" i="3" s="1"/>
  <c r="AA62" i="3"/>
  <c r="BL62" i="3" s="1"/>
  <c r="AB62" i="3"/>
  <c r="BM62" i="3" s="1"/>
  <c r="AC62" i="3"/>
  <c r="BN62" i="3" s="1"/>
  <c r="X62" i="3"/>
  <c r="BI62" i="3" s="1"/>
  <c r="AD62" i="3"/>
  <c r="BO62" i="3" s="1"/>
  <c r="Z17" i="3"/>
  <c r="BK17" i="3" s="1"/>
  <c r="AA17" i="3"/>
  <c r="BL17" i="3" s="1"/>
  <c r="AC17" i="3"/>
  <c r="BN17" i="3" s="1"/>
  <c r="X17" i="3"/>
  <c r="BI17" i="3" s="1"/>
  <c r="AD17" i="3"/>
  <c r="BO17" i="3" s="1"/>
  <c r="AE17" i="3"/>
  <c r="BP17" i="3" s="1"/>
  <c r="Y8" i="3"/>
  <c r="Z8" i="3"/>
  <c r="BK8" i="3" s="1"/>
  <c r="AE8" i="3"/>
  <c r="BP8" i="3" s="1"/>
  <c r="AC8" i="3"/>
  <c r="BN8" i="3" s="1"/>
  <c r="AD8" i="3"/>
  <c r="BO8" i="3" s="1"/>
  <c r="X8" i="3"/>
  <c r="BI8" i="3" s="1"/>
  <c r="AA8" i="3"/>
  <c r="BL8" i="3" s="1"/>
  <c r="AA47" i="3"/>
  <c r="BL47" i="3" s="1"/>
  <c r="X47" i="3"/>
  <c r="BI47" i="3" s="1"/>
  <c r="AD47" i="3"/>
  <c r="BO47" i="3" s="1"/>
  <c r="AC47" i="3"/>
  <c r="BN47" i="3" s="1"/>
  <c r="AB57" i="3"/>
  <c r="AA57" i="3"/>
  <c r="BL57" i="3" s="1"/>
  <c r="AC57" i="3"/>
  <c r="BN57" i="3" s="1"/>
  <c r="X57" i="3"/>
  <c r="BI57" i="3" s="1"/>
  <c r="AE57" i="3"/>
  <c r="BP57" i="3" s="1"/>
  <c r="AD57" i="3"/>
  <c r="BO57" i="3" s="1"/>
  <c r="AA38" i="3"/>
  <c r="BL38" i="3" s="1"/>
  <c r="AE38" i="3"/>
  <c r="BP38" i="3" s="1"/>
  <c r="AD38" i="3"/>
  <c r="BO38" i="3" s="1"/>
  <c r="AC38" i="3"/>
  <c r="BN38" i="3" s="1"/>
  <c r="X38" i="3"/>
  <c r="BI38" i="3" s="1"/>
  <c r="AA23" i="3"/>
  <c r="BL23" i="3" s="1"/>
  <c r="AE23" i="3"/>
  <c r="BP23" i="3" s="1"/>
  <c r="X23" i="3"/>
  <c r="BI23" i="3" s="1"/>
  <c r="AD23" i="3"/>
  <c r="BO23" i="3" s="1"/>
  <c r="AC23" i="3"/>
  <c r="BN23" i="3" s="1"/>
  <c r="AA24" i="3"/>
  <c r="BL24" i="3" s="1"/>
  <c r="AE24" i="3"/>
  <c r="BP24" i="3" s="1"/>
  <c r="AD24" i="3"/>
  <c r="BO24" i="3" s="1"/>
  <c r="X24" i="3"/>
  <c r="BI24" i="3" s="1"/>
  <c r="AC24" i="3"/>
  <c r="BN24" i="3" s="1"/>
  <c r="AE56" i="3"/>
  <c r="BP56" i="3" s="1"/>
  <c r="AA56" i="3"/>
  <c r="BL56" i="3" s="1"/>
  <c r="AB56" i="3"/>
  <c r="X56" i="3"/>
  <c r="BI56" i="3" s="1"/>
  <c r="AC56" i="3"/>
  <c r="BN56" i="3" s="1"/>
  <c r="AA41" i="3"/>
  <c r="BL41" i="3" s="1"/>
  <c r="AC41" i="3"/>
  <c r="BN41" i="3" s="1"/>
  <c r="AE41" i="3"/>
  <c r="BP41" i="3" s="1"/>
  <c r="X41" i="3"/>
  <c r="BI41" i="3" s="1"/>
  <c r="AD41" i="3"/>
  <c r="BO41" i="3" s="1"/>
  <c r="AA21" i="3"/>
  <c r="BL21" i="3" s="1"/>
  <c r="AD21" i="3"/>
  <c r="BO21" i="3" s="1"/>
  <c r="AC21" i="3"/>
  <c r="BN21" i="3" s="1"/>
  <c r="AE21" i="3"/>
  <c r="BP21" i="3" s="1"/>
  <c r="AE54" i="3"/>
  <c r="BP54" i="3" s="1"/>
  <c r="AA54" i="3"/>
  <c r="BL54" i="3" s="1"/>
  <c r="AD54" i="3"/>
  <c r="BO54" i="3" s="1"/>
  <c r="AB54" i="3"/>
  <c r="BM54" i="3" s="1"/>
  <c r="AC54" i="3"/>
  <c r="BN54" i="3" s="1"/>
  <c r="X54" i="3"/>
  <c r="BI54" i="3" s="1"/>
  <c r="AA19" i="3"/>
  <c r="BL19" i="3" s="1"/>
  <c r="AB19" i="3"/>
  <c r="AD19" i="3"/>
  <c r="BO19" i="3" s="1"/>
  <c r="AE19" i="3"/>
  <c r="BP19" i="3" s="1"/>
  <c r="AC19" i="3"/>
  <c r="BN19" i="3" s="1"/>
  <c r="X19" i="3"/>
  <c r="BI19" i="3" s="1"/>
  <c r="X44" i="3"/>
  <c r="BI44" i="3" s="1"/>
  <c r="AA44" i="3"/>
  <c r="BL44" i="3" s="1"/>
  <c r="AC44" i="3"/>
  <c r="BN44" i="3" s="1"/>
  <c r="AA15" i="3"/>
  <c r="BL15" i="3" s="1"/>
  <c r="Z15" i="3"/>
  <c r="BK15" i="3" s="1"/>
  <c r="AC15" i="3"/>
  <c r="BN15" i="3" s="1"/>
  <c r="X15" i="3"/>
  <c r="BI15" i="3" s="1"/>
  <c r="AD15" i="3"/>
  <c r="BO15" i="3" s="1"/>
  <c r="AE15" i="3"/>
  <c r="BP15" i="3" s="1"/>
  <c r="AA46" i="3"/>
  <c r="BL46" i="3" s="1"/>
  <c r="AC46" i="3"/>
  <c r="BN46" i="3" s="1"/>
  <c r="AE46" i="3"/>
  <c r="BP46" i="3" s="1"/>
  <c r="X46" i="3"/>
  <c r="BI46" i="3" s="1"/>
  <c r="AD46" i="3"/>
  <c r="BO46" i="3" s="1"/>
  <c r="AA27" i="3"/>
  <c r="BL27" i="3" s="1"/>
  <c r="AD27" i="3"/>
  <c r="BO27" i="3" s="1"/>
  <c r="AE27" i="3"/>
  <c r="BP27" i="3" s="1"/>
  <c r="X27" i="3"/>
  <c r="BI27" i="3" s="1"/>
  <c r="AC27" i="3"/>
  <c r="BN27" i="3" s="1"/>
  <c r="AA59" i="3"/>
  <c r="BL59" i="3" s="1"/>
  <c r="X59" i="3"/>
  <c r="BI59" i="3" s="1"/>
  <c r="AE59" i="3"/>
  <c r="BP59" i="3" s="1"/>
  <c r="AB59" i="3"/>
  <c r="AC59" i="3"/>
  <c r="BN59" i="3" s="1"/>
  <c r="AD59" i="3"/>
  <c r="BO59" i="3" s="1"/>
  <c r="AE43" i="3"/>
  <c r="BP43" i="3" s="1"/>
  <c r="AA43" i="3"/>
  <c r="BL43" i="3" s="1"/>
  <c r="AC43" i="3"/>
  <c r="BN43" i="3" s="1"/>
  <c r="X43" i="3"/>
  <c r="BI43" i="3" s="1"/>
  <c r="AE36" i="3"/>
  <c r="BP36" i="3" s="1"/>
  <c r="AA36" i="3"/>
  <c r="BL36" i="3" s="1"/>
  <c r="AC36" i="3"/>
  <c r="BN36" i="3" s="1"/>
  <c r="AD36" i="3"/>
  <c r="BO36" i="3" s="1"/>
  <c r="AE34" i="3"/>
  <c r="BP34" i="3" s="1"/>
  <c r="X34" i="3"/>
  <c r="BI34" i="3" s="1"/>
  <c r="AA34" i="3"/>
  <c r="BL34" i="3" s="1"/>
  <c r="AD34" i="3"/>
  <c r="BO34" i="3" s="1"/>
  <c r="AC34" i="3"/>
  <c r="BN34" i="3" s="1"/>
  <c r="AA32" i="3"/>
  <c r="BL32" i="3" s="1"/>
  <c r="AC32" i="3"/>
  <c r="BN32" i="3" s="1"/>
  <c r="X32" i="3"/>
  <c r="BI32" i="3" s="1"/>
  <c r="AE32" i="3"/>
  <c r="BP32" i="3" s="1"/>
  <c r="AD32" i="3"/>
  <c r="BO32" i="3" s="1"/>
  <c r="X22" i="3"/>
  <c r="BI22" i="3" s="1"/>
  <c r="AC22" i="3"/>
  <c r="BN22" i="3" s="1"/>
  <c r="AA22" i="3"/>
  <c r="BL22" i="3" s="1"/>
  <c r="AA16" i="3"/>
  <c r="BL16" i="3" s="1"/>
  <c r="AD16" i="3"/>
  <c r="BO16" i="3" s="1"/>
  <c r="AE16" i="3"/>
  <c r="BP16" i="3" s="1"/>
  <c r="AC16" i="3"/>
  <c r="BN16" i="3" s="1"/>
  <c r="X16" i="3"/>
  <c r="BI16" i="3" s="1"/>
  <c r="X48" i="3"/>
  <c r="BI48" i="3" s="1"/>
  <c r="AE48" i="3"/>
  <c r="BP48" i="3" s="1"/>
  <c r="AC48" i="3"/>
  <c r="BN48" i="3" s="1"/>
  <c r="AD48" i="3"/>
  <c r="BO48" i="3" s="1"/>
  <c r="AE31" i="3"/>
  <c r="BP31" i="3" s="1"/>
  <c r="AA31" i="3"/>
  <c r="BL31" i="3" s="1"/>
  <c r="AC31" i="3"/>
  <c r="BN31" i="3" s="1"/>
  <c r="AD31" i="3"/>
  <c r="BO31" i="3" s="1"/>
  <c r="X31" i="3"/>
  <c r="BI31" i="3" s="1"/>
  <c r="AA45" i="3"/>
  <c r="BL45" i="3" s="1"/>
  <c r="AE45" i="3"/>
  <c r="BP45" i="3" s="1"/>
  <c r="AD45" i="3"/>
  <c r="BO45" i="3" s="1"/>
  <c r="AC45" i="3"/>
  <c r="BN45" i="3" s="1"/>
  <c r="AC53" i="3"/>
  <c r="BN53" i="3" s="1"/>
  <c r="AA53" i="3"/>
  <c r="BL53" i="3" s="1"/>
  <c r="AB53" i="3"/>
  <c r="AD53" i="3"/>
  <c r="BO53" i="3" s="1"/>
  <c r="X53" i="3"/>
  <c r="BI53" i="3" s="1"/>
  <c r="AE53" i="3"/>
  <c r="BP53" i="3" s="1"/>
  <c r="AC26" i="3"/>
  <c r="BN26" i="3" s="1"/>
  <c r="AA26" i="3"/>
  <c r="BL26" i="3" s="1"/>
  <c r="X26" i="3"/>
  <c r="BI26" i="3" s="1"/>
  <c r="AE26" i="3"/>
  <c r="BP26" i="3" s="1"/>
  <c r="AA58" i="3"/>
  <c r="BL58" i="3" s="1"/>
  <c r="AB58" i="3"/>
  <c r="X58" i="3"/>
  <c r="BI58" i="3" s="1"/>
  <c r="AD58" i="3"/>
  <c r="BO58" i="3" s="1"/>
  <c r="AC58" i="3"/>
  <c r="BN58" i="3" s="1"/>
  <c r="W65" i="3"/>
  <c r="AH61" i="37"/>
  <c r="AO61" i="37"/>
  <c r="N61" i="4" l="1"/>
  <c r="P4" i="4"/>
  <c r="N60" i="4"/>
  <c r="R42" i="4"/>
  <c r="AA42" i="4" s="1"/>
  <c r="H45" i="2"/>
  <c r="R45" i="4"/>
  <c r="O13" i="4"/>
  <c r="X13" i="4" s="1"/>
  <c r="G29" i="2"/>
  <c r="Q29" i="4"/>
  <c r="Z29" i="4" s="1"/>
  <c r="Q33" i="4"/>
  <c r="Z33" i="4" s="1"/>
  <c r="R56" i="4"/>
  <c r="AA56" i="4" s="1"/>
  <c r="S24" i="4"/>
  <c r="AB24" i="4" s="1"/>
  <c r="I12" i="2"/>
  <c r="S12" i="4"/>
  <c r="AB12" i="4" s="1"/>
  <c r="S41" i="4"/>
  <c r="E16" i="2"/>
  <c r="O16" i="4"/>
  <c r="Q18" i="4"/>
  <c r="Z18" i="4" s="1"/>
  <c r="G53" i="2"/>
  <c r="Q53" i="4"/>
  <c r="Z53" i="4" s="1"/>
  <c r="R21" i="4"/>
  <c r="AA21" i="4" s="1"/>
  <c r="B35" i="2"/>
  <c r="L35" i="4"/>
  <c r="U35" i="4" s="1"/>
  <c r="G54" i="2"/>
  <c r="Q54" i="4"/>
  <c r="O5" i="4"/>
  <c r="X5" i="4" s="1"/>
  <c r="E5" i="2"/>
  <c r="R14" i="4"/>
  <c r="P59" i="4"/>
  <c r="O52" i="4"/>
  <c r="X52" i="4" s="1"/>
  <c r="I11" i="2"/>
  <c r="S11" i="4"/>
  <c r="AB11" i="4" s="1"/>
  <c r="O36" i="4"/>
  <c r="X36" i="4" s="1"/>
  <c r="E36" i="2"/>
  <c r="H61" i="2"/>
  <c r="R61" i="4"/>
  <c r="AA61" i="4" s="1"/>
  <c r="L15" i="4"/>
  <c r="U15" i="4" s="1"/>
  <c r="G60" i="2"/>
  <c r="Q60" i="4"/>
  <c r="Z60" i="4" s="1"/>
  <c r="L32" i="4"/>
  <c r="U32" i="4" s="1"/>
  <c r="Q7" i="4"/>
  <c r="Z7" i="4" s="1"/>
  <c r="G49" i="2"/>
  <c r="Q49" i="4"/>
  <c r="B48" i="2"/>
  <c r="L48" i="4"/>
  <c r="U48" i="4" s="1"/>
  <c r="O9" i="4"/>
  <c r="X9" i="4" s="1"/>
  <c r="R22" i="4"/>
  <c r="AA22" i="4" s="1"/>
  <c r="G46" i="2"/>
  <c r="Q46" i="4"/>
  <c r="Z46" i="4" s="1"/>
  <c r="O58" i="4"/>
  <c r="X58" i="4" s="1"/>
  <c r="E58" i="2"/>
  <c r="R17" i="4"/>
  <c r="AA17" i="4" s="1"/>
  <c r="S25" i="4"/>
  <c r="E30" i="2"/>
  <c r="O30" i="4"/>
  <c r="X30" i="4" s="1"/>
  <c r="E8" i="2"/>
  <c r="O8" i="4"/>
  <c r="X8" i="4" s="1"/>
  <c r="R19" i="4"/>
  <c r="AA19" i="4" s="1"/>
  <c r="P7" i="4"/>
  <c r="D33" i="2"/>
  <c r="N33" i="4"/>
  <c r="W33" i="4" s="1"/>
  <c r="N52" i="4"/>
  <c r="W52" i="4" s="1"/>
  <c r="D52" i="2"/>
  <c r="N47" i="4"/>
  <c r="W47" i="4" s="1"/>
  <c r="D27" i="2"/>
  <c r="N27" i="4"/>
  <c r="W27" i="4" s="1"/>
  <c r="N34" i="4"/>
  <c r="W34" i="4" s="1"/>
  <c r="P11" i="4"/>
  <c r="L36" i="4"/>
  <c r="B36" i="2"/>
  <c r="P23" i="4"/>
  <c r="M28" i="4"/>
  <c r="M45" i="4"/>
  <c r="C45" i="2"/>
  <c r="P13" i="4"/>
  <c r="N21" i="4"/>
  <c r="W21" i="4" s="1"/>
  <c r="L18" i="4"/>
  <c r="U18" i="4" s="1"/>
  <c r="P25" i="4"/>
  <c r="M41" i="4"/>
  <c r="D24" i="2"/>
  <c r="N24" i="4"/>
  <c r="W24" i="4" s="1"/>
  <c r="B30" i="2"/>
  <c r="L30" i="4"/>
  <c r="I42" i="2"/>
  <c r="S42" i="4"/>
  <c r="AB42" i="4" s="1"/>
  <c r="Q45" i="4"/>
  <c r="Z45" i="4" s="1"/>
  <c r="O19" i="4"/>
  <c r="X19" i="4" s="1"/>
  <c r="E29" i="2"/>
  <c r="O29" i="4"/>
  <c r="O33" i="4"/>
  <c r="X33" i="4" s="1"/>
  <c r="E33" i="2"/>
  <c r="Q56" i="4"/>
  <c r="Z56" i="4" s="1"/>
  <c r="R24" i="4"/>
  <c r="AA24" i="4" s="1"/>
  <c r="H12" i="2"/>
  <c r="R12" i="4"/>
  <c r="AA12" i="4" s="1"/>
  <c r="O41" i="4"/>
  <c r="X41" i="4" s="1"/>
  <c r="E41" i="2"/>
  <c r="L51" i="4"/>
  <c r="H18" i="2"/>
  <c r="R18" i="4"/>
  <c r="AA18" i="4" s="1"/>
  <c r="R53" i="4"/>
  <c r="S21" i="4"/>
  <c r="AB21" i="4" s="1"/>
  <c r="I21" i="2"/>
  <c r="Q35" i="4"/>
  <c r="Z35" i="4" s="1"/>
  <c r="E54" i="2"/>
  <c r="O54" i="4"/>
  <c r="X54" i="4" s="1"/>
  <c r="B5" i="2"/>
  <c r="L5" i="4"/>
  <c r="U5" i="4" s="1"/>
  <c r="L14" i="4"/>
  <c r="U14" i="4" s="1"/>
  <c r="B14" i="2"/>
  <c r="O59" i="4"/>
  <c r="E59" i="2"/>
  <c r="G26" i="2"/>
  <c r="Q26" i="4"/>
  <c r="Z26" i="4" s="1"/>
  <c r="R11" i="4"/>
  <c r="G4" i="2"/>
  <c r="Q4" i="4"/>
  <c r="Z4" i="4" s="1"/>
  <c r="P61" i="4"/>
  <c r="H15" i="2"/>
  <c r="R15" i="4"/>
  <c r="AA15" i="4" s="1"/>
  <c r="R60" i="4"/>
  <c r="AA60" i="4" s="1"/>
  <c r="E32" i="2"/>
  <c r="O32" i="4"/>
  <c r="X32" i="4" s="1"/>
  <c r="N7" i="4"/>
  <c r="W7" i="4" s="1"/>
  <c r="B49" i="2"/>
  <c r="L49" i="4"/>
  <c r="E48" i="2"/>
  <c r="O48" i="4"/>
  <c r="P9" i="4"/>
  <c r="S22" i="4"/>
  <c r="AB22" i="4" s="1"/>
  <c r="L46" i="4"/>
  <c r="U46" i="4" s="1"/>
  <c r="G58" i="2"/>
  <c r="Q58" i="4"/>
  <c r="Z58" i="4" s="1"/>
  <c r="S17" i="4"/>
  <c r="AB17" i="4" s="1"/>
  <c r="O25" i="4"/>
  <c r="X25" i="4" s="1"/>
  <c r="E25" i="2"/>
  <c r="G30" i="2"/>
  <c r="Q30" i="4"/>
  <c r="Z30" i="4" s="1"/>
  <c r="M29" i="4"/>
  <c r="M7" i="4"/>
  <c r="M33" i="4"/>
  <c r="M52" i="4"/>
  <c r="F47" i="2"/>
  <c r="P47" i="4"/>
  <c r="M27" i="4"/>
  <c r="M34" i="4"/>
  <c r="M11" i="4"/>
  <c r="P36" i="4"/>
  <c r="D23" i="2"/>
  <c r="N23" i="4"/>
  <c r="W23" i="4" s="1"/>
  <c r="P28" i="4"/>
  <c r="F45" i="2"/>
  <c r="P45" i="4"/>
  <c r="M32" i="4"/>
  <c r="M21" i="4"/>
  <c r="M18" i="4"/>
  <c r="D25" i="2"/>
  <c r="N25" i="4"/>
  <c r="F41" i="2"/>
  <c r="P41" i="4"/>
  <c r="M24" i="4"/>
  <c r="N30" i="4"/>
  <c r="W30" i="4" s="1"/>
  <c r="B55" i="2"/>
  <c r="L55" i="4"/>
  <c r="U55" i="4" s="1"/>
  <c r="S55" i="4"/>
  <c r="AB55" i="4" s="1"/>
  <c r="H50" i="2"/>
  <c r="R50" i="4"/>
  <c r="AA50" i="4" s="1"/>
  <c r="O42" i="4"/>
  <c r="X42" i="4" s="1"/>
  <c r="S45" i="4"/>
  <c r="G19" i="2"/>
  <c r="Q19" i="4"/>
  <c r="Q31" i="4"/>
  <c r="Z31" i="4" s="1"/>
  <c r="G31" i="2"/>
  <c r="S33" i="4"/>
  <c r="P56" i="4"/>
  <c r="O24" i="4"/>
  <c r="X24" i="4" s="1"/>
  <c r="L12" i="4"/>
  <c r="U12" i="4" s="1"/>
  <c r="B12" i="2"/>
  <c r="L41" i="4"/>
  <c r="G51" i="2"/>
  <c r="Q51" i="4"/>
  <c r="E18" i="2"/>
  <c r="O18" i="4"/>
  <c r="X18" i="4" s="1"/>
  <c r="L53" i="4"/>
  <c r="U53" i="4" s="1"/>
  <c r="B53" i="2"/>
  <c r="O21" i="4"/>
  <c r="X21" i="4" s="1"/>
  <c r="H35" i="2"/>
  <c r="R35" i="4"/>
  <c r="AA35" i="4" s="1"/>
  <c r="P54" i="4"/>
  <c r="R5" i="4"/>
  <c r="AA5" i="4" s="1"/>
  <c r="Q14" i="4"/>
  <c r="Z14" i="4" s="1"/>
  <c r="I59" i="2"/>
  <c r="S59" i="4"/>
  <c r="AB59" i="4" s="1"/>
  <c r="H26" i="2"/>
  <c r="R26" i="4"/>
  <c r="Q11" i="4"/>
  <c r="Z11" i="4" s="1"/>
  <c r="G11" i="2"/>
  <c r="N4" i="4"/>
  <c r="G61" i="2"/>
  <c r="Q61" i="4"/>
  <c r="Z61" i="4" s="1"/>
  <c r="I15" i="2"/>
  <c r="S15" i="4"/>
  <c r="AB15" i="4" s="1"/>
  <c r="F60" i="2"/>
  <c r="P60" i="4"/>
  <c r="Q32" i="4"/>
  <c r="Z32" i="4" s="1"/>
  <c r="L57" i="4"/>
  <c r="H49" i="2"/>
  <c r="R49" i="4"/>
  <c r="H27" i="2"/>
  <c r="R27" i="4"/>
  <c r="AA27" i="4" s="1"/>
  <c r="Q9" i="4"/>
  <c r="I10" i="2"/>
  <c r="S10" i="4"/>
  <c r="AB10" i="4" s="1"/>
  <c r="S46" i="4"/>
  <c r="M58" i="4"/>
  <c r="L17" i="4"/>
  <c r="U17" i="4" s="1"/>
  <c r="L47" i="4"/>
  <c r="U47" i="4" s="1"/>
  <c r="I30" i="2"/>
  <c r="S30" i="4"/>
  <c r="P29" i="4"/>
  <c r="N31" i="4"/>
  <c r="P33" i="4"/>
  <c r="M56" i="4"/>
  <c r="D48" i="2"/>
  <c r="N48" i="4"/>
  <c r="W48" i="4" s="1"/>
  <c r="P27" i="4"/>
  <c r="F34" i="2"/>
  <c r="P34" i="4"/>
  <c r="N59" i="4"/>
  <c r="W59" i="4" s="1"/>
  <c r="D36" i="2"/>
  <c r="N36" i="4"/>
  <c r="W36" i="4" s="1"/>
  <c r="R23" i="4"/>
  <c r="AA23" i="4" s="1"/>
  <c r="N28" i="4"/>
  <c r="W28" i="4" s="1"/>
  <c r="L37" i="4"/>
  <c r="P32" i="4"/>
  <c r="P21" i="4"/>
  <c r="N18" i="4"/>
  <c r="W18" i="4" s="1"/>
  <c r="M54" i="4"/>
  <c r="F46" i="2"/>
  <c r="P46" i="4"/>
  <c r="P24" i="4"/>
  <c r="M30" i="4"/>
  <c r="I50" i="2"/>
  <c r="S50" i="4"/>
  <c r="AB50" i="4" s="1"/>
  <c r="L28" i="4"/>
  <c r="U28" i="4" s="1"/>
  <c r="B28" i="2"/>
  <c r="L45" i="4"/>
  <c r="U45" i="4" s="1"/>
  <c r="I19" i="2"/>
  <c r="S19" i="4"/>
  <c r="AB19" i="4" s="1"/>
  <c r="H31" i="2"/>
  <c r="R31" i="4"/>
  <c r="L40" i="4"/>
  <c r="U40" i="4" s="1"/>
  <c r="S56" i="4"/>
  <c r="H43" i="2"/>
  <c r="R43" i="4"/>
  <c r="AA43" i="4" s="1"/>
  <c r="G12" i="2"/>
  <c r="Q12" i="4"/>
  <c r="Z12" i="4" s="1"/>
  <c r="B16" i="2"/>
  <c r="L16" i="4"/>
  <c r="U16" i="4" s="1"/>
  <c r="P51" i="4"/>
  <c r="R38" i="4"/>
  <c r="AA38" i="4" s="1"/>
  <c r="P53" i="4"/>
  <c r="G20" i="2"/>
  <c r="Q20" i="4"/>
  <c r="Z20" i="4" s="1"/>
  <c r="S35" i="4"/>
  <c r="AB35" i="4" s="1"/>
  <c r="G44" i="2"/>
  <c r="Q44" i="4"/>
  <c r="Q5" i="4"/>
  <c r="E14" i="2"/>
  <c r="O14" i="4"/>
  <c r="X14" i="4" s="1"/>
  <c r="R52" i="4"/>
  <c r="AA52" i="4" s="1"/>
  <c r="B26" i="2"/>
  <c r="L26" i="4"/>
  <c r="U26" i="4" s="1"/>
  <c r="B11" i="2"/>
  <c r="L11" i="4"/>
  <c r="H4" i="2"/>
  <c r="R4" i="4"/>
  <c r="AA4" i="4" s="1"/>
  <c r="L61" i="4"/>
  <c r="E15" i="2"/>
  <c r="O15" i="4"/>
  <c r="X15" i="4" s="1"/>
  <c r="L60" i="4"/>
  <c r="U60" i="4" s="1"/>
  <c r="S32" i="4"/>
  <c r="AB32" i="4" s="1"/>
  <c r="I32" i="2"/>
  <c r="P57" i="4"/>
  <c r="O49" i="4"/>
  <c r="X49" i="4" s="1"/>
  <c r="G27" i="2"/>
  <c r="Q27" i="4"/>
  <c r="Z27" i="4" s="1"/>
  <c r="B9" i="2"/>
  <c r="L9" i="4"/>
  <c r="U9" i="4" s="1"/>
  <c r="R10" i="4"/>
  <c r="AA10" i="4" s="1"/>
  <c r="E46" i="2"/>
  <c r="O46" i="4"/>
  <c r="X46" i="4" s="1"/>
  <c r="Q6" i="4"/>
  <c r="Z6" i="4" s="1"/>
  <c r="P17" i="4"/>
  <c r="R47" i="4"/>
  <c r="AA47" i="4" s="1"/>
  <c r="D8" i="2"/>
  <c r="N8" i="4"/>
  <c r="W8" i="4" s="1"/>
  <c r="N29" i="4"/>
  <c r="W29" i="4" s="1"/>
  <c r="M31" i="4"/>
  <c r="M10" i="4"/>
  <c r="N56" i="4"/>
  <c r="P48" i="4"/>
  <c r="M53" i="4"/>
  <c r="M8" i="4"/>
  <c r="M59" i="4"/>
  <c r="M36" i="4"/>
  <c r="M50" i="4"/>
  <c r="M15" i="4"/>
  <c r="C37" i="2"/>
  <c r="M37" i="4"/>
  <c r="D32" i="2"/>
  <c r="N32" i="4"/>
  <c r="W32" i="4" s="1"/>
  <c r="D17" i="2"/>
  <c r="N17" i="4"/>
  <c r="W17" i="4" s="1"/>
  <c r="P18" i="4"/>
  <c r="D54" i="2"/>
  <c r="N54" i="4"/>
  <c r="W54" i="4" s="1"/>
  <c r="M46" i="4"/>
  <c r="D16" i="2"/>
  <c r="N16" i="4"/>
  <c r="W16" i="4" s="1"/>
  <c r="P30" i="4"/>
  <c r="P55" i="4"/>
  <c r="E55" i="2"/>
  <c r="O55" i="4"/>
  <c r="X55" i="4" s="1"/>
  <c r="I23" i="2"/>
  <c r="S23" i="4"/>
  <c r="AB23" i="4" s="1"/>
  <c r="O50" i="4"/>
  <c r="X50" i="4" s="1"/>
  <c r="R28" i="4"/>
  <c r="AA28" i="4" s="1"/>
  <c r="L13" i="4"/>
  <c r="L19" i="4"/>
  <c r="U19" i="4" s="1"/>
  <c r="O31" i="4"/>
  <c r="G40" i="2"/>
  <c r="Q40" i="4"/>
  <c r="Z40" i="4" s="1"/>
  <c r="B56" i="2"/>
  <c r="L56" i="4"/>
  <c r="U56" i="4" s="1"/>
  <c r="L43" i="4"/>
  <c r="U43" i="4" s="1"/>
  <c r="N12" i="4"/>
  <c r="W12" i="4" s="1"/>
  <c r="G16" i="2"/>
  <c r="Q16" i="4"/>
  <c r="H51" i="2"/>
  <c r="R51" i="4"/>
  <c r="AA51" i="4" s="1"/>
  <c r="B38" i="2"/>
  <c r="L38" i="4"/>
  <c r="U38" i="4" s="1"/>
  <c r="O53" i="4"/>
  <c r="X53" i="4" s="1"/>
  <c r="H20" i="2"/>
  <c r="R20" i="4"/>
  <c r="AA20" i="4" s="1"/>
  <c r="O35" i="4"/>
  <c r="I44" i="2"/>
  <c r="S44" i="4"/>
  <c r="AB44" i="4" s="1"/>
  <c r="S5" i="4"/>
  <c r="N14" i="4"/>
  <c r="W14" i="4" s="1"/>
  <c r="F52" i="2"/>
  <c r="P52" i="4"/>
  <c r="I26" i="2"/>
  <c r="S26" i="4"/>
  <c r="AB26" i="4" s="1"/>
  <c r="N11" i="4"/>
  <c r="W11" i="4" s="1"/>
  <c r="M4" i="4"/>
  <c r="E61" i="2"/>
  <c r="O61" i="4"/>
  <c r="X61" i="4" s="1"/>
  <c r="H37" i="2"/>
  <c r="R37" i="4"/>
  <c r="AA37" i="4" s="1"/>
  <c r="S60" i="4"/>
  <c r="AB60" i="4" s="1"/>
  <c r="S7" i="4"/>
  <c r="AB7" i="4" s="1"/>
  <c r="Q57" i="4"/>
  <c r="Z57" i="4" s="1"/>
  <c r="I49" i="2"/>
  <c r="S49" i="4"/>
  <c r="AB49" i="4" s="1"/>
  <c r="S27" i="4"/>
  <c r="AB27" i="4" s="1"/>
  <c r="R9" i="4"/>
  <c r="AA9" i="4" s="1"/>
  <c r="E10" i="2"/>
  <c r="O10" i="4"/>
  <c r="X10" i="4" s="1"/>
  <c r="I58" i="2"/>
  <c r="S58" i="4"/>
  <c r="AB58" i="4" s="1"/>
  <c r="S6" i="4"/>
  <c r="AB6" i="4" s="1"/>
  <c r="O17" i="4"/>
  <c r="X17" i="4" s="1"/>
  <c r="Q47" i="4"/>
  <c r="Z47" i="4" s="1"/>
  <c r="S8" i="4"/>
  <c r="AB8" i="4" s="1"/>
  <c r="I8" i="2"/>
  <c r="L22" i="4"/>
  <c r="U22" i="4" s="1"/>
  <c r="P31" i="4"/>
  <c r="P10" i="4"/>
  <c r="P49" i="4"/>
  <c r="M48" i="4"/>
  <c r="D53" i="2"/>
  <c r="N53" i="4"/>
  <c r="W53" i="4" s="1"/>
  <c r="P8" i="4"/>
  <c r="M51" i="4"/>
  <c r="C51" i="2"/>
  <c r="S36" i="4"/>
  <c r="AB36" i="4" s="1"/>
  <c r="N50" i="4"/>
  <c r="W50" i="4" s="1"/>
  <c r="P15" i="4"/>
  <c r="F37" i="2"/>
  <c r="P37" i="4"/>
  <c r="L6" i="4"/>
  <c r="B6" i="2"/>
  <c r="M17" i="4"/>
  <c r="P35" i="4"/>
  <c r="C44" i="2"/>
  <c r="M44" i="4"/>
  <c r="N46" i="4"/>
  <c r="W46" i="4" s="1"/>
  <c r="M16" i="4"/>
  <c r="L50" i="4"/>
  <c r="U50" i="4" s="1"/>
  <c r="P50" i="4"/>
  <c r="L23" i="4"/>
  <c r="Q50" i="4"/>
  <c r="Z50" i="4" s="1"/>
  <c r="G28" i="2"/>
  <c r="Q28" i="4"/>
  <c r="G13" i="2"/>
  <c r="Q13" i="4"/>
  <c r="Z13" i="4" s="1"/>
  <c r="R29" i="4"/>
  <c r="AA29" i="4" s="1"/>
  <c r="B31" i="2"/>
  <c r="L31" i="4"/>
  <c r="H40" i="2"/>
  <c r="R40" i="4"/>
  <c r="E56" i="2"/>
  <c r="O56" i="4"/>
  <c r="X56" i="4" s="1"/>
  <c r="S43" i="4"/>
  <c r="AB43" i="4" s="1"/>
  <c r="O12" i="4"/>
  <c r="X12" i="4" s="1"/>
  <c r="I16" i="2"/>
  <c r="S16" i="4"/>
  <c r="E51" i="2"/>
  <c r="O51" i="4"/>
  <c r="X51" i="4" s="1"/>
  <c r="S38" i="4"/>
  <c r="S53" i="4"/>
  <c r="AB53" i="4" s="1"/>
  <c r="L20" i="4"/>
  <c r="U20" i="4" s="1"/>
  <c r="R54" i="4"/>
  <c r="AA54" i="4" s="1"/>
  <c r="H54" i="2"/>
  <c r="R44" i="4"/>
  <c r="AA44" i="4" s="1"/>
  <c r="N5" i="4"/>
  <c r="W5" i="4" s="1"/>
  <c r="H59" i="2"/>
  <c r="R59" i="4"/>
  <c r="G52" i="2"/>
  <c r="Q52" i="4"/>
  <c r="Z52" i="4" s="1"/>
  <c r="O26" i="4"/>
  <c r="X26" i="4" s="1"/>
  <c r="O11" i="4"/>
  <c r="X11" i="4" s="1"/>
  <c r="S4" i="4"/>
  <c r="S61" i="4"/>
  <c r="AB61" i="4" s="1"/>
  <c r="I61" i="2"/>
  <c r="Q37" i="4"/>
  <c r="E60" i="2"/>
  <c r="O60" i="4"/>
  <c r="X60" i="4" s="1"/>
  <c r="L7" i="4"/>
  <c r="U7" i="4" s="1"/>
  <c r="R57" i="4"/>
  <c r="AA57" i="4" s="1"/>
  <c r="H57" i="2"/>
  <c r="Q48" i="4"/>
  <c r="Z48" i="4" s="1"/>
  <c r="E27" i="2"/>
  <c r="O27" i="4"/>
  <c r="D9" i="2"/>
  <c r="N9" i="4"/>
  <c r="W9" i="4" s="1"/>
  <c r="Q10" i="4"/>
  <c r="Z10" i="4" s="1"/>
  <c r="G10" i="2"/>
  <c r="L58" i="4"/>
  <c r="R6" i="4"/>
  <c r="AA6" i="4" s="1"/>
  <c r="B25" i="2"/>
  <c r="L25" i="4"/>
  <c r="U25" i="4" s="1"/>
  <c r="S47" i="4"/>
  <c r="AB47" i="4" s="1"/>
  <c r="I47" i="2"/>
  <c r="Q8" i="4"/>
  <c r="Z8" i="4" s="1"/>
  <c r="D19" i="2"/>
  <c r="N19" i="4"/>
  <c r="D22" i="2"/>
  <c r="N22" i="4"/>
  <c r="W22" i="4" s="1"/>
  <c r="C57" i="2"/>
  <c r="M57" i="4"/>
  <c r="P40" i="4"/>
  <c r="F40" i="2"/>
  <c r="D49" i="2"/>
  <c r="N49" i="4"/>
  <c r="D38" i="2"/>
  <c r="N38" i="4"/>
  <c r="W38" i="4" s="1"/>
  <c r="L34" i="4"/>
  <c r="U34" i="4" s="1"/>
  <c r="M43" i="4"/>
  <c r="D51" i="2"/>
  <c r="N51" i="4"/>
  <c r="W51" i="4" s="1"/>
  <c r="D55" i="2"/>
  <c r="N55" i="4"/>
  <c r="N42" i="4"/>
  <c r="W42" i="4" s="1"/>
  <c r="D42" i="2"/>
  <c r="N15" i="4"/>
  <c r="W15" i="4" s="1"/>
  <c r="D37" i="2"/>
  <c r="N37" i="4"/>
  <c r="W37" i="4" s="1"/>
  <c r="M6" i="4"/>
  <c r="D20" i="2"/>
  <c r="N20" i="4"/>
  <c r="W20" i="4" s="1"/>
  <c r="M35" i="4"/>
  <c r="D44" i="2"/>
  <c r="N44" i="4"/>
  <c r="H46" i="2"/>
  <c r="R46" i="4"/>
  <c r="AA46" i="4" s="1"/>
  <c r="M26" i="4"/>
  <c r="Q55" i="4"/>
  <c r="Z55" i="4" s="1"/>
  <c r="E23" i="2"/>
  <c r="O23" i="4"/>
  <c r="X23" i="4" s="1"/>
  <c r="B42" i="2"/>
  <c r="L42" i="4"/>
  <c r="O28" i="4"/>
  <c r="X28" i="4" s="1"/>
  <c r="E28" i="2"/>
  <c r="S13" i="4"/>
  <c r="AB13" i="4" s="1"/>
  <c r="I13" i="2"/>
  <c r="S29" i="4"/>
  <c r="AB29" i="4" s="1"/>
  <c r="I31" i="2"/>
  <c r="S31" i="4"/>
  <c r="AB31" i="4" s="1"/>
  <c r="E40" i="2"/>
  <c r="O40" i="4"/>
  <c r="X40" i="4" s="1"/>
  <c r="Q24" i="4"/>
  <c r="G43" i="2"/>
  <c r="Q43" i="4"/>
  <c r="Z43" i="4" s="1"/>
  <c r="G41" i="2"/>
  <c r="Q41" i="4"/>
  <c r="Z41" i="4" s="1"/>
  <c r="H16" i="2"/>
  <c r="R16" i="4"/>
  <c r="AA16" i="4" s="1"/>
  <c r="S51" i="4"/>
  <c r="AB51" i="4" s="1"/>
  <c r="Q38" i="4"/>
  <c r="Z38" i="4" s="1"/>
  <c r="G21" i="2"/>
  <c r="Q21" i="4"/>
  <c r="Z21" i="4" s="1"/>
  <c r="I20" i="2"/>
  <c r="S20" i="4"/>
  <c r="AB20" i="4" s="1"/>
  <c r="S54" i="4"/>
  <c r="I54" i="2"/>
  <c r="L44" i="4"/>
  <c r="U44" i="4" s="1"/>
  <c r="M5" i="4"/>
  <c r="L59" i="4"/>
  <c r="U59" i="4" s="1"/>
  <c r="L52" i="4"/>
  <c r="G34" i="2"/>
  <c r="Q34" i="4"/>
  <c r="Z34" i="4" s="1"/>
  <c r="G36" i="2"/>
  <c r="Q36" i="4"/>
  <c r="L4" i="4"/>
  <c r="U4" i="4" s="1"/>
  <c r="M61" i="4"/>
  <c r="S37" i="4"/>
  <c r="AB37" i="4" s="1"/>
  <c r="M60" i="4"/>
  <c r="C60" i="2"/>
  <c r="E7" i="2"/>
  <c r="O7" i="4"/>
  <c r="X7" i="4" s="1"/>
  <c r="O57" i="4"/>
  <c r="R48" i="4"/>
  <c r="AA48" i="4" s="1"/>
  <c r="B27" i="2"/>
  <c r="L27" i="4"/>
  <c r="U27" i="4" s="1"/>
  <c r="E22" i="2"/>
  <c r="O22" i="4"/>
  <c r="X22" i="4" s="1"/>
  <c r="N10" i="4"/>
  <c r="W10" i="4" s="1"/>
  <c r="H58" i="2"/>
  <c r="R58" i="4"/>
  <c r="E6" i="2"/>
  <c r="O6" i="4"/>
  <c r="X6" i="4" s="1"/>
  <c r="G25" i="2"/>
  <c r="Q25" i="4"/>
  <c r="Z25" i="4" s="1"/>
  <c r="O47" i="4"/>
  <c r="L8" i="4"/>
  <c r="U8" i="4" s="1"/>
  <c r="P19" i="4"/>
  <c r="P22" i="4"/>
  <c r="N57" i="4"/>
  <c r="W57" i="4" s="1"/>
  <c r="D40" i="2"/>
  <c r="N40" i="4"/>
  <c r="W40" i="4" s="1"/>
  <c r="M49" i="4"/>
  <c r="P38" i="4"/>
  <c r="O34" i="4"/>
  <c r="X34" i="4" s="1"/>
  <c r="P43" i="4"/>
  <c r="P12" i="4"/>
  <c r="M55" i="4"/>
  <c r="M42" i="4"/>
  <c r="E45" i="2"/>
  <c r="O45" i="4"/>
  <c r="X45" i="4" s="1"/>
  <c r="N13" i="4"/>
  <c r="W13" i="4" s="1"/>
  <c r="N6" i="4"/>
  <c r="W6" i="4" s="1"/>
  <c r="D6" i="2"/>
  <c r="P20" i="4"/>
  <c r="D35" i="2"/>
  <c r="N35" i="4"/>
  <c r="F44" i="2"/>
  <c r="P44" i="4"/>
  <c r="M14" i="4"/>
  <c r="P26" i="4"/>
  <c r="R55" i="4"/>
  <c r="AA55" i="4" s="1"/>
  <c r="Q23" i="4"/>
  <c r="Z23" i="4" s="1"/>
  <c r="Q42" i="4"/>
  <c r="Z42" i="4" s="1"/>
  <c r="G42" i="2"/>
  <c r="S28" i="4"/>
  <c r="AB28" i="4" s="1"/>
  <c r="H13" i="2"/>
  <c r="R13" i="4"/>
  <c r="B29" i="2"/>
  <c r="L29" i="4"/>
  <c r="U29" i="4" s="1"/>
  <c r="H33" i="2"/>
  <c r="R33" i="4"/>
  <c r="AA33" i="4" s="1"/>
  <c r="S40" i="4"/>
  <c r="AB40" i="4" s="1"/>
  <c r="B24" i="2"/>
  <c r="L24" i="4"/>
  <c r="E43" i="2"/>
  <c r="O43" i="4"/>
  <c r="X43" i="4" s="1"/>
  <c r="H41" i="2"/>
  <c r="R41" i="4"/>
  <c r="AA41" i="4" s="1"/>
  <c r="P16" i="4"/>
  <c r="I18" i="2"/>
  <c r="S18" i="4"/>
  <c r="AB18" i="4" s="1"/>
  <c r="O38" i="4"/>
  <c r="X38" i="4" s="1"/>
  <c r="B21" i="2"/>
  <c r="L21" i="4"/>
  <c r="U21" i="4" s="1"/>
  <c r="O20" i="4"/>
  <c r="X20" i="4" s="1"/>
  <c r="L54" i="4"/>
  <c r="U54" i="4" s="1"/>
  <c r="E44" i="2"/>
  <c r="O44" i="4"/>
  <c r="X44" i="4" s="1"/>
  <c r="I14" i="2"/>
  <c r="S14" i="4"/>
  <c r="AB14" i="4" s="1"/>
  <c r="Q59" i="4"/>
  <c r="I52" i="2"/>
  <c r="S52" i="4"/>
  <c r="H34" i="2"/>
  <c r="R34" i="4"/>
  <c r="AA34" i="4" s="1"/>
  <c r="H36" i="2"/>
  <c r="R36" i="4"/>
  <c r="AA36" i="4" s="1"/>
  <c r="E4" i="2"/>
  <c r="O4" i="4"/>
  <c r="Q15" i="4"/>
  <c r="Z15" i="4" s="1"/>
  <c r="E37" i="2"/>
  <c r="O37" i="4"/>
  <c r="X37" i="4" s="1"/>
  <c r="H32" i="2"/>
  <c r="R32" i="4"/>
  <c r="AA32" i="4" s="1"/>
  <c r="R7" i="4"/>
  <c r="I57" i="2"/>
  <c r="S57" i="4"/>
  <c r="I48" i="2"/>
  <c r="S48" i="4"/>
  <c r="S9" i="4"/>
  <c r="AB9" i="4" s="1"/>
  <c r="I9" i="2"/>
  <c r="Q22" i="4"/>
  <c r="Z22" i="4" s="1"/>
  <c r="L10" i="4"/>
  <c r="U10" i="4" s="1"/>
  <c r="P58" i="4"/>
  <c r="G17" i="2"/>
  <c r="Q17" i="4"/>
  <c r="Z17" i="4" s="1"/>
  <c r="R25" i="4"/>
  <c r="H25" i="2"/>
  <c r="R30" i="4"/>
  <c r="AA30" i="4" s="1"/>
  <c r="R8" i="4"/>
  <c r="AA8" i="4" s="1"/>
  <c r="H8" i="2"/>
  <c r="M19" i="4"/>
  <c r="M22" i="4"/>
  <c r="L33" i="4"/>
  <c r="U33" i="4" s="1"/>
  <c r="C40" i="2"/>
  <c r="M40" i="4"/>
  <c r="C47" i="2"/>
  <c r="M47" i="4"/>
  <c r="M38" i="4"/>
  <c r="I34" i="2"/>
  <c r="S34" i="4"/>
  <c r="AB34" i="4" s="1"/>
  <c r="D43" i="2"/>
  <c r="N43" i="4"/>
  <c r="W43" i="4" s="1"/>
  <c r="M12" i="4"/>
  <c r="M23" i="4"/>
  <c r="P42" i="4"/>
  <c r="N45" i="4"/>
  <c r="W45" i="4" s="1"/>
  <c r="D45" i="2"/>
  <c r="M13" i="4"/>
  <c r="C13" i="2"/>
  <c r="P6" i="4"/>
  <c r="M20" i="4"/>
  <c r="M25" i="4"/>
  <c r="D41" i="2"/>
  <c r="N41" i="4"/>
  <c r="W41" i="4" s="1"/>
  <c r="P14" i="4"/>
  <c r="N26" i="4"/>
  <c r="W26" i="4" s="1"/>
  <c r="E20" i="2"/>
  <c r="C46" i="2"/>
  <c r="H55" i="2"/>
  <c r="U23" i="4"/>
  <c r="B23" i="2"/>
  <c r="B50" i="2"/>
  <c r="H28" i="2"/>
  <c r="AA45" i="4"/>
  <c r="F13" i="2"/>
  <c r="E19" i="2"/>
  <c r="H29" i="2"/>
  <c r="G24" i="2"/>
  <c r="Z24" i="4"/>
  <c r="U51" i="4"/>
  <c r="B18" i="2"/>
  <c r="C52" i="2"/>
  <c r="E17" i="2"/>
  <c r="D47" i="2"/>
  <c r="B19" i="2"/>
  <c r="AA14" i="4"/>
  <c r="H14" i="2"/>
  <c r="H52" i="2"/>
  <c r="D26" i="2"/>
  <c r="F4" i="2"/>
  <c r="D60" i="2"/>
  <c r="I7" i="2"/>
  <c r="F57" i="2"/>
  <c r="Z49" i="4"/>
  <c r="E9" i="2"/>
  <c r="H10" i="2"/>
  <c r="U58" i="4"/>
  <c r="B58" i="2"/>
  <c r="U30" i="4"/>
  <c r="G55" i="2"/>
  <c r="I40" i="2"/>
  <c r="C34" i="2"/>
  <c r="H23" i="2"/>
  <c r="U24" i="4"/>
  <c r="G45" i="2"/>
  <c r="Z19" i="4"/>
  <c r="D31" i="2"/>
  <c r="F33" i="2"/>
  <c r="W56" i="4"/>
  <c r="I24" i="2"/>
  <c r="F43" i="2"/>
  <c r="AB41" i="4"/>
  <c r="Z51" i="4"/>
  <c r="H53" i="2"/>
  <c r="G35" i="2"/>
  <c r="H5" i="2"/>
  <c r="Z59" i="4"/>
  <c r="G59" i="2"/>
  <c r="D4" i="2"/>
  <c r="B15" i="2"/>
  <c r="H60" i="2"/>
  <c r="B32" i="2"/>
  <c r="G57" i="2"/>
  <c r="G48" i="2"/>
  <c r="I27" i="2"/>
  <c r="B22" i="2"/>
  <c r="U6" i="4"/>
  <c r="H17" i="2"/>
  <c r="U42" i="4"/>
  <c r="E12" i="2"/>
  <c r="C59" i="2"/>
  <c r="H42" i="2"/>
  <c r="G23" i="2"/>
  <c r="D28" i="2"/>
  <c r="AA13" i="4"/>
  <c r="I29" i="2"/>
  <c r="G33" i="2"/>
  <c r="H24" i="2"/>
  <c r="I43" i="2"/>
  <c r="AB16" i="4"/>
  <c r="F51" i="2"/>
  <c r="H21" i="2"/>
  <c r="B54" i="2"/>
  <c r="H44" i="2"/>
  <c r="Z5" i="4"/>
  <c r="G5" i="2"/>
  <c r="F59" i="2"/>
  <c r="U36" i="4"/>
  <c r="D61" i="2"/>
  <c r="W61" i="4"/>
  <c r="U49" i="4"/>
  <c r="X27" i="4"/>
  <c r="G9" i="2"/>
  <c r="Z9" i="4"/>
  <c r="G22" i="2"/>
  <c r="AB46" i="4"/>
  <c r="I46" i="2"/>
  <c r="W25" i="4"/>
  <c r="H47" i="2"/>
  <c r="H30" i="2"/>
  <c r="H19" i="2"/>
  <c r="E52" i="2"/>
  <c r="I22" i="2"/>
  <c r="X47" i="4"/>
  <c r="E47" i="2"/>
  <c r="G56" i="2"/>
  <c r="H38" i="2"/>
  <c r="I55" i="2"/>
  <c r="I45" i="2"/>
  <c r="D13" i="2"/>
  <c r="W19" i="4"/>
  <c r="X31" i="4"/>
  <c r="E31" i="2"/>
  <c r="AA40" i="4"/>
  <c r="AB56" i="4"/>
  <c r="I56" i="2"/>
  <c r="E24" i="2"/>
  <c r="G18" i="2"/>
  <c r="AB38" i="4"/>
  <c r="I38" i="2"/>
  <c r="D21" i="2"/>
  <c r="I35" i="2"/>
  <c r="Z54" i="4"/>
  <c r="X59" i="4"/>
  <c r="AA26" i="4"/>
  <c r="E34" i="2"/>
  <c r="U11" i="4"/>
  <c r="U61" i="4"/>
  <c r="B61" i="2"/>
  <c r="D15" i="2"/>
  <c r="Z37" i="4"/>
  <c r="G37" i="2"/>
  <c r="G32" i="2"/>
  <c r="AA7" i="4"/>
  <c r="H7" i="2"/>
  <c r="X57" i="4"/>
  <c r="E57" i="2"/>
  <c r="AA49" i="4"/>
  <c r="H48" i="2"/>
  <c r="H22" i="2"/>
  <c r="D10" i="2"/>
  <c r="I17" i="2"/>
  <c r="G8" i="2"/>
  <c r="X29" i="4"/>
  <c r="C43" i="2"/>
  <c r="I53" i="2"/>
  <c r="E11" i="2"/>
  <c r="C10" i="2"/>
  <c r="Z28" i="4"/>
  <c r="D29" i="2"/>
  <c r="Z16" i="4"/>
  <c r="E50" i="2"/>
  <c r="D50" i="2"/>
  <c r="E42" i="2"/>
  <c r="I28" i="2"/>
  <c r="AB33" i="4"/>
  <c r="I33" i="2"/>
  <c r="D12" i="2"/>
  <c r="U41" i="4"/>
  <c r="G38" i="2"/>
  <c r="B20" i="2"/>
  <c r="X35" i="4"/>
  <c r="E35" i="2"/>
  <c r="AB5" i="4"/>
  <c r="I5" i="2"/>
  <c r="U52" i="4"/>
  <c r="I4" i="2"/>
  <c r="I37" i="2"/>
  <c r="I60" i="2"/>
  <c r="G7" i="2"/>
  <c r="D57" i="2"/>
  <c r="E49" i="2"/>
  <c r="AB48" i="4"/>
  <c r="H9" i="2"/>
  <c r="D58" i="2"/>
  <c r="W58" i="4"/>
  <c r="I6" i="2"/>
  <c r="B17" i="2"/>
  <c r="AA25" i="4"/>
  <c r="G47" i="2"/>
  <c r="B8" i="2"/>
  <c r="C33" i="2"/>
  <c r="C41" i="2"/>
  <c r="E26" i="2"/>
  <c r="X48" i="4"/>
  <c r="AB30" i="4"/>
  <c r="W55" i="4"/>
  <c r="G50" i="2"/>
  <c r="U31" i="4"/>
  <c r="X16" i="4"/>
  <c r="I51" i="2"/>
  <c r="D18" i="2"/>
  <c r="E38" i="2"/>
  <c r="E53" i="2"/>
  <c r="E21" i="2"/>
  <c r="W35" i="4"/>
  <c r="W44" i="4"/>
  <c r="D5" i="2"/>
  <c r="D14" i="2"/>
  <c r="D59" i="2"/>
  <c r="AB52" i="4"/>
  <c r="D34" i="2"/>
  <c r="D11" i="2"/>
  <c r="D7" i="2"/>
  <c r="AB57" i="4"/>
  <c r="W49" i="4"/>
  <c r="F10" i="2"/>
  <c r="D46" i="2"/>
  <c r="H6" i="2"/>
  <c r="AB25" i="4"/>
  <c r="I25" i="2"/>
  <c r="D30" i="2"/>
  <c r="AB45" i="4"/>
  <c r="G14" i="2"/>
  <c r="E13" i="2"/>
  <c r="U13" i="4"/>
  <c r="H56" i="2"/>
  <c r="Z44" i="4"/>
  <c r="AA59" i="4"/>
  <c r="I36" i="2"/>
  <c r="G15" i="2"/>
  <c r="U37" i="4"/>
  <c r="U57" i="4"/>
  <c r="G6" i="2"/>
  <c r="AA11" i="4"/>
  <c r="H11" i="2"/>
  <c r="W60" i="4"/>
  <c r="AA31" i="4"/>
  <c r="W31" i="4"/>
  <c r="D56" i="2"/>
  <c r="I41" i="2"/>
  <c r="AA53" i="4"/>
  <c r="AB54" i="4"/>
  <c r="Z36" i="4"/>
  <c r="B7" i="2"/>
  <c r="AA58" i="4"/>
  <c r="AC65" i="3"/>
  <c r="AC66" i="3" s="1"/>
  <c r="Z65" i="3"/>
  <c r="Z66" i="3" s="1"/>
  <c r="AB65" i="3"/>
  <c r="AB66" i="3" s="1"/>
  <c r="Y65" i="3"/>
  <c r="Y66" i="3" s="1"/>
  <c r="AE65" i="3"/>
  <c r="AE66" i="3" s="1"/>
  <c r="AD65" i="3"/>
  <c r="AD66" i="3" s="1"/>
  <c r="X65" i="3"/>
  <c r="X66" i="3" s="1"/>
  <c r="AA65" i="3"/>
  <c r="AA66" i="3" s="1"/>
  <c r="G13" i="7"/>
  <c r="H13" i="7"/>
  <c r="I13" i="7"/>
  <c r="J13" i="7"/>
  <c r="K13" i="7"/>
  <c r="E13" i="7"/>
  <c r="G12" i="7"/>
  <c r="H12" i="7"/>
  <c r="I12" i="7"/>
  <c r="J12" i="7"/>
  <c r="K12" i="7"/>
  <c r="E12" i="7"/>
  <c r="G11" i="7"/>
  <c r="H11" i="7"/>
  <c r="I11" i="7"/>
  <c r="J11" i="7"/>
  <c r="K11" i="7"/>
  <c r="E11" i="7"/>
  <c r="G15" i="7" l="1"/>
  <c r="D63" i="2"/>
  <c r="I63" i="2"/>
  <c r="E63" i="2"/>
  <c r="B10" i="2"/>
  <c r="B47" i="2"/>
  <c r="B37" i="2"/>
  <c r="B33" i="2"/>
  <c r="B45" i="2"/>
  <c r="B52" i="2"/>
  <c r="B44" i="2"/>
  <c r="B4" i="2"/>
  <c r="B46" i="2"/>
  <c r="B57" i="2"/>
  <c r="B51" i="2"/>
  <c r="B13" i="2"/>
  <c r="B41" i="2"/>
  <c r="H63" i="2"/>
  <c r="B43" i="2"/>
  <c r="G63" i="2"/>
  <c r="B40" i="2"/>
  <c r="B59" i="2"/>
  <c r="B60" i="2"/>
  <c r="B34" i="2"/>
  <c r="BL65" i="3"/>
  <c r="BI65" i="3"/>
  <c r="BK65" i="3"/>
  <c r="M63" i="4"/>
  <c r="Z63" i="4"/>
  <c r="BP65" i="3"/>
  <c r="Q63" i="4"/>
  <c r="BN65" i="3"/>
  <c r="R63" i="4"/>
  <c r="AA63" i="4"/>
  <c r="U63" i="4"/>
  <c r="P63" i="4"/>
  <c r="BO65" i="3"/>
  <c r="AB4" i="4"/>
  <c r="AB63" i="4" s="1"/>
  <c r="S63" i="4"/>
  <c r="W4" i="4"/>
  <c r="W63" i="4" s="1"/>
  <c r="N63" i="4"/>
  <c r="X4" i="4"/>
  <c r="X63" i="4" s="1"/>
  <c r="O63" i="4"/>
  <c r="I15" i="7"/>
  <c r="J15" i="7"/>
  <c r="H15" i="7"/>
  <c r="K15" i="7"/>
  <c r="O10" i="26"/>
  <c r="N10" i="26"/>
  <c r="M10" i="26"/>
  <c r="K10" i="26"/>
  <c r="J10" i="26"/>
  <c r="I10" i="26"/>
  <c r="H10" i="26"/>
  <c r="G10" i="26"/>
  <c r="F10" i="26"/>
  <c r="E10" i="26"/>
  <c r="O9" i="26"/>
  <c r="N9" i="26"/>
  <c r="M9" i="26"/>
  <c r="K9" i="26"/>
  <c r="J9" i="26"/>
  <c r="I9" i="26"/>
  <c r="H9" i="26"/>
  <c r="G9" i="26"/>
  <c r="E9" i="26"/>
  <c r="O8" i="26"/>
  <c r="N8" i="26"/>
  <c r="M8" i="26"/>
  <c r="K8" i="26"/>
  <c r="J8" i="26"/>
  <c r="I8" i="26"/>
  <c r="H8" i="26"/>
  <c r="G8" i="26"/>
  <c r="E8" i="26"/>
  <c r="K13" i="10"/>
  <c r="J13" i="10"/>
  <c r="I13" i="10"/>
  <c r="H13" i="10"/>
  <c r="G13" i="10"/>
  <c r="E13" i="10"/>
  <c r="K12" i="10"/>
  <c r="J12" i="10"/>
  <c r="I12" i="10"/>
  <c r="H12" i="10"/>
  <c r="G12" i="10"/>
  <c r="E12" i="10"/>
  <c r="K11" i="10"/>
  <c r="J11" i="10"/>
  <c r="I11" i="10"/>
  <c r="H11" i="10"/>
  <c r="G11" i="10"/>
  <c r="E11" i="10"/>
  <c r="J13" i="9"/>
  <c r="I13" i="9"/>
  <c r="H13" i="9"/>
  <c r="G13" i="9"/>
  <c r="E13" i="9"/>
  <c r="J12" i="9"/>
  <c r="I12" i="9"/>
  <c r="H12" i="9"/>
  <c r="G12" i="9"/>
  <c r="E12" i="9"/>
  <c r="J11" i="9"/>
  <c r="I11" i="9"/>
  <c r="H11" i="9"/>
  <c r="G11" i="9"/>
  <c r="E11" i="9"/>
  <c r="K13" i="8"/>
  <c r="J13" i="8"/>
  <c r="E13" i="8"/>
  <c r="M11" i="8"/>
  <c r="K11" i="8"/>
  <c r="J11" i="8"/>
  <c r="E11" i="8"/>
  <c r="J28" i="6"/>
  <c r="J27" i="6"/>
  <c r="J26" i="6"/>
  <c r="I64" i="2" l="1"/>
  <c r="D64" i="2"/>
  <c r="E64" i="2"/>
  <c r="H64" i="2"/>
  <c r="BK66" i="3"/>
  <c r="W64" i="4"/>
  <c r="BI66" i="3"/>
  <c r="U64" i="4"/>
  <c r="BP66" i="3"/>
  <c r="AB64" i="4"/>
  <c r="BL66" i="3"/>
  <c r="X64" i="4"/>
  <c r="B63" i="2"/>
  <c r="B64" i="2" s="1"/>
  <c r="BO66" i="3"/>
  <c r="AA64" i="4"/>
  <c r="BN66" i="3"/>
  <c r="Z64" i="4"/>
  <c r="G64" i="2"/>
  <c r="G14" i="9"/>
  <c r="J15" i="10"/>
  <c r="J14" i="9"/>
  <c r="J11" i="26"/>
  <c r="H11" i="26"/>
  <c r="I15" i="10"/>
  <c r="G15" i="10"/>
  <c r="K15" i="10"/>
  <c r="H15" i="10"/>
  <c r="E141" i="27"/>
  <c r="M11" i="26"/>
  <c r="I29" i="6"/>
  <c r="O11" i="26"/>
  <c r="I14" i="9"/>
  <c r="J29" i="6"/>
  <c r="H29" i="6"/>
  <c r="E11" i="26"/>
  <c r="I11" i="26"/>
  <c r="N11" i="26"/>
  <c r="K11" i="26"/>
  <c r="J14" i="10"/>
  <c r="K14" i="10"/>
  <c r="E14" i="10"/>
  <c r="E17" i="10" s="1"/>
  <c r="H14" i="10"/>
  <c r="I14" i="10"/>
  <c r="I14" i="8"/>
  <c r="E14" i="8"/>
  <c r="C55" i="39" s="1"/>
  <c r="G29" i="6"/>
  <c r="G11" i="26"/>
  <c r="G14" i="10"/>
  <c r="H14" i="8"/>
  <c r="G14" i="8"/>
  <c r="E29" i="6"/>
  <c r="C23" i="39" s="1"/>
  <c r="H14" i="9"/>
  <c r="E14" i="9"/>
  <c r="C73" i="39" l="1"/>
  <c r="E14" i="26"/>
  <c r="C113" i="39"/>
  <c r="E17" i="8"/>
  <c r="C18" i="39"/>
  <c r="C21" i="39"/>
  <c r="C19" i="39"/>
  <c r="C17" i="39"/>
  <c r="C20" i="39"/>
  <c r="C14" i="39"/>
  <c r="C13" i="39"/>
  <c r="E13" i="39" s="1"/>
  <c r="C15" i="39"/>
  <c r="C25" i="39"/>
  <c r="C22" i="39"/>
  <c r="H22" i="39" s="1"/>
  <c r="E144" i="27"/>
  <c r="E17" i="9"/>
  <c r="E32" i="6"/>
  <c r="C54" i="39" l="1"/>
  <c r="C56" i="39"/>
  <c r="C106" i="39"/>
  <c r="C110" i="39"/>
  <c r="C104" i="39"/>
  <c r="E104" i="39" s="1"/>
  <c r="C109" i="39"/>
  <c r="C108" i="39"/>
  <c r="C115" i="39"/>
  <c r="C112" i="39"/>
  <c r="H112" i="39" s="1"/>
  <c r="O12" i="26" s="1"/>
  <c r="C105" i="39"/>
  <c r="C111" i="39"/>
  <c r="C16" i="39"/>
  <c r="H16" i="39" s="1"/>
  <c r="F19" i="39"/>
  <c r="E19" i="39"/>
  <c r="G19" i="39"/>
  <c r="H19" i="39"/>
  <c r="H15" i="39"/>
  <c r="F15" i="39"/>
  <c r="G15" i="39"/>
  <c r="E15" i="39"/>
  <c r="H17" i="39"/>
  <c r="E17" i="39"/>
  <c r="G17" i="39"/>
  <c r="E14" i="39"/>
  <c r="G14" i="39"/>
  <c r="H14" i="39"/>
  <c r="E21" i="39"/>
  <c r="E133" i="39" s="1"/>
  <c r="C133" i="39"/>
  <c r="G21" i="39"/>
  <c r="G133" i="39" s="1"/>
  <c r="H21" i="39"/>
  <c r="H133" i="39" s="1"/>
  <c r="G20" i="39"/>
  <c r="H20" i="39"/>
  <c r="E20" i="39"/>
  <c r="F20" i="39"/>
  <c r="H18" i="39"/>
  <c r="F18" i="39"/>
  <c r="G18" i="39"/>
  <c r="E18" i="39"/>
  <c r="C46" i="41"/>
  <c r="C43" i="41"/>
  <c r="C41" i="41"/>
  <c r="C39" i="41"/>
  <c r="C42" i="41"/>
  <c r="C40" i="41"/>
  <c r="C35" i="41"/>
  <c r="C38" i="41"/>
  <c r="C34" i="41"/>
  <c r="C36" i="41"/>
  <c r="C69" i="39"/>
  <c r="C65" i="39"/>
  <c r="C71" i="39"/>
  <c r="C75" i="39"/>
  <c r="C70" i="39"/>
  <c r="C72" i="39"/>
  <c r="C66" i="39"/>
  <c r="C68" i="39"/>
  <c r="C64" i="39"/>
  <c r="T64" i="3" l="1"/>
  <c r="E61" i="4" s="1"/>
  <c r="T61" i="3"/>
  <c r="E58" i="4" s="1"/>
  <c r="T57" i="3"/>
  <c r="E54" i="4" s="1"/>
  <c r="T58" i="3"/>
  <c r="E55" i="4" s="1"/>
  <c r="T51" i="3"/>
  <c r="E48" i="4" s="1"/>
  <c r="T39" i="3"/>
  <c r="E36" i="4" s="1"/>
  <c r="T25" i="3"/>
  <c r="E22" i="4" s="1"/>
  <c r="T21" i="3"/>
  <c r="E18" i="4" s="1"/>
  <c r="T42" i="3"/>
  <c r="E39" i="4" s="1"/>
  <c r="O28" i="6"/>
  <c r="O27" i="6"/>
  <c r="O26" i="6"/>
  <c r="C107" i="39"/>
  <c r="E107" i="39" s="1"/>
  <c r="E111" i="39"/>
  <c r="F111" i="39"/>
  <c r="G111" i="39"/>
  <c r="H111" i="39"/>
  <c r="E108" i="39"/>
  <c r="G108" i="39"/>
  <c r="H108" i="39"/>
  <c r="N12" i="26" s="1"/>
  <c r="G106" i="39"/>
  <c r="F106" i="39"/>
  <c r="H106" i="39"/>
  <c r="E106" i="39"/>
  <c r="E110" i="39"/>
  <c r="G110" i="39"/>
  <c r="F110" i="39"/>
  <c r="H110" i="39"/>
  <c r="E105" i="39"/>
  <c r="G105" i="39"/>
  <c r="H105" i="39"/>
  <c r="M12" i="26" s="1"/>
  <c r="F109" i="39"/>
  <c r="H109" i="39"/>
  <c r="G109" i="39"/>
  <c r="E109" i="39"/>
  <c r="F54" i="39"/>
  <c r="E54" i="39"/>
  <c r="E55" i="39" s="1"/>
  <c r="H54" i="39"/>
  <c r="H55" i="39" s="1"/>
  <c r="H56" i="39" s="1"/>
  <c r="E16" i="39"/>
  <c r="G16" i="39" s="1"/>
  <c r="G23" i="39" s="1"/>
  <c r="F14" i="39"/>
  <c r="F17" i="39"/>
  <c r="H23" i="39"/>
  <c r="E35" i="41"/>
  <c r="E126" i="41" s="1"/>
  <c r="C126" i="41"/>
  <c r="F40" i="41"/>
  <c r="F131" i="41" s="1"/>
  <c r="C131" i="41"/>
  <c r="C133" i="41"/>
  <c r="G42" i="41"/>
  <c r="G133" i="41" s="1"/>
  <c r="E42" i="41"/>
  <c r="E133" i="41" s="1"/>
  <c r="C37" i="41"/>
  <c r="F36" i="41"/>
  <c r="F127" i="41" s="1"/>
  <c r="C127" i="41"/>
  <c r="H43" i="41"/>
  <c r="K43" i="41" s="1"/>
  <c r="C134" i="41"/>
  <c r="F38" i="41"/>
  <c r="F129" i="41" s="1"/>
  <c r="C129" i="41"/>
  <c r="E39" i="41"/>
  <c r="E130" i="41" s="1"/>
  <c r="C130" i="41"/>
  <c r="F41" i="41"/>
  <c r="F132" i="41" s="1"/>
  <c r="C132" i="41"/>
  <c r="E34" i="41"/>
  <c r="C125" i="41"/>
  <c r="C67" i="39"/>
  <c r="H67" i="39" s="1"/>
  <c r="H68" i="39"/>
  <c r="C129" i="39"/>
  <c r="E68" i="39"/>
  <c r="E129" i="39" s="1"/>
  <c r="G68" i="39"/>
  <c r="G129" i="39" s="1"/>
  <c r="G70" i="39"/>
  <c r="G131" i="39" s="1"/>
  <c r="F70" i="39"/>
  <c r="E70" i="39"/>
  <c r="C131" i="39"/>
  <c r="H70" i="39"/>
  <c r="H72" i="39"/>
  <c r="C134" i="39"/>
  <c r="G71" i="39"/>
  <c r="F71" i="39"/>
  <c r="F132" i="39" s="1"/>
  <c r="C132" i="39"/>
  <c r="H71" i="39"/>
  <c r="E71" i="39"/>
  <c r="E132" i="39" s="1"/>
  <c r="E65" i="39"/>
  <c r="G65" i="39"/>
  <c r="G125" i="39" s="1"/>
  <c r="H65" i="39"/>
  <c r="C125" i="39"/>
  <c r="H66" i="39"/>
  <c r="H126" i="39" s="1"/>
  <c r="C126" i="39"/>
  <c r="E66" i="39"/>
  <c r="F66" i="39"/>
  <c r="F126" i="39" s="1"/>
  <c r="G66" i="39"/>
  <c r="E64" i="39"/>
  <c r="E124" i="39" s="1"/>
  <c r="C124" i="39"/>
  <c r="E69" i="39"/>
  <c r="F69" i="39"/>
  <c r="F130" i="39" s="1"/>
  <c r="G69" i="39"/>
  <c r="G130" i="39" s="1"/>
  <c r="H69" i="39"/>
  <c r="C130" i="39"/>
  <c r="K14" i="26"/>
  <c r="F14" i="26" s="1"/>
  <c r="K134" i="41" l="1"/>
  <c r="T144" i="27"/>
  <c r="J146" i="27"/>
  <c r="G132" i="39"/>
  <c r="E125" i="39"/>
  <c r="H131" i="39"/>
  <c r="H107" i="39"/>
  <c r="H127" i="39" s="1"/>
  <c r="N11" i="9"/>
  <c r="M11" i="9"/>
  <c r="L11" i="9"/>
  <c r="M28" i="6"/>
  <c r="N27" i="6"/>
  <c r="N28" i="6"/>
  <c r="M27" i="6"/>
  <c r="M26" i="6"/>
  <c r="N26" i="6"/>
  <c r="O29" i="6"/>
  <c r="O30" i="6"/>
  <c r="F131" i="39"/>
  <c r="G126" i="39"/>
  <c r="F105" i="39"/>
  <c r="E130" i="39"/>
  <c r="G107" i="39"/>
  <c r="G113" i="39" s="1"/>
  <c r="G115" i="39" s="1"/>
  <c r="F108" i="39"/>
  <c r="H130" i="39"/>
  <c r="F23" i="39"/>
  <c r="H30" i="6" s="1"/>
  <c r="F127" i="39"/>
  <c r="F55" i="39"/>
  <c r="F56" i="39" s="1"/>
  <c r="G54" i="39"/>
  <c r="G55" i="39" s="1"/>
  <c r="E126" i="39"/>
  <c r="H132" i="39"/>
  <c r="E131" i="39"/>
  <c r="E113" i="39"/>
  <c r="E23" i="39"/>
  <c r="E25" i="39" s="1"/>
  <c r="E56" i="39"/>
  <c r="G15" i="8"/>
  <c r="H24" i="39"/>
  <c r="F24" i="39" s="1"/>
  <c r="J30" i="6"/>
  <c r="I30" i="6"/>
  <c r="G25" i="39"/>
  <c r="E125" i="41"/>
  <c r="H44" i="41"/>
  <c r="H134" i="41"/>
  <c r="H135" i="41" s="1"/>
  <c r="H138" i="41" s="1"/>
  <c r="F35" i="41"/>
  <c r="C128" i="41"/>
  <c r="C135" i="41" s="1"/>
  <c r="E37" i="41"/>
  <c r="H134" i="39"/>
  <c r="H129" i="39"/>
  <c r="H125" i="39"/>
  <c r="C127" i="39"/>
  <c r="C135" i="39" s="1"/>
  <c r="C137" i="39" s="1"/>
  <c r="E67" i="39"/>
  <c r="G67" i="39" s="1"/>
  <c r="G73" i="39" s="1"/>
  <c r="I15" i="9" s="1"/>
  <c r="F65" i="39"/>
  <c r="F68" i="39"/>
  <c r="H73" i="39"/>
  <c r="J15" i="9" s="1"/>
  <c r="U144" i="27" l="1"/>
  <c r="AF6" i="3"/>
  <c r="F125" i="39"/>
  <c r="H113" i="39"/>
  <c r="J12" i="26" s="1"/>
  <c r="F25" i="39"/>
  <c r="F26" i="39" s="1"/>
  <c r="F113" i="39"/>
  <c r="H12" i="26" s="1"/>
  <c r="J142" i="27"/>
  <c r="L13" i="9"/>
  <c r="L12" i="9"/>
  <c r="M12" i="9"/>
  <c r="N12" i="9"/>
  <c r="N13" i="9"/>
  <c r="M13" i="9"/>
  <c r="N29" i="6"/>
  <c r="N30" i="6"/>
  <c r="M29" i="6"/>
  <c r="M30" i="6"/>
  <c r="I12" i="26"/>
  <c r="H25" i="39"/>
  <c r="G30" i="6"/>
  <c r="E115" i="39"/>
  <c r="G12" i="26"/>
  <c r="G56" i="39"/>
  <c r="F57" i="39" s="1"/>
  <c r="I15" i="8"/>
  <c r="H139" i="41"/>
  <c r="F139" i="41" s="1"/>
  <c r="C138" i="41"/>
  <c r="C140" i="41" s="1"/>
  <c r="F44" i="41"/>
  <c r="F126" i="41"/>
  <c r="F135" i="41" s="1"/>
  <c r="F138" i="41" s="1"/>
  <c r="G37" i="41"/>
  <c r="E128" i="41"/>
  <c r="E135" i="41" s="1"/>
  <c r="E138" i="41" s="1"/>
  <c r="H45" i="41"/>
  <c r="F45" i="41" s="1"/>
  <c r="E44" i="41"/>
  <c r="H135" i="39"/>
  <c r="H136" i="39" s="1"/>
  <c r="F136" i="39" s="1"/>
  <c r="E127" i="39"/>
  <c r="E135" i="39" s="1"/>
  <c r="E137" i="39" s="1"/>
  <c r="G127" i="39"/>
  <c r="G135" i="39" s="1"/>
  <c r="G137" i="39" s="1"/>
  <c r="E73" i="39"/>
  <c r="G15" i="9" s="1"/>
  <c r="G33" i="5" s="1"/>
  <c r="G75" i="39"/>
  <c r="H74" i="39"/>
  <c r="F74" i="39" s="1"/>
  <c r="F73" i="39"/>
  <c r="H15" i="9" s="1"/>
  <c r="F129" i="39"/>
  <c r="AF62" i="3" l="1"/>
  <c r="AF59" i="3"/>
  <c r="AF56" i="3"/>
  <c r="AF42" i="3"/>
  <c r="AF58" i="3"/>
  <c r="AF64" i="3"/>
  <c r="AF39" i="3"/>
  <c r="AF43" i="3"/>
  <c r="BQ43" i="3" s="1"/>
  <c r="BR43" i="3" s="1"/>
  <c r="AF21" i="3"/>
  <c r="AF10" i="3"/>
  <c r="AF25" i="3"/>
  <c r="AF36" i="3"/>
  <c r="BQ36" i="3" s="1"/>
  <c r="BR36" i="3" s="1"/>
  <c r="AF16" i="3"/>
  <c r="BQ16" i="3" s="1"/>
  <c r="BR16" i="3" s="1"/>
  <c r="AF49" i="3"/>
  <c r="BQ49" i="3" s="1"/>
  <c r="BR49" i="3" s="1"/>
  <c r="AF9" i="3"/>
  <c r="AF22" i="3"/>
  <c r="AF37" i="3"/>
  <c r="BQ37" i="3" s="1"/>
  <c r="BR37" i="3" s="1"/>
  <c r="AF33" i="3"/>
  <c r="F135" i="39"/>
  <c r="F137" i="39" s="1"/>
  <c r="F138" i="39" s="1"/>
  <c r="H114" i="39"/>
  <c r="F114" i="39" s="1"/>
  <c r="F115" i="39" s="1"/>
  <c r="F116" i="39" s="1"/>
  <c r="AG6" i="3"/>
  <c r="J141" i="27"/>
  <c r="N14" i="9"/>
  <c r="L15" i="9"/>
  <c r="M33" i="5" s="1"/>
  <c r="N15" i="9"/>
  <c r="O33" i="5" s="1"/>
  <c r="M14" i="9"/>
  <c r="L14" i="9"/>
  <c r="M15" i="9"/>
  <c r="N33" i="5" s="1"/>
  <c r="P30" i="6"/>
  <c r="E140" i="41"/>
  <c r="F140" i="41"/>
  <c r="H140" i="41"/>
  <c r="G44" i="41"/>
  <c r="G128" i="41"/>
  <c r="G135" i="41" s="1"/>
  <c r="G138" i="41" s="1"/>
  <c r="E46" i="41"/>
  <c r="H46" i="41"/>
  <c r="F46" i="41"/>
  <c r="E75" i="39"/>
  <c r="H137" i="39"/>
  <c r="F75" i="39"/>
  <c r="F76" i="39" s="1"/>
  <c r="H75" i="39"/>
  <c r="T39" i="4" l="1"/>
  <c r="T34" i="4"/>
  <c r="T19" i="4"/>
  <c r="T40" i="4"/>
  <c r="T22" i="4"/>
  <c r="T30" i="4"/>
  <c r="T6" i="4"/>
  <c r="T36" i="4"/>
  <c r="H115" i="39"/>
  <c r="AG9" i="3"/>
  <c r="AG22" i="3"/>
  <c r="AG42" i="3"/>
  <c r="H142" i="27"/>
  <c r="G142" i="27"/>
  <c r="O15" i="9"/>
  <c r="G140" i="41"/>
  <c r="F141" i="41" s="1"/>
  <c r="G46" i="41"/>
  <c r="F47" i="41" s="1"/>
  <c r="I142" i="27" l="1"/>
  <c r="G141" i="27"/>
  <c r="H141" i="27"/>
  <c r="I141" i="27" l="1"/>
  <c r="F13" i="10" l="1"/>
  <c r="F13" i="7"/>
  <c r="F13" i="9" l="1"/>
  <c r="F8" i="16" l="1"/>
  <c r="F141" i="27" l="1"/>
  <c r="F12" i="10" l="1"/>
  <c r="F12" i="7" l="1"/>
  <c r="F9" i="26" l="1"/>
  <c r="F12" i="9" l="1"/>
  <c r="F8" i="26" l="1"/>
  <c r="F11" i="26" s="1"/>
  <c r="F11" i="10"/>
  <c r="F14" i="10" s="1"/>
  <c r="F11" i="7"/>
  <c r="F11" i="8" l="1"/>
  <c r="F14" i="8" s="1"/>
  <c r="F11" i="9" l="1"/>
  <c r="F14" i="9" s="1"/>
  <c r="F29" i="6"/>
  <c r="L63" i="4" l="1"/>
  <c r="J144" i="27" l="1"/>
  <c r="U146" i="27" s="1"/>
  <c r="U147" i="27" s="1"/>
  <c r="AF7" i="3" l="1"/>
  <c r="BQ7" i="3" s="1"/>
  <c r="BR7" i="3" s="1"/>
  <c r="AF60" i="3"/>
  <c r="BQ60" i="3" s="1"/>
  <c r="BR60" i="3" s="1"/>
  <c r="AF45" i="3"/>
  <c r="AF48" i="3"/>
  <c r="BQ48" i="3" s="1"/>
  <c r="BR48" i="3" s="1"/>
  <c r="BQ62" i="3"/>
  <c r="BR62" i="3" s="1"/>
  <c r="AF31" i="3"/>
  <c r="G144" i="27"/>
  <c r="H144" i="27"/>
  <c r="T59" i="4" l="1"/>
  <c r="T45" i="4"/>
  <c r="T42" i="4"/>
  <c r="T53" i="4"/>
  <c r="T57" i="4"/>
  <c r="T4" i="4"/>
  <c r="T18" i="4"/>
  <c r="T28" i="4"/>
  <c r="AG48" i="3"/>
  <c r="AG60" i="3"/>
  <c r="AG7" i="3"/>
  <c r="AG62" i="3"/>
  <c r="AG56" i="3"/>
  <c r="AG31" i="3"/>
  <c r="AG45" i="3"/>
  <c r="AG21" i="3"/>
  <c r="AG39" i="3"/>
  <c r="AF54" i="3"/>
  <c r="BQ54" i="3" s="1"/>
  <c r="BR54" i="3" s="1"/>
  <c r="AF61" i="3"/>
  <c r="AF55" i="3"/>
  <c r="BQ55" i="3" s="1"/>
  <c r="BR55" i="3" s="1"/>
  <c r="AF44" i="3"/>
  <c r="BQ44" i="3" s="1"/>
  <c r="BR44" i="3" s="1"/>
  <c r="AF50" i="3"/>
  <c r="BQ50" i="3" s="1"/>
  <c r="BR50" i="3" s="1"/>
  <c r="AF63" i="3"/>
  <c r="BQ63" i="3" s="1"/>
  <c r="BR63" i="3" s="1"/>
  <c r="AF24" i="3"/>
  <c r="AF17" i="3"/>
  <c r="AF20" i="3"/>
  <c r="AF40" i="3"/>
  <c r="BQ40" i="3" s="1"/>
  <c r="BR40" i="3" s="1"/>
  <c r="AF38" i="3"/>
  <c r="AF47" i="3"/>
  <c r="BQ47" i="3" s="1"/>
  <c r="BR47" i="3" s="1"/>
  <c r="AF18" i="3"/>
  <c r="AF57" i="3"/>
  <c r="AF23" i="3"/>
  <c r="AF41" i="3"/>
  <c r="AF27" i="3"/>
  <c r="AF35" i="3"/>
  <c r="AF11" i="3"/>
  <c r="AF34" i="3"/>
  <c r="AF19" i="3"/>
  <c r="AF28" i="3"/>
  <c r="AF14" i="3"/>
  <c r="AF51" i="3"/>
  <c r="AF12" i="3"/>
  <c r="AF30" i="3"/>
  <c r="AF13" i="3"/>
  <c r="BQ13" i="3" s="1"/>
  <c r="BR13" i="3" s="1"/>
  <c r="AF29" i="3"/>
  <c r="AF52" i="3"/>
  <c r="AF26" i="3"/>
  <c r="AF15" i="3"/>
  <c r="AF46" i="3"/>
  <c r="BQ46" i="3" s="1"/>
  <c r="BR46" i="3" s="1"/>
  <c r="AF53" i="3"/>
  <c r="AF32" i="3"/>
  <c r="I144" i="27"/>
  <c r="AF8" i="3"/>
  <c r="F144" i="27" l="1"/>
  <c r="T10" i="4"/>
  <c r="T27" i="4"/>
  <c r="T32" i="4"/>
  <c r="T37" i="4"/>
  <c r="T41" i="4"/>
  <c r="T8" i="4"/>
  <c r="T5" i="4"/>
  <c r="T24" i="4"/>
  <c r="T17" i="4"/>
  <c r="T52" i="4"/>
  <c r="T35" i="4"/>
  <c r="T56" i="4"/>
  <c r="T55" i="4"/>
  <c r="T48" i="4"/>
  <c r="T38" i="4"/>
  <c r="T14" i="4"/>
  <c r="T13" i="4"/>
  <c r="T43" i="4"/>
  <c r="T23" i="4"/>
  <c r="T21" i="4"/>
  <c r="T58" i="4"/>
  <c r="T47" i="4"/>
  <c r="T12" i="4"/>
  <c r="T20" i="4"/>
  <c r="T49" i="4"/>
  <c r="T25" i="4"/>
  <c r="T54" i="4"/>
  <c r="T60" i="4"/>
  <c r="T33" i="4"/>
  <c r="T29" i="4"/>
  <c r="T26" i="4"/>
  <c r="T16" i="4"/>
  <c r="T15" i="4"/>
  <c r="T7" i="4"/>
  <c r="T51" i="4"/>
  <c r="T9" i="4"/>
  <c r="T11" i="4"/>
  <c r="T50" i="4"/>
  <c r="T46" i="4"/>
  <c r="T31" i="4"/>
  <c r="T44" i="4"/>
  <c r="T61" i="4"/>
  <c r="AG37" i="3"/>
  <c r="AG36" i="3"/>
  <c r="AG46" i="3"/>
  <c r="AG50" i="3"/>
  <c r="AG40" i="3"/>
  <c r="AG44" i="3"/>
  <c r="AG33" i="3"/>
  <c r="AG13" i="3"/>
  <c r="AG43" i="3"/>
  <c r="AG49" i="3"/>
  <c r="AG47" i="3"/>
  <c r="AG16" i="3"/>
  <c r="AG63" i="3"/>
  <c r="AG53" i="3"/>
  <c r="AG19" i="3"/>
  <c r="AG18" i="3"/>
  <c r="AG54" i="3"/>
  <c r="AG34" i="3"/>
  <c r="AG8" i="3"/>
  <c r="AG59" i="3"/>
  <c r="AG30" i="3"/>
  <c r="AG11" i="3"/>
  <c r="AG38" i="3"/>
  <c r="AG10" i="3"/>
  <c r="AG61" i="3"/>
  <c r="AG29" i="3"/>
  <c r="AG55" i="3"/>
  <c r="J59" i="2"/>
  <c r="K59" i="2" s="1"/>
  <c r="BS62" i="3"/>
  <c r="AG64" i="3"/>
  <c r="J4" i="2"/>
  <c r="BS7" i="3"/>
  <c r="AG32" i="3"/>
  <c r="J57" i="2"/>
  <c r="K57" i="2" s="1"/>
  <c r="BS60" i="3"/>
  <c r="AG15" i="3"/>
  <c r="AG58" i="3"/>
  <c r="AG27" i="3"/>
  <c r="AG20" i="3"/>
  <c r="AG57" i="3"/>
  <c r="AG12" i="3"/>
  <c r="AG26" i="3"/>
  <c r="AG51" i="3"/>
  <c r="AG41" i="3"/>
  <c r="AG17" i="3"/>
  <c r="AG25" i="3"/>
  <c r="J45" i="2"/>
  <c r="K45" i="2" s="1"/>
  <c r="BS48" i="3"/>
  <c r="AG28" i="3"/>
  <c r="AG35" i="3"/>
  <c r="AG52" i="3"/>
  <c r="AG14" i="3"/>
  <c r="AG23" i="3"/>
  <c r="AG24" i="3"/>
  <c r="AF65" i="3"/>
  <c r="J41" i="2" l="1"/>
  <c r="K41" i="2" s="1"/>
  <c r="BS44" i="3"/>
  <c r="J37" i="2"/>
  <c r="K37" i="2" s="1"/>
  <c r="BS40" i="3"/>
  <c r="T63" i="4"/>
  <c r="J52" i="2"/>
  <c r="K52" i="2" s="1"/>
  <c r="BS55" i="3"/>
  <c r="J13" i="2"/>
  <c r="K13" i="2" s="1"/>
  <c r="BS16" i="3"/>
  <c r="J51" i="2"/>
  <c r="K51" i="2" s="1"/>
  <c r="BS54" i="3"/>
  <c r="J33" i="2"/>
  <c r="K33" i="2" s="1"/>
  <c r="BS36" i="3"/>
  <c r="J43" i="2"/>
  <c r="K43" i="2" s="1"/>
  <c r="BS46" i="3"/>
  <c r="J60" i="2"/>
  <c r="K60" i="2" s="1"/>
  <c r="BS63" i="3"/>
  <c r="J10" i="2"/>
  <c r="K10" i="2" s="1"/>
  <c r="BS13" i="3"/>
  <c r="AG65" i="3"/>
  <c r="AG66" i="3" s="1"/>
  <c r="J40" i="2"/>
  <c r="K40" i="2" s="1"/>
  <c r="BS43" i="3"/>
  <c r="J46" i="2"/>
  <c r="K46" i="2" s="1"/>
  <c r="BS49" i="3"/>
  <c r="J44" i="2"/>
  <c r="K44" i="2" s="1"/>
  <c r="BS47" i="3"/>
  <c r="J47" i="2"/>
  <c r="K47" i="2" s="1"/>
  <c r="BS50" i="3"/>
  <c r="J34" i="2"/>
  <c r="K34" i="2" s="1"/>
  <c r="BS37" i="3"/>
  <c r="N31" i="5"/>
  <c r="O31" i="5" l="1"/>
  <c r="I31" i="5"/>
  <c r="M31" i="5"/>
  <c r="H31" i="5"/>
  <c r="K31" i="5"/>
  <c r="G31" i="5"/>
  <c r="J31" i="5"/>
  <c r="E31" i="5"/>
  <c r="K30" i="5" l="1"/>
  <c r="J30" i="5"/>
  <c r="I30" i="5"/>
  <c r="G30" i="5"/>
  <c r="O30" i="5"/>
  <c r="N30" i="5"/>
  <c r="M30" i="5"/>
  <c r="H30" i="5"/>
  <c r="P15" i="6"/>
  <c r="P17" i="5" s="1"/>
  <c r="P5" i="26" l="1"/>
  <c r="P9" i="26" s="1"/>
  <c r="P6" i="26"/>
  <c r="P10" i="26" s="1"/>
  <c r="F31" i="5" l="1"/>
  <c r="AF66" i="3" l="1"/>
  <c r="P8" i="26" l="1"/>
  <c r="P11" i="26" l="1"/>
  <c r="P12" i="26"/>
  <c r="J29" i="5" l="1"/>
  <c r="J32" i="5" s="1"/>
  <c r="K29" i="5"/>
  <c r="K32" i="5" s="1"/>
  <c r="M29" i="5"/>
  <c r="M32" i="5" s="1"/>
  <c r="O29" i="5"/>
  <c r="O32" i="5" s="1"/>
  <c r="N29" i="5"/>
  <c r="N32" i="5" s="1"/>
  <c r="F30" i="5" l="1"/>
  <c r="F11" i="5"/>
  <c r="F29" i="5" l="1"/>
  <c r="F32" i="5" s="1"/>
  <c r="P4" i="7" l="1"/>
  <c r="P5" i="7"/>
  <c r="P6" i="7"/>
  <c r="P7" i="7"/>
  <c r="P8" i="7"/>
  <c r="P9" i="7"/>
  <c r="K12" i="8" l="1"/>
  <c r="K14" i="8" s="1"/>
  <c r="K17" i="8" l="1"/>
  <c r="E32" i="5" l="1"/>
  <c r="E35" i="5" s="1"/>
  <c r="P5" i="6"/>
  <c r="P18" i="6"/>
  <c r="O4" i="9"/>
  <c r="P5" i="5" s="1"/>
  <c r="O5" i="9"/>
  <c r="O6" i="9"/>
  <c r="P13" i="5" s="1"/>
  <c r="O8" i="9"/>
  <c r="P20" i="5" s="1"/>
  <c r="O9" i="9"/>
  <c r="P4" i="8"/>
  <c r="P5" i="8"/>
  <c r="P6" i="8"/>
  <c r="P7" i="8"/>
  <c r="P8" i="8"/>
  <c r="P9" i="8"/>
  <c r="N11" i="8"/>
  <c r="O11" i="8"/>
  <c r="J14" i="8"/>
  <c r="M12" i="8"/>
  <c r="N12" i="8"/>
  <c r="O12" i="8"/>
  <c r="M13" i="8"/>
  <c r="N13" i="8"/>
  <c r="O13" i="8"/>
  <c r="P15" i="8"/>
  <c r="P33" i="5" s="1"/>
  <c r="P13" i="7"/>
  <c r="M11" i="7"/>
  <c r="N11" i="7"/>
  <c r="O11" i="7"/>
  <c r="M12" i="7"/>
  <c r="N12" i="7"/>
  <c r="O12" i="7"/>
  <c r="P12" i="7"/>
  <c r="M13" i="7"/>
  <c r="N13" i="7"/>
  <c r="O13" i="7"/>
  <c r="P6" i="6"/>
  <c r="P7" i="5" s="1"/>
  <c r="P7" i="6"/>
  <c r="P8" i="5" s="1"/>
  <c r="P10" i="6"/>
  <c r="P11" i="5" s="1"/>
  <c r="P11" i="6"/>
  <c r="P12" i="5" s="1"/>
  <c r="P12" i="6"/>
  <c r="P14" i="5" s="1"/>
  <c r="P14" i="6"/>
  <c r="P16" i="5" s="1"/>
  <c r="P16" i="6"/>
  <c r="P18" i="5" s="1"/>
  <c r="P17" i="6"/>
  <c r="P19" i="5" s="1"/>
  <c r="P19" i="6"/>
  <c r="P22" i="5" s="1"/>
  <c r="P20" i="6"/>
  <c r="P23" i="5" s="1"/>
  <c r="P24" i="6"/>
  <c r="P27" i="5" s="1"/>
  <c r="P21" i="5" l="1"/>
  <c r="P6" i="5"/>
  <c r="O12" i="9"/>
  <c r="P29" i="5"/>
  <c r="P30" i="5"/>
  <c r="P27" i="6"/>
  <c r="P28" i="6"/>
  <c r="P26" i="6"/>
  <c r="O13" i="9"/>
  <c r="O11" i="9"/>
  <c r="H17" i="10"/>
  <c r="P13" i="8"/>
  <c r="P12" i="8"/>
  <c r="P11" i="8"/>
  <c r="E14" i="7"/>
  <c r="E17" i="7" s="1"/>
  <c r="M14" i="8"/>
  <c r="M17" i="8" s="1"/>
  <c r="O14" i="8"/>
  <c r="O17" i="8" s="1"/>
  <c r="N14" i="8"/>
  <c r="N17" i="8" s="1"/>
  <c r="I14" i="7"/>
  <c r="H14" i="7"/>
  <c r="P11" i="7"/>
  <c r="P14" i="7" s="1"/>
  <c r="P17" i="7" s="1"/>
  <c r="K14" i="7"/>
  <c r="G14" i="7"/>
  <c r="N14" i="7"/>
  <c r="N17" i="7" s="1"/>
  <c r="J14" i="7"/>
  <c r="J17" i="7" s="1"/>
  <c r="F14" i="7"/>
  <c r="M14" i="7"/>
  <c r="M17" i="7" s="1"/>
  <c r="O14" i="7"/>
  <c r="O17" i="7" s="1"/>
  <c r="H29" i="5"/>
  <c r="H32" i="5" s="1"/>
  <c r="G29" i="5"/>
  <c r="G32" i="5" s="1"/>
  <c r="I29" i="5"/>
  <c r="I32" i="5" s="1"/>
  <c r="P31" i="5" l="1"/>
  <c r="P32" i="5" s="1"/>
  <c r="P29" i="6"/>
  <c r="O14" i="9"/>
  <c r="H17" i="7"/>
  <c r="P14" i="8"/>
  <c r="P17" i="8" s="1"/>
  <c r="B65" i="3" l="1"/>
  <c r="E65" i="3"/>
  <c r="T12" i="3" l="1"/>
  <c r="E9" i="4" s="1"/>
  <c r="T34" i="3"/>
  <c r="E31" i="4" s="1"/>
  <c r="J17" i="8" l="1"/>
  <c r="J33" i="5"/>
  <c r="BG67" i="3"/>
  <c r="T8" i="3"/>
  <c r="E5" i="4" s="1"/>
  <c r="G17" i="10"/>
  <c r="I17" i="8"/>
  <c r="K33" i="5"/>
  <c r="H17" i="8" l="1"/>
  <c r="H33" i="5"/>
  <c r="N17" i="9"/>
  <c r="N6" i="3" s="1"/>
  <c r="L17" i="9"/>
  <c r="L6" i="3" s="1"/>
  <c r="M17" i="9"/>
  <c r="M6" i="3" s="1"/>
  <c r="K17" i="10"/>
  <c r="J17" i="10"/>
  <c r="K17" i="7"/>
  <c r="O6" i="3" l="1"/>
  <c r="K35" i="5"/>
  <c r="I17" i="10"/>
  <c r="F17" i="10" s="1"/>
  <c r="O17" i="9" l="1"/>
  <c r="G17" i="9"/>
  <c r="O32" i="6" l="1"/>
  <c r="F6" i="3" s="1"/>
  <c r="M32" i="6"/>
  <c r="C6" i="3" s="1"/>
  <c r="G17" i="8" l="1"/>
  <c r="F17" i="8" s="1"/>
  <c r="G17" i="7"/>
  <c r="N32" i="6"/>
  <c r="D6" i="3" s="1"/>
  <c r="P32" i="6" l="1"/>
  <c r="H32" i="6"/>
  <c r="I17" i="7" l="1"/>
  <c r="F17" i="7" s="1"/>
  <c r="I33" i="5"/>
  <c r="I32" i="6"/>
  <c r="G32" i="6"/>
  <c r="J32" i="6"/>
  <c r="F32" i="6" l="1"/>
  <c r="M25" i="3" l="1"/>
  <c r="G22" i="4" l="1"/>
  <c r="J17" i="9"/>
  <c r="N25" i="3"/>
  <c r="M65" i="3"/>
  <c r="M5" i="3"/>
  <c r="L25" i="3"/>
  <c r="H22" i="4" l="1"/>
  <c r="F22" i="4"/>
  <c r="H17" i="9"/>
  <c r="I17" i="9"/>
  <c r="M67" i="3"/>
  <c r="M66" i="3"/>
  <c r="G63" i="4"/>
  <c r="G65" i="4" s="1"/>
  <c r="L5" i="3"/>
  <c r="N5" i="3"/>
  <c r="O25" i="3"/>
  <c r="L65" i="3"/>
  <c r="L66" i="3" s="1"/>
  <c r="N65" i="3"/>
  <c r="F17" i="9" l="1"/>
  <c r="O65" i="3"/>
  <c r="N67" i="3"/>
  <c r="N66" i="3"/>
  <c r="F63" i="4"/>
  <c r="F65" i="4" s="1"/>
  <c r="H63" i="4"/>
  <c r="H65" i="4" s="1"/>
  <c r="L67" i="3"/>
  <c r="O5" i="3"/>
  <c r="O66" i="3" l="1"/>
  <c r="O67" i="3"/>
  <c r="P6" i="3"/>
  <c r="O14" i="26" l="1"/>
  <c r="M14" i="26"/>
  <c r="N14" i="26" l="1"/>
  <c r="P14" i="26"/>
  <c r="O35" i="5"/>
  <c r="M35" i="5"/>
  <c r="BQ6" i="3" l="1"/>
  <c r="F51" i="3"/>
  <c r="F57" i="3"/>
  <c r="F9" i="3"/>
  <c r="F56" i="3"/>
  <c r="F53" i="3"/>
  <c r="F24" i="3"/>
  <c r="F28" i="3"/>
  <c r="F35" i="3"/>
  <c r="F30" i="3"/>
  <c r="F11" i="3"/>
  <c r="F61" i="3"/>
  <c r="F52" i="3"/>
  <c r="F23" i="3"/>
  <c r="F20" i="3"/>
  <c r="F38" i="3"/>
  <c r="F15" i="3"/>
  <c r="F27" i="3"/>
  <c r="F8" i="3"/>
  <c r="F22" i="3"/>
  <c r="F58" i="3"/>
  <c r="F21" i="3"/>
  <c r="F12" i="3"/>
  <c r="F25" i="3"/>
  <c r="F26" i="3"/>
  <c r="F10" i="3"/>
  <c r="F31" i="3"/>
  <c r="F34" i="3"/>
  <c r="F41" i="3"/>
  <c r="F17" i="3"/>
  <c r="F59" i="3"/>
  <c r="F64" i="3"/>
  <c r="F42" i="3"/>
  <c r="F32" i="3"/>
  <c r="F45" i="3"/>
  <c r="F18" i="3"/>
  <c r="F14" i="3"/>
  <c r="F39" i="3"/>
  <c r="F19" i="3"/>
  <c r="F33" i="3"/>
  <c r="F29" i="3"/>
  <c r="C17" i="3"/>
  <c r="BJ6" i="3"/>
  <c r="C12" i="3"/>
  <c r="C57" i="3"/>
  <c r="C39" i="3"/>
  <c r="C10" i="3"/>
  <c r="C11" i="3"/>
  <c r="C45" i="3"/>
  <c r="C34" i="3"/>
  <c r="C9" i="3"/>
  <c r="C42" i="3"/>
  <c r="C33" i="3"/>
  <c r="C31" i="3"/>
  <c r="C61" i="3"/>
  <c r="C8" i="3"/>
  <c r="C28" i="3"/>
  <c r="C29" i="3"/>
  <c r="C51" i="3"/>
  <c r="C59" i="3"/>
  <c r="C15" i="3"/>
  <c r="C53" i="3"/>
  <c r="C35" i="3"/>
  <c r="C27" i="3"/>
  <c r="C30" i="3"/>
  <c r="C14" i="3"/>
  <c r="C19" i="3"/>
  <c r="C18" i="3"/>
  <c r="C22" i="3"/>
  <c r="C38" i="3"/>
  <c r="C26" i="3"/>
  <c r="C32" i="3"/>
  <c r="C24" i="3"/>
  <c r="C23" i="3"/>
  <c r="C25" i="3"/>
  <c r="C56" i="3"/>
  <c r="C64" i="3"/>
  <c r="C20" i="3"/>
  <c r="C41" i="3"/>
  <c r="C58" i="3"/>
  <c r="C52" i="3"/>
  <c r="C21" i="3"/>
  <c r="N35" i="5"/>
  <c r="G6" i="3" s="1"/>
  <c r="BQ33" i="3" l="1"/>
  <c r="J30" i="2" s="1"/>
  <c r="D30" i="4"/>
  <c r="AC30" i="4" s="1"/>
  <c r="BQ19" i="3"/>
  <c r="J16" i="2" s="1"/>
  <c r="D16" i="4"/>
  <c r="AC16" i="4" s="1"/>
  <c r="BQ59" i="3"/>
  <c r="J56" i="2" s="1"/>
  <c r="D56" i="4"/>
  <c r="AC56" i="4" s="1"/>
  <c r="BQ12" i="3"/>
  <c r="J9" i="2" s="1"/>
  <c r="D9" i="4"/>
  <c r="AC9" i="4" s="1"/>
  <c r="BQ20" i="3"/>
  <c r="J17" i="2" s="1"/>
  <c r="D17" i="4"/>
  <c r="AC17" i="4" s="1"/>
  <c r="BQ24" i="3"/>
  <c r="J21" i="2" s="1"/>
  <c r="D21" i="4"/>
  <c r="AC21" i="4" s="1"/>
  <c r="D22" i="4"/>
  <c r="AC22" i="4" s="1"/>
  <c r="BQ25" i="3"/>
  <c r="J22" i="2" s="1"/>
  <c r="BQ39" i="3"/>
  <c r="J36" i="2" s="1"/>
  <c r="D36" i="4"/>
  <c r="AC36" i="4" s="1"/>
  <c r="BQ17" i="3"/>
  <c r="J14" i="2" s="1"/>
  <c r="D14" i="4"/>
  <c r="AC14" i="4" s="1"/>
  <c r="BQ21" i="3"/>
  <c r="J18" i="2" s="1"/>
  <c r="D18" i="4"/>
  <c r="AC18" i="4" s="1"/>
  <c r="BQ23" i="3"/>
  <c r="J20" i="2" s="1"/>
  <c r="D20" i="4"/>
  <c r="AC20" i="4" s="1"/>
  <c r="BQ53" i="3"/>
  <c r="J50" i="2" s="1"/>
  <c r="D50" i="4"/>
  <c r="AC50" i="4" s="1"/>
  <c r="BQ14" i="3"/>
  <c r="J11" i="2" s="1"/>
  <c r="D11" i="4"/>
  <c r="AC11" i="4" s="1"/>
  <c r="BQ41" i="3"/>
  <c r="J38" i="2" s="1"/>
  <c r="D38" i="4"/>
  <c r="AC38" i="4" s="1"/>
  <c r="BQ58" i="3"/>
  <c r="J55" i="2" s="1"/>
  <c r="D55" i="4"/>
  <c r="AC55" i="4" s="1"/>
  <c r="BQ52" i="3"/>
  <c r="J49" i="2" s="1"/>
  <c r="D49" i="4"/>
  <c r="AC49" i="4" s="1"/>
  <c r="BQ56" i="3"/>
  <c r="J53" i="2" s="1"/>
  <c r="D53" i="4"/>
  <c r="AC53" i="4" s="1"/>
  <c r="BQ28" i="3"/>
  <c r="J25" i="2" s="1"/>
  <c r="D25" i="4"/>
  <c r="AC25" i="4" s="1"/>
  <c r="BQ18" i="3"/>
  <c r="J15" i="2" s="1"/>
  <c r="D15" i="4"/>
  <c r="AC15" i="4" s="1"/>
  <c r="BQ34" i="3"/>
  <c r="J31" i="2" s="1"/>
  <c r="D31" i="4"/>
  <c r="AC31" i="4" s="1"/>
  <c r="BQ22" i="3"/>
  <c r="J19" i="2" s="1"/>
  <c r="D19" i="4"/>
  <c r="AC19" i="4" s="1"/>
  <c r="BQ61" i="3"/>
  <c r="J58" i="2" s="1"/>
  <c r="D58" i="4"/>
  <c r="AC58" i="4" s="1"/>
  <c r="BQ9" i="3"/>
  <c r="J6" i="2" s="1"/>
  <c r="D6" i="4"/>
  <c r="AC6" i="4" s="1"/>
  <c r="BQ64" i="3"/>
  <c r="J61" i="2" s="1"/>
  <c r="D61" i="4"/>
  <c r="AC61" i="4" s="1"/>
  <c r="BQ45" i="3"/>
  <c r="J42" i="2" s="1"/>
  <c r="D42" i="4"/>
  <c r="AC42" i="4" s="1"/>
  <c r="BQ31" i="3"/>
  <c r="J28" i="2" s="1"/>
  <c r="D28" i="4"/>
  <c r="AC28" i="4" s="1"/>
  <c r="BQ8" i="3"/>
  <c r="D5" i="4"/>
  <c r="F65" i="3"/>
  <c r="BQ11" i="3"/>
  <c r="J8" i="2" s="1"/>
  <c r="D8" i="4"/>
  <c r="AC8" i="4" s="1"/>
  <c r="BQ57" i="3"/>
  <c r="J54" i="2" s="1"/>
  <c r="D54" i="4"/>
  <c r="AC54" i="4" s="1"/>
  <c r="BQ38" i="3"/>
  <c r="J35" i="2" s="1"/>
  <c r="D35" i="4"/>
  <c r="AC35" i="4" s="1"/>
  <c r="BQ32" i="3"/>
  <c r="J29" i="2" s="1"/>
  <c r="D29" i="4"/>
  <c r="AC29" i="4" s="1"/>
  <c r="BQ10" i="3"/>
  <c r="J7" i="2" s="1"/>
  <c r="D7" i="4"/>
  <c r="AC7" i="4" s="1"/>
  <c r="BQ27" i="3"/>
  <c r="J24" i="2" s="1"/>
  <c r="D24" i="4"/>
  <c r="AC24" i="4" s="1"/>
  <c r="BQ30" i="3"/>
  <c r="J27" i="2" s="1"/>
  <c r="D27" i="4"/>
  <c r="AC27" i="4" s="1"/>
  <c r="BQ51" i="3"/>
  <c r="J48" i="2" s="1"/>
  <c r="D48" i="4"/>
  <c r="AC48" i="4" s="1"/>
  <c r="BQ29" i="3"/>
  <c r="J26" i="2" s="1"/>
  <c r="D26" i="4"/>
  <c r="AC26" i="4" s="1"/>
  <c r="BQ42" i="3"/>
  <c r="J39" i="2" s="1"/>
  <c r="D39" i="4"/>
  <c r="AC39" i="4" s="1"/>
  <c r="BQ26" i="3"/>
  <c r="J23" i="2" s="1"/>
  <c r="D23" i="4"/>
  <c r="AC23" i="4" s="1"/>
  <c r="BQ15" i="3"/>
  <c r="J12" i="2" s="1"/>
  <c r="D12" i="4"/>
  <c r="AC12" i="4" s="1"/>
  <c r="BQ35" i="3"/>
  <c r="J32" i="2" s="1"/>
  <c r="D32" i="4"/>
  <c r="AC32" i="4" s="1"/>
  <c r="D21" i="3"/>
  <c r="G21" i="3" s="1"/>
  <c r="D10" i="3"/>
  <c r="G10" i="3" s="1"/>
  <c r="D56" i="3"/>
  <c r="G56" i="3" s="1"/>
  <c r="BM6" i="3"/>
  <c r="BR6" i="3" s="1"/>
  <c r="BJ5" i="3" s="1"/>
  <c r="D12" i="3"/>
  <c r="G12" i="3" s="1"/>
  <c r="D14" i="3"/>
  <c r="D22" i="3"/>
  <c r="D59" i="3"/>
  <c r="G59" i="3" s="1"/>
  <c r="D15" i="3"/>
  <c r="G15" i="3" s="1"/>
  <c r="D23" i="3"/>
  <c r="D57" i="3"/>
  <c r="G57" i="3" s="1"/>
  <c r="D45" i="3"/>
  <c r="D8" i="3"/>
  <c r="G8" i="3" s="1"/>
  <c r="D18" i="3"/>
  <c r="G18" i="3" s="1"/>
  <c r="D52" i="3"/>
  <c r="G52" i="3" s="1"/>
  <c r="D38" i="3"/>
  <c r="D31" i="3"/>
  <c r="G31" i="3" s="1"/>
  <c r="D32" i="3"/>
  <c r="D34" i="3"/>
  <c r="G34" i="3" s="1"/>
  <c r="D29" i="3"/>
  <c r="D19" i="3"/>
  <c r="G19" i="3" s="1"/>
  <c r="D26" i="3"/>
  <c r="G26" i="3" s="1"/>
  <c r="D20" i="3"/>
  <c r="D35" i="3"/>
  <c r="G35" i="3" s="1"/>
  <c r="D53" i="3"/>
  <c r="G53" i="3" s="1"/>
  <c r="D28" i="3"/>
  <c r="G28" i="3" s="1"/>
  <c r="D30" i="3"/>
  <c r="G30" i="3" s="1"/>
  <c r="D51" i="3"/>
  <c r="D11" i="3"/>
  <c r="G11" i="3" s="1"/>
  <c r="D39" i="3"/>
  <c r="G39" i="3" s="1"/>
  <c r="D58" i="3"/>
  <c r="G58" i="3" s="1"/>
  <c r="D17" i="3"/>
  <c r="G17" i="3" s="1"/>
  <c r="D9" i="3"/>
  <c r="G9" i="3" s="1"/>
  <c r="D41" i="3"/>
  <c r="G41" i="3" s="1"/>
  <c r="D42" i="3"/>
  <c r="G42" i="3" s="1"/>
  <c r="D61" i="3"/>
  <c r="D25" i="3"/>
  <c r="G25" i="3" s="1"/>
  <c r="D24" i="3"/>
  <c r="G24" i="3" s="1"/>
  <c r="D64" i="3"/>
  <c r="G64" i="3" s="1"/>
  <c r="D27" i="3"/>
  <c r="D33" i="3"/>
  <c r="G33" i="3" s="1"/>
  <c r="B20" i="4"/>
  <c r="G23" i="3"/>
  <c r="B38" i="4"/>
  <c r="B23" i="4"/>
  <c r="B32" i="4"/>
  <c r="BJ8" i="3"/>
  <c r="C65" i="3"/>
  <c r="B5" i="4"/>
  <c r="B8" i="4"/>
  <c r="BJ21" i="3"/>
  <c r="B18" i="4"/>
  <c r="V18" i="4" s="1"/>
  <c r="B24" i="4"/>
  <c r="B42" i="4"/>
  <c r="G45" i="3"/>
  <c r="B17" i="4"/>
  <c r="B35" i="4"/>
  <c r="B50" i="4"/>
  <c r="BJ61" i="3"/>
  <c r="B58" i="4"/>
  <c r="G61" i="3"/>
  <c r="B7" i="4"/>
  <c r="B29" i="4"/>
  <c r="G32" i="3"/>
  <c r="B25" i="4"/>
  <c r="BJ64" i="3"/>
  <c r="B61" i="4"/>
  <c r="B19" i="4"/>
  <c r="D5" i="3"/>
  <c r="F5" i="3"/>
  <c r="B28" i="4"/>
  <c r="BJ39" i="3"/>
  <c r="B36" i="4"/>
  <c r="V36" i="4" s="1"/>
  <c r="BJ58" i="3"/>
  <c r="B55" i="4"/>
  <c r="V55" i="4" s="1"/>
  <c r="B53" i="4"/>
  <c r="B15" i="4"/>
  <c r="B12" i="4"/>
  <c r="B30" i="4"/>
  <c r="BJ57" i="3"/>
  <c r="B54" i="4"/>
  <c r="V54" i="4" s="1"/>
  <c r="C5" i="3"/>
  <c r="B22" i="4"/>
  <c r="V22" i="4" s="1"/>
  <c r="BJ25" i="3"/>
  <c r="B16" i="4"/>
  <c r="B56" i="4"/>
  <c r="BJ42" i="3"/>
  <c r="B39" i="4"/>
  <c r="V39" i="4" s="1"/>
  <c r="BJ12" i="3"/>
  <c r="B9" i="4"/>
  <c r="V9" i="4" s="1"/>
  <c r="B11" i="4"/>
  <c r="G14" i="3"/>
  <c r="BJ51" i="3"/>
  <c r="B48" i="4"/>
  <c r="G51" i="3"/>
  <c r="B6" i="4"/>
  <c r="B49" i="4"/>
  <c r="B21" i="4"/>
  <c r="B27" i="4"/>
  <c r="B26" i="4"/>
  <c r="G29" i="3"/>
  <c r="BJ34" i="3"/>
  <c r="B31" i="4"/>
  <c r="V31" i="4" s="1"/>
  <c r="B14" i="4"/>
  <c r="J14" i="26"/>
  <c r="J35" i="5"/>
  <c r="H35" i="5"/>
  <c r="H14" i="26"/>
  <c r="G35" i="5"/>
  <c r="G14" i="26"/>
  <c r="P35" i="5"/>
  <c r="BS6" i="3" l="1"/>
  <c r="G5" i="3"/>
  <c r="AC5" i="4"/>
  <c r="D63" i="4"/>
  <c r="D65" i="4" s="1"/>
  <c r="J5" i="2"/>
  <c r="J63" i="2" s="1"/>
  <c r="BQ65" i="3"/>
  <c r="F66" i="3"/>
  <c r="F67" i="3"/>
  <c r="BM38" i="3"/>
  <c r="F35" i="2" s="1"/>
  <c r="C35" i="4"/>
  <c r="Y35" i="4" s="1"/>
  <c r="BM52" i="3"/>
  <c r="F49" i="2" s="1"/>
  <c r="C49" i="4"/>
  <c r="Y49" i="4" s="1"/>
  <c r="BM24" i="3"/>
  <c r="F21" i="2" s="1"/>
  <c r="C21" i="4"/>
  <c r="Y21" i="4" s="1"/>
  <c r="BM39" i="3"/>
  <c r="F36" i="2" s="1"/>
  <c r="C36" i="4"/>
  <c r="Y36" i="4" s="1"/>
  <c r="BM26" i="3"/>
  <c r="F23" i="2" s="1"/>
  <c r="C23" i="4"/>
  <c r="Y23" i="4" s="1"/>
  <c r="BM18" i="3"/>
  <c r="F15" i="2" s="1"/>
  <c r="C15" i="4"/>
  <c r="Y15" i="4" s="1"/>
  <c r="BM14" i="3"/>
  <c r="F11" i="2" s="1"/>
  <c r="C11" i="4"/>
  <c r="Y11" i="4" s="1"/>
  <c r="BM17" i="3"/>
  <c r="F14" i="2" s="1"/>
  <c r="C14" i="4"/>
  <c r="Y14" i="4" s="1"/>
  <c r="BM20" i="3"/>
  <c r="F17" i="2" s="1"/>
  <c r="C17" i="4"/>
  <c r="Y17" i="4" s="1"/>
  <c r="C22" i="4"/>
  <c r="Y22" i="4" s="1"/>
  <c r="AD22" i="4" s="1"/>
  <c r="BM25" i="3"/>
  <c r="F22" i="2" s="1"/>
  <c r="BM11" i="3"/>
  <c r="F8" i="2" s="1"/>
  <c r="C8" i="4"/>
  <c r="Y8" i="4" s="1"/>
  <c r="BM19" i="3"/>
  <c r="F16" i="2" s="1"/>
  <c r="C16" i="4"/>
  <c r="Y16" i="4" s="1"/>
  <c r="BM8" i="3"/>
  <c r="BR8" i="3" s="1"/>
  <c r="BS8" i="3" s="1"/>
  <c r="C5" i="4"/>
  <c r="D65" i="3"/>
  <c r="BM12" i="3"/>
  <c r="F9" i="2" s="1"/>
  <c r="C9" i="4"/>
  <c r="Y9" i="4" s="1"/>
  <c r="BM27" i="3"/>
  <c r="F24" i="2" s="1"/>
  <c r="C24" i="4"/>
  <c r="Y24" i="4" s="1"/>
  <c r="BM22" i="3"/>
  <c r="F19" i="2" s="1"/>
  <c r="C19" i="4"/>
  <c r="Y19" i="4" s="1"/>
  <c r="G38" i="3"/>
  <c r="BM61" i="3"/>
  <c r="F58" i="2" s="1"/>
  <c r="C58" i="4"/>
  <c r="Y58" i="4" s="1"/>
  <c r="BM51" i="3"/>
  <c r="F48" i="2" s="1"/>
  <c r="C48" i="4"/>
  <c r="Y48" i="4" s="1"/>
  <c r="BM29" i="3"/>
  <c r="F26" i="2" s="1"/>
  <c r="C26" i="4"/>
  <c r="Y26" i="4" s="1"/>
  <c r="BM45" i="3"/>
  <c r="F42" i="2" s="1"/>
  <c r="C42" i="4"/>
  <c r="Y42" i="4" s="1"/>
  <c r="BM35" i="3"/>
  <c r="F32" i="2" s="1"/>
  <c r="C32" i="4"/>
  <c r="Y32" i="4" s="1"/>
  <c r="BM58" i="3"/>
  <c r="F55" i="2" s="1"/>
  <c r="C55" i="4"/>
  <c r="Y55" i="4" s="1"/>
  <c r="G27" i="3"/>
  <c r="BM42" i="3"/>
  <c r="F39" i="2" s="1"/>
  <c r="C39" i="4"/>
  <c r="Y39" i="4" s="1"/>
  <c r="BM30" i="3"/>
  <c r="F27" i="2" s="1"/>
  <c r="C27" i="4"/>
  <c r="Y27" i="4" s="1"/>
  <c r="BM34" i="3"/>
  <c r="F31" i="2" s="1"/>
  <c r="C31" i="4"/>
  <c r="Y31" i="4" s="1"/>
  <c r="BM57" i="3"/>
  <c r="F54" i="2" s="1"/>
  <c r="C54" i="4"/>
  <c r="Y54" i="4" s="1"/>
  <c r="BM56" i="3"/>
  <c r="F53" i="2" s="1"/>
  <c r="C53" i="4"/>
  <c r="Y53" i="4" s="1"/>
  <c r="BM59" i="3"/>
  <c r="F56" i="2" s="1"/>
  <c r="C56" i="4"/>
  <c r="Y56" i="4" s="1"/>
  <c r="BM64" i="3"/>
  <c r="F61" i="2" s="1"/>
  <c r="C61" i="4"/>
  <c r="Y61" i="4" s="1"/>
  <c r="BM41" i="3"/>
  <c r="F38" i="2" s="1"/>
  <c r="C38" i="4"/>
  <c r="Y38" i="4" s="1"/>
  <c r="BM28" i="3"/>
  <c r="F25" i="2" s="1"/>
  <c r="C25" i="4"/>
  <c r="Y25" i="4" s="1"/>
  <c r="BM32" i="3"/>
  <c r="F29" i="2" s="1"/>
  <c r="C29" i="4"/>
  <c r="Y29" i="4" s="1"/>
  <c r="BM23" i="3"/>
  <c r="F20" i="2" s="1"/>
  <c r="C20" i="4"/>
  <c r="Y20" i="4" s="1"/>
  <c r="BM10" i="3"/>
  <c r="F7" i="2" s="1"/>
  <c r="C7" i="4"/>
  <c r="Y7" i="4" s="1"/>
  <c r="G22" i="3"/>
  <c r="G20" i="3"/>
  <c r="BM33" i="3"/>
  <c r="F30" i="2" s="1"/>
  <c r="C30" i="4"/>
  <c r="Y30" i="4" s="1"/>
  <c r="BM9" i="3"/>
  <c r="F6" i="2" s="1"/>
  <c r="C6" i="4"/>
  <c r="Y6" i="4" s="1"/>
  <c r="BM53" i="3"/>
  <c r="F50" i="2" s="1"/>
  <c r="C50" i="4"/>
  <c r="Y50" i="4" s="1"/>
  <c r="BM31" i="3"/>
  <c r="F28" i="2" s="1"/>
  <c r="C28" i="4"/>
  <c r="Y28" i="4" s="1"/>
  <c r="BM15" i="3"/>
  <c r="F12" i="2" s="1"/>
  <c r="C12" i="4"/>
  <c r="Y12" i="4" s="1"/>
  <c r="BM21" i="3"/>
  <c r="F18" i="2" s="1"/>
  <c r="C18" i="4"/>
  <c r="Y18" i="4" s="1"/>
  <c r="C55" i="2"/>
  <c r="C31" i="2"/>
  <c r="K31" i="2" s="1"/>
  <c r="C9" i="2"/>
  <c r="C54" i="2"/>
  <c r="C67" i="3"/>
  <c r="C66" i="3"/>
  <c r="V5" i="4"/>
  <c r="B63" i="4"/>
  <c r="B65" i="4" s="1"/>
  <c r="C36" i="2"/>
  <c r="C5" i="2"/>
  <c r="C39" i="2"/>
  <c r="C22" i="2"/>
  <c r="C18" i="2"/>
  <c r="I35" i="5"/>
  <c r="F35" i="5" s="1"/>
  <c r="I14" i="26"/>
  <c r="K54" i="2" l="1"/>
  <c r="BR34" i="3"/>
  <c r="BS34" i="3" s="1"/>
  <c r="BR51" i="3"/>
  <c r="K55" i="2"/>
  <c r="K36" i="2"/>
  <c r="BR39" i="3"/>
  <c r="BS39" i="3" s="1"/>
  <c r="K18" i="2"/>
  <c r="BR21" i="3"/>
  <c r="BS21" i="3" s="1"/>
  <c r="G65" i="3"/>
  <c r="G66" i="3" s="1"/>
  <c r="BR64" i="3"/>
  <c r="BQ66" i="3"/>
  <c r="AC64" i="4"/>
  <c r="BR57" i="3"/>
  <c r="BS57" i="3" s="1"/>
  <c r="BR61" i="3"/>
  <c r="BR58" i="3"/>
  <c r="BS58" i="3" s="1"/>
  <c r="D66" i="3"/>
  <c r="D67" i="3"/>
  <c r="Y5" i="4"/>
  <c r="C63" i="4"/>
  <c r="C65" i="4" s="1"/>
  <c r="K22" i="2"/>
  <c r="F5" i="2"/>
  <c r="F63" i="2" s="1"/>
  <c r="BM65" i="3"/>
  <c r="BR25" i="3"/>
  <c r="BS25" i="3" s="1"/>
  <c r="K9" i="2"/>
  <c r="K39" i="2"/>
  <c r="BR12" i="3"/>
  <c r="BS12" i="3" s="1"/>
  <c r="BR42" i="3"/>
  <c r="BS42" i="3" s="1"/>
  <c r="T15" i="3"/>
  <c r="E12" i="4" l="1"/>
  <c r="V12" i="4" s="1"/>
  <c r="BJ15" i="3"/>
  <c r="BR15" i="3" s="1"/>
  <c r="G67" i="3"/>
  <c r="K5" i="2"/>
  <c r="BM66" i="3"/>
  <c r="Y64" i="4"/>
  <c r="T11" i="3"/>
  <c r="T27" i="3"/>
  <c r="T9" i="3"/>
  <c r="T14" i="3"/>
  <c r="T33" i="3"/>
  <c r="T59" i="3"/>
  <c r="T28" i="3"/>
  <c r="T17" i="3"/>
  <c r="T29" i="3"/>
  <c r="T22" i="3"/>
  <c r="T56" i="3"/>
  <c r="T19" i="3"/>
  <c r="T41" i="3"/>
  <c r="T18" i="3"/>
  <c r="T35" i="3"/>
  <c r="T38" i="3"/>
  <c r="T45" i="3"/>
  <c r="T31" i="3"/>
  <c r="T23" i="3"/>
  <c r="T26" i="3"/>
  <c r="T32" i="3"/>
  <c r="T20" i="3"/>
  <c r="T52" i="3"/>
  <c r="T24" i="3"/>
  <c r="T10" i="3"/>
  <c r="T53" i="3"/>
  <c r="T30" i="3"/>
  <c r="E14" i="4" l="1"/>
  <c r="BJ17" i="3"/>
  <c r="BR17" i="3" s="1"/>
  <c r="E26" i="4"/>
  <c r="BJ29" i="3"/>
  <c r="BR29" i="3" s="1"/>
  <c r="E25" i="4"/>
  <c r="BJ28" i="3"/>
  <c r="BR28" i="3" s="1"/>
  <c r="E15" i="4"/>
  <c r="BJ18" i="3"/>
  <c r="BR18" i="3" s="1"/>
  <c r="E56" i="4"/>
  <c r="BJ59" i="3"/>
  <c r="BR59" i="3" s="1"/>
  <c r="E8" i="4"/>
  <c r="BJ11" i="3"/>
  <c r="BR11" i="3" s="1"/>
  <c r="E32" i="4"/>
  <c r="BJ35" i="3"/>
  <c r="BR35" i="3" s="1"/>
  <c r="E38" i="4"/>
  <c r="V38" i="4" s="1"/>
  <c r="BJ41" i="3"/>
  <c r="BR41" i="3" s="1"/>
  <c r="E30" i="4"/>
  <c r="BJ33" i="3"/>
  <c r="BR33" i="3" s="1"/>
  <c r="E42" i="4"/>
  <c r="V42" i="4" s="1"/>
  <c r="BJ45" i="3"/>
  <c r="BR45" i="3" s="1"/>
  <c r="E35" i="4"/>
  <c r="BJ38" i="3"/>
  <c r="BR38" i="3" s="1"/>
  <c r="E23" i="4"/>
  <c r="BJ26" i="3"/>
  <c r="BR26" i="3" s="1"/>
  <c r="E11" i="4"/>
  <c r="BJ14" i="3"/>
  <c r="BR14" i="3" s="1"/>
  <c r="E21" i="4"/>
  <c r="V21" i="4" s="1"/>
  <c r="BJ24" i="3"/>
  <c r="BR24" i="3" s="1"/>
  <c r="E49" i="4"/>
  <c r="BJ52" i="3"/>
  <c r="BR52" i="3" s="1"/>
  <c r="E29" i="4"/>
  <c r="BJ32" i="3"/>
  <c r="BR32" i="3" s="1"/>
  <c r="E27" i="4"/>
  <c r="BJ30" i="3"/>
  <c r="BR30" i="3" s="1"/>
  <c r="E53" i="4"/>
  <c r="BJ56" i="3"/>
  <c r="BR56" i="3" s="1"/>
  <c r="E6" i="4"/>
  <c r="BJ9" i="3"/>
  <c r="E7" i="4"/>
  <c r="BJ10" i="3"/>
  <c r="BR10" i="3" s="1"/>
  <c r="E17" i="4"/>
  <c r="BJ20" i="3"/>
  <c r="BR20" i="3" s="1"/>
  <c r="E16" i="4"/>
  <c r="BJ19" i="3"/>
  <c r="BR19" i="3" s="1"/>
  <c r="E20" i="4"/>
  <c r="BJ23" i="3"/>
  <c r="BR23" i="3" s="1"/>
  <c r="E50" i="4"/>
  <c r="V50" i="4" s="1"/>
  <c r="BJ53" i="3"/>
  <c r="BR53" i="3" s="1"/>
  <c r="E28" i="4"/>
  <c r="BJ31" i="3"/>
  <c r="BR31" i="3" s="1"/>
  <c r="E19" i="4"/>
  <c r="BJ22" i="3"/>
  <c r="BR22" i="3" s="1"/>
  <c r="E24" i="4"/>
  <c r="BJ27" i="3"/>
  <c r="BR27" i="3" s="1"/>
  <c r="C12" i="2"/>
  <c r="K12" i="2" s="1"/>
  <c r="BS15" i="3"/>
  <c r="V11" i="4"/>
  <c r="V6" i="4"/>
  <c r="V30" i="4"/>
  <c r="V48" i="4"/>
  <c r="V26" i="4"/>
  <c r="V24" i="4"/>
  <c r="V7" i="4"/>
  <c r="V28" i="4"/>
  <c r="V35" i="4"/>
  <c r="V14" i="4"/>
  <c r="V8" i="4"/>
  <c r="V61" i="4"/>
  <c r="V20" i="4"/>
  <c r="V53" i="4"/>
  <c r="V17" i="4"/>
  <c r="V32" i="4"/>
  <c r="V15" i="4"/>
  <c r="V25" i="4"/>
  <c r="V16" i="4"/>
  <c r="V19" i="4"/>
  <c r="V49" i="4"/>
  <c r="V58" i="4"/>
  <c r="V29" i="4"/>
  <c r="V27" i="4"/>
  <c r="V23" i="4"/>
  <c r="V56" i="4"/>
  <c r="T65" i="3"/>
  <c r="BR9" i="3" l="1"/>
  <c r="BJ65" i="3"/>
  <c r="C48" i="2"/>
  <c r="K48" i="2" s="1"/>
  <c r="BS51" i="3"/>
  <c r="C8" i="2"/>
  <c r="K8" i="2" s="1"/>
  <c r="BS11" i="3"/>
  <c r="C27" i="2"/>
  <c r="K27" i="2" s="1"/>
  <c r="BS30" i="3"/>
  <c r="C19" i="2"/>
  <c r="K19" i="2" s="1"/>
  <c r="BS22" i="3"/>
  <c r="C32" i="2"/>
  <c r="K32" i="2" s="1"/>
  <c r="BS35" i="3"/>
  <c r="C20" i="2"/>
  <c r="K20" i="2" s="1"/>
  <c r="BS23" i="3"/>
  <c r="C14" i="2"/>
  <c r="K14" i="2" s="1"/>
  <c r="BS17" i="3"/>
  <c r="C7" i="2"/>
  <c r="K7" i="2" s="1"/>
  <c r="BS10" i="3"/>
  <c r="C30" i="2"/>
  <c r="K30" i="2" s="1"/>
  <c r="BS33" i="3"/>
  <c r="C23" i="2"/>
  <c r="K23" i="2" s="1"/>
  <c r="BS26" i="3"/>
  <c r="C28" i="2"/>
  <c r="K28" i="2" s="1"/>
  <c r="BS31" i="3"/>
  <c r="C56" i="2"/>
  <c r="K56" i="2" s="1"/>
  <c r="BS59" i="3"/>
  <c r="C29" i="2"/>
  <c r="K29" i="2" s="1"/>
  <c r="BS32" i="3"/>
  <c r="C16" i="2"/>
  <c r="K16" i="2" s="1"/>
  <c r="BS19" i="3"/>
  <c r="C17" i="2"/>
  <c r="K17" i="2" s="1"/>
  <c r="BS20" i="3"/>
  <c r="C61" i="2"/>
  <c r="K61" i="2" s="1"/>
  <c r="BS64" i="3"/>
  <c r="C35" i="2"/>
  <c r="K35" i="2" s="1"/>
  <c r="BS38" i="3"/>
  <c r="C24" i="2"/>
  <c r="K24" i="2" s="1"/>
  <c r="BS27" i="3"/>
  <c r="C6" i="2"/>
  <c r="K6" i="2" s="1"/>
  <c r="BS9" i="3"/>
  <c r="C49" i="2"/>
  <c r="K49" i="2" s="1"/>
  <c r="BS52" i="3"/>
  <c r="C53" i="2"/>
  <c r="K53" i="2" s="1"/>
  <c r="BS56" i="3"/>
  <c r="C38" i="2"/>
  <c r="K38" i="2" s="1"/>
  <c r="BS41" i="3"/>
  <c r="C25" i="2"/>
  <c r="K25" i="2" s="1"/>
  <c r="BS28" i="3"/>
  <c r="C21" i="2"/>
  <c r="K21" i="2" s="1"/>
  <c r="BS24" i="3"/>
  <c r="C50" i="2"/>
  <c r="K50" i="2" s="1"/>
  <c r="BS53" i="3"/>
  <c r="C42" i="2"/>
  <c r="K42" i="2" s="1"/>
  <c r="BS45" i="3"/>
  <c r="C26" i="2"/>
  <c r="K26" i="2" s="1"/>
  <c r="BS29" i="3"/>
  <c r="C11" i="2"/>
  <c r="K11" i="2" s="1"/>
  <c r="BS14" i="3"/>
  <c r="C15" i="2"/>
  <c r="K15" i="2" s="1"/>
  <c r="BS18" i="3"/>
  <c r="C58" i="2"/>
  <c r="K58" i="2" s="1"/>
  <c r="BS61" i="3"/>
  <c r="BQ5" i="3"/>
  <c r="BM5" i="3"/>
  <c r="BP5" i="3"/>
  <c r="BO5" i="3"/>
  <c r="BN5" i="3"/>
  <c r="BI5" i="3"/>
  <c r="BK5" i="3"/>
  <c r="BL5" i="3"/>
  <c r="T67" i="3"/>
  <c r="T66" i="3"/>
  <c r="BJ67" i="3" l="1"/>
  <c r="BJ66" i="3"/>
  <c r="BR5" i="3"/>
  <c r="BA67" i="3" l="1"/>
  <c r="BB67" i="3" l="1"/>
  <c r="AZ67" i="3" l="1"/>
  <c r="BC67" i="3" l="1"/>
  <c r="I41" i="4" l="1"/>
  <c r="V41" i="4" s="1"/>
  <c r="C4" i="2"/>
  <c r="K4" i="2" s="1"/>
  <c r="I51" i="4"/>
  <c r="V51" i="4" s="1"/>
  <c r="I34" i="4"/>
  <c r="V34" i="4" s="1"/>
  <c r="I10" i="4"/>
  <c r="V10" i="4" s="1"/>
  <c r="I60" i="4"/>
  <c r="V60" i="4" s="1"/>
  <c r="I13" i="4"/>
  <c r="V13" i="4" s="1"/>
  <c r="I46" i="4"/>
  <c r="V46" i="4" s="1"/>
  <c r="I44" i="4"/>
  <c r="V44" i="4" s="1"/>
  <c r="I59" i="4"/>
  <c r="V59" i="4" s="1"/>
  <c r="I40" i="4"/>
  <c r="V40" i="4" s="1"/>
  <c r="I33" i="4"/>
  <c r="V33" i="4" s="1"/>
  <c r="I57" i="4"/>
  <c r="V57" i="4" s="1"/>
  <c r="I4" i="4"/>
  <c r="V4" i="4" s="1"/>
  <c r="I47" i="4"/>
  <c r="V47" i="4" s="1"/>
  <c r="I43" i="4"/>
  <c r="V43" i="4" s="1"/>
  <c r="I37" i="4"/>
  <c r="V37" i="4" s="1"/>
  <c r="I52" i="4"/>
  <c r="V52" i="4" s="1"/>
  <c r="I45" i="4"/>
  <c r="V45" i="4" s="1"/>
  <c r="K60" i="4"/>
  <c r="AC60" i="4" s="1"/>
  <c r="K51" i="4"/>
  <c r="AC51" i="4" s="1"/>
  <c r="K43" i="4"/>
  <c r="AC43" i="4" s="1"/>
  <c r="K59" i="4"/>
  <c r="AC59" i="4" s="1"/>
  <c r="K47" i="4"/>
  <c r="AC47" i="4" s="1"/>
  <c r="K45" i="4"/>
  <c r="AC45" i="4" s="1"/>
  <c r="K34" i="4"/>
  <c r="AC34" i="4" s="1"/>
  <c r="K52" i="4"/>
  <c r="AC52" i="4" s="1"/>
  <c r="K40" i="4"/>
  <c r="AC40" i="4" s="1"/>
  <c r="K37" i="4"/>
  <c r="AC37" i="4" s="1"/>
  <c r="K44" i="4"/>
  <c r="AC44" i="4" s="1"/>
  <c r="K57" i="4"/>
  <c r="AC57" i="4" s="1"/>
  <c r="K46" i="4"/>
  <c r="AC46" i="4" s="1"/>
  <c r="K10" i="4"/>
  <c r="AC10" i="4" s="1"/>
  <c r="K41" i="4"/>
  <c r="AC41" i="4" s="1"/>
  <c r="K33" i="4"/>
  <c r="AC33" i="4" s="1"/>
  <c r="K13" i="4"/>
  <c r="AC13" i="4" s="1"/>
  <c r="J4" i="4"/>
  <c r="Y4" i="4" s="1"/>
  <c r="K4" i="4"/>
  <c r="AC4" i="4" s="1"/>
  <c r="J45" i="4"/>
  <c r="Y45" i="4" s="1"/>
  <c r="J57" i="4"/>
  <c r="Y57" i="4" s="1"/>
  <c r="J44" i="4"/>
  <c r="Y44" i="4" s="1"/>
  <c r="J40" i="4"/>
  <c r="Y40" i="4" s="1"/>
  <c r="J60" i="4"/>
  <c r="Y60" i="4" s="1"/>
  <c r="J47" i="4"/>
  <c r="Y47" i="4" s="1"/>
  <c r="J10" i="4"/>
  <c r="Y10" i="4" s="1"/>
  <c r="J34" i="4"/>
  <c r="Y34" i="4" s="1"/>
  <c r="J46" i="4"/>
  <c r="Y46" i="4" s="1"/>
  <c r="J37" i="4"/>
  <c r="Y37" i="4" s="1"/>
  <c r="J13" i="4"/>
  <c r="Y13" i="4" s="1"/>
  <c r="J41" i="4"/>
  <c r="Y41" i="4" s="1"/>
  <c r="J43" i="4"/>
  <c r="Y43" i="4" s="1"/>
  <c r="J52" i="4"/>
  <c r="Y52" i="4" s="1"/>
  <c r="J51" i="4"/>
  <c r="Y51" i="4" s="1"/>
  <c r="J33" i="4"/>
  <c r="Y33" i="4" s="1"/>
  <c r="J59" i="4"/>
  <c r="Y59" i="4" s="1"/>
  <c r="AV67" i="3"/>
  <c r="AS67" i="3"/>
  <c r="AT67" i="3"/>
  <c r="AU67" i="3"/>
  <c r="AD52" i="4" l="1"/>
  <c r="AD47" i="4"/>
  <c r="AD13" i="4"/>
  <c r="AE13" i="4" s="1"/>
  <c r="AD4" i="4"/>
  <c r="AD33" i="4"/>
  <c r="AE33" i="4" s="1"/>
  <c r="AD60" i="4"/>
  <c r="AC63" i="4"/>
  <c r="J64" i="2" s="1"/>
  <c r="AD57" i="4"/>
  <c r="AD10" i="4"/>
  <c r="AE10" i="4" s="1"/>
  <c r="AD34" i="4"/>
  <c r="AE34" i="4" s="1"/>
  <c r="AD45" i="4"/>
  <c r="AD40" i="4"/>
  <c r="AD51" i="4"/>
  <c r="AD59" i="4"/>
  <c r="AD37" i="4"/>
  <c r="AD44" i="4"/>
  <c r="AD41" i="4"/>
  <c r="AD43" i="4"/>
  <c r="AE43" i="4" s="1"/>
  <c r="AD46" i="4"/>
  <c r="K63" i="4"/>
  <c r="K65" i="4" s="1"/>
  <c r="I63" i="4"/>
  <c r="I65" i="4" s="1"/>
  <c r="V64" i="4"/>
  <c r="BR65" i="3"/>
  <c r="J63" i="4"/>
  <c r="J65" i="4" s="1"/>
  <c r="AD64" i="4" l="1"/>
  <c r="K63" i="2"/>
  <c r="BR66" i="3"/>
  <c r="AE4" i="4"/>
  <c r="AE46" i="4"/>
  <c r="AE59" i="4"/>
  <c r="AE41" i="4"/>
  <c r="AE60" i="4"/>
  <c r="AE40" i="4"/>
  <c r="AE51" i="4"/>
  <c r="AE57" i="4"/>
  <c r="AE52" i="4"/>
  <c r="AE47" i="4"/>
  <c r="AE37" i="4"/>
  <c r="AE44" i="4"/>
  <c r="C63" i="2"/>
  <c r="AE45" i="4"/>
  <c r="BR67" i="3" l="1"/>
  <c r="AE22" i="4" l="1"/>
  <c r="V63" i="4"/>
  <c r="C64" i="2" s="1"/>
  <c r="E63" i="4" l="1"/>
  <c r="E65" i="4" s="1"/>
  <c r="Y63" i="4" l="1"/>
  <c r="F64" i="2" s="1"/>
  <c r="AD54" i="4"/>
  <c r="AE54" i="4" s="1"/>
  <c r="AD7" i="4"/>
  <c r="AE7" i="4" s="1"/>
  <c r="AD39" i="4"/>
  <c r="AE39" i="4" s="1"/>
  <c r="AD31" i="4"/>
  <c r="AE31" i="4" s="1"/>
  <c r="AD56" i="4"/>
  <c r="AE56" i="4" s="1"/>
  <c r="AD61" i="4"/>
  <c r="AE61" i="4" s="1"/>
  <c r="AD8" i="4"/>
  <c r="AE8" i="4" s="1"/>
  <c r="AD14" i="4"/>
  <c r="AE14" i="4" s="1"/>
  <c r="AD49" i="4"/>
  <c r="AE49" i="4" s="1"/>
  <c r="AD6" i="4"/>
  <c r="AE6" i="4" s="1"/>
  <c r="AD9" i="4"/>
  <c r="AE9" i="4" s="1"/>
  <c r="AD26" i="4"/>
  <c r="AE26" i="4" s="1"/>
  <c r="AD35" i="4"/>
  <c r="AE35" i="4" s="1"/>
  <c r="AD50" i="4"/>
  <c r="AE50" i="4" s="1"/>
  <c r="AD28" i="4"/>
  <c r="AE28" i="4" s="1"/>
  <c r="AD20" i="4"/>
  <c r="AE20" i="4" s="1"/>
  <c r="AD25" i="4"/>
  <c r="AE25" i="4" s="1"/>
  <c r="AD21" i="4"/>
  <c r="AE21" i="4" s="1"/>
  <c r="AD58" i="4"/>
  <c r="AE58" i="4" s="1"/>
  <c r="AD30" i="4"/>
  <c r="AE30" i="4" s="1"/>
  <c r="AD55" i="4"/>
  <c r="AE55" i="4" s="1"/>
  <c r="AD48" i="4"/>
  <c r="AE48" i="4" s="1"/>
  <c r="AD23" i="4"/>
  <c r="AE23" i="4" s="1"/>
  <c r="AD12" i="4"/>
  <c r="AE12" i="4" s="1"/>
  <c r="AD17" i="4"/>
  <c r="AE17" i="4" s="1"/>
  <c r="AD29" i="4"/>
  <c r="AE29" i="4" s="1"/>
  <c r="AD15" i="4"/>
  <c r="AE15" i="4" s="1"/>
  <c r="AD11" i="4"/>
  <c r="AE11" i="4" s="1"/>
  <c r="AD36" i="4"/>
  <c r="AE36" i="4" s="1"/>
  <c r="AD16" i="4"/>
  <c r="AE16" i="4" s="1"/>
  <c r="AD5" i="4"/>
  <c r="AD24" i="4"/>
  <c r="AE24" i="4" s="1"/>
  <c r="AD42" i="4"/>
  <c r="AE42" i="4" s="1"/>
  <c r="AD53" i="4"/>
  <c r="AE53" i="4" s="1"/>
  <c r="AD18" i="4"/>
  <c r="AE18" i="4" s="1"/>
  <c r="AD32" i="4"/>
  <c r="AE32" i="4" s="1"/>
  <c r="AD27" i="4"/>
  <c r="AE27" i="4" s="1"/>
  <c r="AD38" i="4"/>
  <c r="AE38" i="4" s="1"/>
  <c r="AD19" i="4"/>
  <c r="AE19" i="4" s="1"/>
  <c r="AD63" i="4" l="1"/>
  <c r="AE5" i="4"/>
  <c r="AE63" i="4" l="1"/>
  <c r="K64" i="2"/>
  <c r="AD65" i="4"/>
  <c r="AO67" i="3" l="1"/>
  <c r="BS65" i="3"/>
  <c r="AO6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Tina Weinmeister</author>
  </authors>
  <commentList>
    <comment ref="C3" authorId="0" shapeId="0" xr:uid="{00000000-0006-0000-0300-000001000000}">
      <text>
        <r>
          <rPr>
            <b/>
            <sz val="8"/>
            <color indexed="81"/>
            <rFont val="Tahoma"/>
            <family val="2"/>
          </rPr>
          <t>0 - Original
1 - Adjustment #1
2 - Adjustment #2
Etc.</t>
        </r>
      </text>
    </comment>
    <comment ref="D3" authorId="1" shapeId="0" xr:uid="{00000000-0006-0000-0300-000002000000}">
      <text>
        <r>
          <rPr>
            <sz val="9"/>
            <color indexed="81"/>
            <rFont val="Tahoma"/>
            <family val="2"/>
          </rPr>
          <t>Enter the month in which the claim was submitted.  For example, if an April Claim is submitted in June, enter the Claim Month as April and the Claim Month Submitted as June.</t>
        </r>
      </text>
    </comment>
    <comment ref="A33" authorId="2" shapeId="0" xr:uid="{00000000-0006-0000-0300-000003000000}">
      <text>
        <r>
          <rPr>
            <b/>
            <sz val="9"/>
            <color indexed="81"/>
            <rFont val="Tahoma"/>
            <family val="2"/>
          </rPr>
          <t>Tina Weinmeister:</t>
        </r>
        <r>
          <rPr>
            <sz val="9"/>
            <color indexed="81"/>
            <rFont val="Tahoma"/>
            <family val="2"/>
          </rPr>
          <t xml:space="preserve">
Current Quarter CAP Adjustment: Adjustment to account for variances that occur due to rounding when costs are claimed across multiple counties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04EB47DC-9FB5-4FCA-9148-F3006A2C4391}">
      <text>
        <r>
          <rPr>
            <b/>
            <sz val="8"/>
            <color indexed="81"/>
            <rFont val="Tahoma"/>
            <family val="2"/>
          </rPr>
          <t>0 - Original
1 - Adjustment #1
2 - Adjustment #2
Etc.</t>
        </r>
      </text>
    </comment>
    <comment ref="D3" authorId="1" shapeId="0" xr:uid="{8C87EA72-11BD-44AB-A72F-6BEEB47B5EF9}">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34F0C1F9-2A21-4C5A-BF12-1F63DC55BEF3}">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32CEC43A-B01D-425C-836C-A4938D3C26C2}">
      <text>
        <r>
          <rPr>
            <b/>
            <sz val="8"/>
            <color indexed="81"/>
            <rFont val="Tahoma"/>
            <family val="2"/>
          </rPr>
          <t>0 - Original
1 - Adjustment #1
2 - Adjustment #2
Etc.</t>
        </r>
      </text>
    </comment>
    <comment ref="D3" authorId="1" shapeId="0" xr:uid="{F4FA27B0-DDC8-49A0-B0B7-F386E6E9970E}">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873013A5-1E22-4DC7-A39E-D8BDB85FB7A3}">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8ECBE8D8-2545-4C64-87AB-7DFF5CC62CAC}">
      <text>
        <r>
          <rPr>
            <b/>
            <sz val="8"/>
            <color indexed="81"/>
            <rFont val="Tahoma"/>
            <family val="2"/>
          </rPr>
          <t>0 - Original
1 - Adjustment #1
2 - Adjustment #2
Etc.</t>
        </r>
      </text>
    </comment>
    <comment ref="D3" authorId="1" shapeId="0" xr:uid="{C07CD17B-762D-47E3-9ADF-510B598CBD24}">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7E7C9EAF-35DD-4EF7-9DB6-7F168665513E}">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BAE9B649-679E-4A15-AE4D-543025090CE8}">
      <text>
        <r>
          <rPr>
            <b/>
            <sz val="8"/>
            <color indexed="81"/>
            <rFont val="Tahoma"/>
            <family val="2"/>
          </rPr>
          <t>0 - Original
1 - Adjustment #1
2 - Adjustment #2
Etc.</t>
        </r>
      </text>
    </comment>
    <comment ref="D3" authorId="1" shapeId="0" xr:uid="{FED1247F-D4F3-4715-8FA9-7569FCB51A4F}">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F92C574F-F8AD-4D0D-B3E8-A75E8DB13D0D}">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0B570993-E15D-46F6-BDDC-FE02B61C5864}">
      <text>
        <r>
          <rPr>
            <b/>
            <sz val="8"/>
            <color indexed="81"/>
            <rFont val="Tahoma"/>
            <family val="2"/>
          </rPr>
          <t>0 - Original
1 - Adjustment #1
2 - Adjustment #2
Etc.</t>
        </r>
      </text>
    </comment>
    <comment ref="D3" authorId="1" shapeId="0" xr:uid="{57D249E4-0B9B-40EB-9659-B157AD9FF6A0}">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B3BEBA0E-25D8-4A3F-8C9A-59B4F3365FD3}">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508C8719-373B-4A21-A302-26E5333E73B0}">
      <text>
        <r>
          <rPr>
            <b/>
            <sz val="8"/>
            <color indexed="81"/>
            <rFont val="Tahoma"/>
            <family val="2"/>
          </rPr>
          <t>0 - Original
1 - Adjustment #1
2 - Adjustment #2
Etc.</t>
        </r>
      </text>
    </comment>
    <comment ref="D3" authorId="1" shapeId="0" xr:uid="{3F6701C2-020B-45D3-8A7D-18EEE1870822}">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ED5517C3-7FE7-4191-A5C7-294D8FA210BC}">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4FF4FF60-2367-4E63-B481-4C9820714F61}">
      <text>
        <r>
          <rPr>
            <b/>
            <sz val="8"/>
            <color indexed="81"/>
            <rFont val="Tahoma"/>
            <family val="2"/>
          </rPr>
          <t>0 - Original
1 - Adjustment #1
2 - Adjustment #2
Etc.</t>
        </r>
      </text>
    </comment>
    <comment ref="D3" authorId="1" shapeId="0" xr:uid="{32F3B56D-A601-4742-9D56-B94AC6E14F97}">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DA082AA9-E23C-45C3-B284-7D3B01B7D07F}">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tc={DDA94F35-AA13-4981-8FA4-22302C74555B}</author>
    <author>tc={EB29A56D-0E3C-4A5A-8689-953397530348}</author>
  </authors>
  <commentList>
    <comment ref="AE11" authorId="0" shapeId="0" xr:uid="{DDA94F35-AA13-4981-8FA4-22302C74555B}">
      <text>
        <t>[Threaded comment]
Your version of Excel allows you to read this threaded comment; however, any edits to it will get removed if the file is opened in a newer version of Excel. Learn more: https://go.microsoft.com/fwlink/?linkid=870924
Comment:
    El Dorado County has not opted in to GA/GR</t>
      </text>
    </comment>
    <comment ref="AE38" authorId="1" shapeId="0" xr:uid="{EB29A56D-0E3C-4A5A-8689-953397530348}">
      <text>
        <t>[Threaded comment]
Your version of Excel allows you to read this threaded comment; however, any edits to it will get removed if the file is opened in a newer version of Excel. Learn more: https://go.microsoft.com/fwlink/?linkid=870924
Comment:
    San Bernardino County has not opted in to GA/GR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E5F2484E-0B69-49DA-81A1-CDDB0383C4EC}">
      <text>
        <r>
          <rPr>
            <b/>
            <sz val="8"/>
            <color indexed="81"/>
            <rFont val="Tahoma"/>
            <family val="2"/>
          </rPr>
          <t>0 - Original
1 - Adjustment #1
2 - Adjustment #2
Etc.</t>
        </r>
      </text>
    </comment>
    <comment ref="D3" authorId="1" shapeId="0" xr:uid="{2DBACE9F-DBA3-414D-BE17-1A1E50ACF97F}">
      <text>
        <r>
          <rPr>
            <sz val="9"/>
            <color indexed="81"/>
            <rFont val="Tahoma"/>
            <family val="2"/>
          </rPr>
          <t>Enter the month in which the claim was submitted.  For example, if an April Claim is submitted in June, enter the Claim Month as April and the Claim Month Submitted as June.</t>
        </r>
      </text>
    </comment>
    <comment ref="A30" authorId="2" shapeId="0" xr:uid="{00000000-0006-0000-0400-000003000000}">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A5D587EE-16EA-4C7D-A80E-294457D97562}">
      <text>
        <r>
          <rPr>
            <b/>
            <sz val="8"/>
            <color indexed="81"/>
            <rFont val="Tahoma"/>
            <family val="2"/>
          </rPr>
          <t>0 - Original
1 - Adjustment #1
2 - Adjustment #2
Etc.</t>
        </r>
      </text>
    </comment>
    <comment ref="D3" authorId="1" shapeId="0" xr:uid="{C57B3004-4B81-435D-AB07-ACBEC836DD2C}">
      <text>
        <r>
          <rPr>
            <sz val="9"/>
            <color indexed="81"/>
            <rFont val="Tahoma"/>
            <family val="2"/>
          </rPr>
          <t>Enter the month in which the claim was submitted.  For example, if an April Claim is submitted in June, enter the Claim Month as April and the Claim Month Submitted as June.</t>
        </r>
      </text>
    </comment>
    <comment ref="A15" authorId="2" shapeId="0" xr:uid="{00000000-0006-0000-0500-000003000000}">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78C447A5-0509-456A-B99D-CB9D34C4BD44}">
      <text>
        <r>
          <rPr>
            <b/>
            <sz val="8"/>
            <color indexed="81"/>
            <rFont val="Tahoma"/>
            <family val="2"/>
          </rPr>
          <t>0 - Original
1 - Adjustment #1
2 - Adjustment #2
Etc.</t>
        </r>
      </text>
    </comment>
    <comment ref="D3" authorId="1" shapeId="0" xr:uid="{54535565-E913-460F-B3BE-97B8995D0C6F}">
      <text>
        <r>
          <rPr>
            <sz val="9"/>
            <color indexed="81"/>
            <rFont val="Tahoma"/>
            <family val="2"/>
          </rPr>
          <t>Enter the month in which the claim was submitted.  For example, if an April Claim is submitted in June, enter the Claim Month as April and the Claim Month Submitted as June.</t>
        </r>
      </text>
    </comment>
    <comment ref="A15" authorId="2" shapeId="0" xr:uid="{00000000-0006-0000-0600-000003000000}">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Tina Weinmeister</author>
  </authors>
  <commentList>
    <comment ref="C3" authorId="0" shapeId="0" xr:uid="{DCC769E8-2754-4520-9846-63C9A7DEA6B3}">
      <text>
        <r>
          <rPr>
            <b/>
            <sz val="8"/>
            <color indexed="81"/>
            <rFont val="Tahoma"/>
            <family val="2"/>
          </rPr>
          <t>0 - Original
1 - Adjustment #1
2 - Adjustment #2
Etc.</t>
        </r>
      </text>
    </comment>
    <comment ref="D3" authorId="1" shapeId="0" xr:uid="{E1E24C29-E497-4985-94F2-82FEFB736A79}">
      <text>
        <r>
          <rPr>
            <sz val="9"/>
            <color indexed="81"/>
            <rFont val="Tahoma"/>
            <family val="2"/>
          </rPr>
          <t>Enter the month in which the claim was submitted.  For example, if an April Claim is submitted in June, enter the Claim Month as April and the Claim Month Submitted as June.</t>
        </r>
      </text>
    </comment>
    <comment ref="A15" authorId="2" shapeId="0" xr:uid="{00000000-0006-0000-0700-000003000000}">
      <text>
        <r>
          <rPr>
            <b/>
            <sz val="9"/>
            <color indexed="81"/>
            <rFont val="Tahoma"/>
            <family val="2"/>
          </rPr>
          <t>Tina Weinmeister:</t>
        </r>
        <r>
          <rPr>
            <sz val="9"/>
            <color indexed="81"/>
            <rFont val="Tahoma"/>
            <family val="2"/>
          </rPr>
          <t xml:space="preserve">
Current Quarter CAP Adjustment: Adjustment to account for variances that occur due to rounding when costs are claimed across multiple counties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Tina Weinmeister</author>
  </authors>
  <commentList>
    <comment ref="C3" authorId="0" shapeId="0" xr:uid="{F4889354-97F2-430D-9BDA-3F4BBCC5508A}">
      <text>
        <r>
          <rPr>
            <b/>
            <sz val="8"/>
            <color indexed="81"/>
            <rFont val="Tahoma"/>
            <family val="2"/>
          </rPr>
          <t>0 - Original
1 - Adjustment #1
2 - Adjustment #2
Etc.</t>
        </r>
      </text>
    </comment>
    <comment ref="D3" authorId="1" shapeId="0" xr:uid="{6A47C2B6-DA21-4C3C-9066-AD2C001AFE3C}">
      <text>
        <r>
          <rPr>
            <sz val="9"/>
            <color indexed="81"/>
            <rFont val="Tahoma"/>
            <family val="2"/>
          </rPr>
          <t>Enter the month in which the claim was submitted.  For example, if an April Claim is submitted in June, enter the Claim Month as April and the Claim Month Submitted as June.</t>
        </r>
      </text>
    </comment>
    <comment ref="A15" authorId="2" shapeId="0" xr:uid="{00000000-0006-0000-0800-000003000000}">
      <text>
        <r>
          <rPr>
            <b/>
            <sz val="9"/>
            <color indexed="81"/>
            <rFont val="Tahoma"/>
            <family val="2"/>
          </rPr>
          <t>Tina Weinmeister:</t>
        </r>
        <r>
          <rPr>
            <sz val="9"/>
            <color indexed="81"/>
            <rFont val="Tahoma"/>
            <family val="2"/>
          </rPr>
          <t xml:space="preserve">
Current Quarter CAP Adjustment: Adjustment to account for variances that occur due to rounding when costs are claimed across multiple counties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Holly Murphy</author>
    <author>Tina Weinmeister</author>
  </authors>
  <commentList>
    <comment ref="C3" authorId="0" shapeId="0" xr:uid="{00000000-0006-0000-0900-000001000000}">
      <text>
        <r>
          <rPr>
            <b/>
            <sz val="8"/>
            <color indexed="81"/>
            <rFont val="Tahoma"/>
            <family val="2"/>
          </rPr>
          <t>0 - Original
1 - Adjustment #1
2 - Adjustment #2
Etc.</t>
        </r>
      </text>
    </comment>
    <comment ref="A12" authorId="1" shapeId="0" xr:uid="{F50FA302-4580-4DD5-BD90-79033F7C9040}">
      <text>
        <r>
          <rPr>
            <b/>
            <sz val="9"/>
            <color indexed="81"/>
            <rFont val="Tahoma"/>
            <family val="2"/>
          </rPr>
          <t>Tina Weinmeister:</t>
        </r>
        <r>
          <rPr>
            <sz val="9"/>
            <color indexed="81"/>
            <rFont val="Tahoma"/>
            <family val="2"/>
          </rPr>
          <t xml:space="preserve">
Current Quarter CAP Adjustment: Adjustment to account for variances that occur due to rounding when costs are claimed across multiple counties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C526AEB3-CCFB-4E2B-A572-0937F4CCE8ED}">
      <text>
        <r>
          <rPr>
            <b/>
            <sz val="8"/>
            <color indexed="81"/>
            <rFont val="Tahoma"/>
            <family val="2"/>
          </rPr>
          <t>0 - Original
1 - Adjustment #1
2 - Adjustment #2
Etc.</t>
        </r>
      </text>
    </comment>
    <comment ref="D3" authorId="1" shapeId="0" xr:uid="{34BA1902-D08F-4CA3-B1FE-48A33BA3C2FF}">
      <text>
        <r>
          <rPr>
            <sz val="9"/>
            <color indexed="81"/>
            <rFont val="Tahoma"/>
            <family val="2"/>
          </rPr>
          <t>Enter the month in which the claim was submitted.  For example, if an April Claim is submitted in June, enter the Claim Month as April and the Claim Month Submitted as June.</t>
        </r>
      </text>
    </comment>
    <comment ref="A142" authorId="2" shapeId="0" xr:uid="{00000000-0006-0000-1100-000006000000}">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Holly Murphy</author>
    <author>Wendy Battermann</author>
    <author>Shen</author>
  </authors>
  <commentList>
    <comment ref="C3" authorId="0" shapeId="0" xr:uid="{25F90E2F-96B7-4C41-9B29-4D64E2CACED3}">
      <text>
        <r>
          <rPr>
            <b/>
            <sz val="8"/>
            <color indexed="81"/>
            <rFont val="Tahoma"/>
            <family val="2"/>
          </rPr>
          <t>0 - Original
1 - Adjustment #1
2 - Adjustment #2
Etc.</t>
        </r>
      </text>
    </comment>
    <comment ref="D3" authorId="1" shapeId="0" xr:uid="{FCBCFDD4-FB79-4A92-97FD-B75E769AF781}">
      <text>
        <r>
          <rPr>
            <sz val="9"/>
            <color indexed="81"/>
            <rFont val="Tahoma"/>
            <family val="2"/>
          </rPr>
          <t>Enter the month in which the claim was submitted.  For example, if an April Claim is submitted in June, enter the Claim Month as April and the Claim Month Submitted as June.</t>
        </r>
      </text>
    </comment>
    <comment ref="A88" authorId="2" shapeId="0" xr:uid="{CB267359-7B41-44F3-9E58-CCB8EF17FAF7}">
      <text>
        <r>
          <rPr>
            <b/>
            <sz val="9"/>
            <color indexed="81"/>
            <rFont val="Tahoma"/>
            <family val="2"/>
          </rPr>
          <t xml:space="preserve">Current Quarter CAP Adjustment: </t>
        </r>
        <r>
          <rPr>
            <sz val="9"/>
            <color indexed="81"/>
            <rFont val="Tahoma"/>
            <family val="2"/>
          </rPr>
          <t>Adjustment to account for variances that occur due to rounding when costs are claimed across multiple counties</t>
        </r>
      </text>
    </comment>
  </commentList>
</comments>
</file>

<file path=xl/sharedStrings.xml><?xml version="1.0" encoding="utf-8"?>
<sst xmlns="http://schemas.openxmlformats.org/spreadsheetml/2006/main" count="3071" uniqueCount="318">
  <si>
    <t xml:space="preserve">   Total</t>
  </si>
  <si>
    <t>Yuba</t>
  </si>
  <si>
    <t>Tuolumne</t>
  </si>
  <si>
    <t>Trinity</t>
  </si>
  <si>
    <t>Tehama</t>
  </si>
  <si>
    <t>Sutter</t>
  </si>
  <si>
    <t>Stanislaus</t>
  </si>
  <si>
    <t>Siskiyou</t>
  </si>
  <si>
    <t>Sierra</t>
  </si>
  <si>
    <t>Shasta</t>
  </si>
  <si>
    <t>San Joaquin</t>
  </si>
  <si>
    <t>San Bernardino</t>
  </si>
  <si>
    <t>San Benito</t>
  </si>
  <si>
    <t>Riverside</t>
  </si>
  <si>
    <t>Plumas</t>
  </si>
  <si>
    <t>Nevada</t>
  </si>
  <si>
    <t>Napa</t>
  </si>
  <si>
    <t>Monterey</t>
  </si>
  <si>
    <t>Mono</t>
  </si>
  <si>
    <t>Modoc</t>
  </si>
  <si>
    <t>Merced</t>
  </si>
  <si>
    <t>Mendocino</t>
  </si>
  <si>
    <t>Mariposa</t>
  </si>
  <si>
    <t>Marin</t>
  </si>
  <si>
    <t>Madera</t>
  </si>
  <si>
    <t>Los Angeles</t>
  </si>
  <si>
    <t>Lassen</t>
  </si>
  <si>
    <t>Lake</t>
  </si>
  <si>
    <t>Kings</t>
  </si>
  <si>
    <t>Kern</t>
  </si>
  <si>
    <t>Inyo</t>
  </si>
  <si>
    <t>Imperial</t>
  </si>
  <si>
    <t>Humboldt</t>
  </si>
  <si>
    <t>Glenn</t>
  </si>
  <si>
    <t>El Dorado</t>
  </si>
  <si>
    <t>Del Norte</t>
  </si>
  <si>
    <t>Colusa</t>
  </si>
  <si>
    <t>Calaveras</t>
  </si>
  <si>
    <t>Butte</t>
  </si>
  <si>
    <t>Amador</t>
  </si>
  <si>
    <t>Alpine</t>
  </si>
  <si>
    <t>TOTAL</t>
  </si>
  <si>
    <t>Foster Care</t>
  </si>
  <si>
    <t>CalFresh</t>
  </si>
  <si>
    <t>County</t>
  </si>
  <si>
    <t>TOTAL PROJECT COSTS</t>
  </si>
  <si>
    <t>ROUNDING APPLIED</t>
  </si>
  <si>
    <t xml:space="preserve">Los Angeles </t>
  </si>
  <si>
    <t>Total</t>
  </si>
  <si>
    <t>GA</t>
  </si>
  <si>
    <t xml:space="preserve">
40-County</t>
  </si>
  <si>
    <t xml:space="preserve">
39-County</t>
  </si>
  <si>
    <t xml:space="preserve">
1-County</t>
  </si>
  <si>
    <t>LRS M&amp;O</t>
  </si>
  <si>
    <t>CalACES ABAWD 40 Counties</t>
  </si>
  <si>
    <t>CalACES M&amp;O 39 Counties</t>
  </si>
  <si>
    <t xml:space="preserve">Note: Totals are for items listed on the CalACES Claim, this tab does not include Premise Items </t>
  </si>
  <si>
    <t>CAP Adjustment</t>
  </si>
  <si>
    <t>Sub Total</t>
  </si>
  <si>
    <t>Sub Total by Claim Month Submitted</t>
  </si>
  <si>
    <t>Total County Share</t>
  </si>
  <si>
    <t>Covered CA</t>
  </si>
  <si>
    <t>County Share</t>
  </si>
  <si>
    <t>Health Share</t>
  </si>
  <si>
    <t>Welfare Share</t>
  </si>
  <si>
    <t>Federal Share</t>
  </si>
  <si>
    <t>Claim Month Submitted</t>
  </si>
  <si>
    <t>Version</t>
  </si>
  <si>
    <t>Claim Month</t>
  </si>
  <si>
    <t>C-IV M&amp;O</t>
  </si>
  <si>
    <t>San Bernardino (Non Ap Dev)</t>
  </si>
  <si>
    <t>San Bernardino (Change Requests)</t>
  </si>
  <si>
    <t>Covered CA Share</t>
  </si>
  <si>
    <t>C-IV CalHEERS</t>
  </si>
  <si>
    <t>.</t>
  </si>
  <si>
    <t>C-IV CSC</t>
  </si>
  <si>
    <t xml:space="preserve">Sub Total </t>
  </si>
  <si>
    <t>LRS CalHEERS</t>
  </si>
  <si>
    <t>General Fund = State Welfare + State Health</t>
  </si>
  <si>
    <t>Total Costs</t>
  </si>
  <si>
    <t xml:space="preserve">County Share Shift </t>
  </si>
  <si>
    <t>Sub-Total Costs</t>
  </si>
  <si>
    <t>CMSP</t>
  </si>
  <si>
    <t>KinGAP</t>
  </si>
  <si>
    <t>CAPI</t>
  </si>
  <si>
    <t>Refugee</t>
  </si>
  <si>
    <t>Medi-Cal</t>
  </si>
  <si>
    <t>CFAP</t>
  </si>
  <si>
    <t>CalWORKs</t>
  </si>
  <si>
    <t>Share</t>
  </si>
  <si>
    <t>F/SW/SH/C</t>
  </si>
  <si>
    <t>Costs</t>
  </si>
  <si>
    <t>Percent</t>
  </si>
  <si>
    <t>Program</t>
  </si>
  <si>
    <t>Health</t>
  </si>
  <si>
    <t>Welfare</t>
  </si>
  <si>
    <t>Federal</t>
  </si>
  <si>
    <t>Ratios</t>
  </si>
  <si>
    <t xml:space="preserve"> </t>
  </si>
  <si>
    <t>State</t>
  </si>
  <si>
    <t>Funding</t>
  </si>
  <si>
    <t xml:space="preserve">TOTAL FISCAL YEAR COSTS </t>
  </si>
  <si>
    <t>Total LRS Cloud Enablement Costs</t>
  </si>
  <si>
    <t>Sub-Total</t>
  </si>
  <si>
    <t>0/0/0/100/0</t>
  </si>
  <si>
    <t>0/100/0/0/0</t>
  </si>
  <si>
    <t>100/0/0/0/0</t>
  </si>
  <si>
    <t>0/70/0/30/0</t>
  </si>
  <si>
    <t>75/0/25/0/0</t>
  </si>
  <si>
    <t>50/35/0/15/0</t>
  </si>
  <si>
    <t>LRS Cloud Enablement</t>
  </si>
  <si>
    <t xml:space="preserve">Total LRS CalHEERS (Non-Application Development) Cost </t>
  </si>
  <si>
    <t>County Share Shift</t>
  </si>
  <si>
    <t>F/SW/SH/C/CA</t>
  </si>
  <si>
    <t>LRS CalHEERS M&amp;O (Non-Application Development)</t>
  </si>
  <si>
    <t xml:space="preserve">Total LRS CalHEERS (Change Requests) Cost </t>
  </si>
  <si>
    <t>0/0/0/0/100</t>
  </si>
  <si>
    <t>Total LRS M&amp;O Costs</t>
  </si>
  <si>
    <t>LRS MAINTENANCE / OPERATIONS COSTS</t>
  </si>
  <si>
    <t>Total C-IV Covered CA CSC Costs</t>
  </si>
  <si>
    <t>75/0/25/0</t>
  </si>
  <si>
    <t>C-IV COVERED CA CSC</t>
  </si>
  <si>
    <t xml:space="preserve">Total C-IV CalHEERS (Non-Application Development) Cost </t>
  </si>
  <si>
    <t>C-IV CalHEERS M&amp;O (Non-Application Development)</t>
  </si>
  <si>
    <t xml:space="preserve">Total C-IV CalHEERS (Change Requests) Cost </t>
  </si>
  <si>
    <t>Total C-IV M&amp;O Costs</t>
  </si>
  <si>
    <t>0/0/0/100</t>
  </si>
  <si>
    <t>0/0/100/0</t>
  </si>
  <si>
    <t>0/100/0/0</t>
  </si>
  <si>
    <t>100/0/0/0</t>
  </si>
  <si>
    <t>0/70/0/30</t>
  </si>
  <si>
    <t>50/0/50/0</t>
  </si>
  <si>
    <t>50/35/0/15</t>
  </si>
  <si>
    <t xml:space="preserve">C-IV MAINTENANCE / OPERATIONS COSTS </t>
  </si>
  <si>
    <t xml:space="preserve">     Version:   </t>
  </si>
  <si>
    <t xml:space="preserve">    Adjusted</t>
  </si>
  <si>
    <t xml:space="preserve">  Month/Year:</t>
  </si>
  <si>
    <t>County:</t>
  </si>
  <si>
    <t>GA/GR</t>
  </si>
  <si>
    <t>ABAWD</t>
  </si>
  <si>
    <t>Refugees</t>
  </si>
  <si>
    <t>PAFS</t>
  </si>
  <si>
    <t>NAFS</t>
  </si>
  <si>
    <t>San Bernadino</t>
  </si>
  <si>
    <t>CalACES Admin 18/19
(All Programs except GA)
40-County</t>
  </si>
  <si>
    <t>ABAWD (CalFresh Only)</t>
  </si>
  <si>
    <t>M&amp;O 
(GA Only)</t>
  </si>
  <si>
    <t>M&amp;O Baseline (All Programs except GA)</t>
  </si>
  <si>
    <t>GR</t>
  </si>
  <si>
    <t xml:space="preserve"> FC</t>
  </si>
  <si>
    <t xml:space="preserve">   </t>
  </si>
  <si>
    <t>M&amp;O/CH/CSC/LRS M&amp;O/LRS CH/LRS CE</t>
  </si>
  <si>
    <t>TOTAL BY PROGRAM</t>
  </si>
  <si>
    <t>San Bernardino (Non-Application Development)</t>
  </si>
  <si>
    <t>Yolo</t>
  </si>
  <si>
    <t>Ventura</t>
  </si>
  <si>
    <t>Tulare</t>
  </si>
  <si>
    <t>Sonoma</t>
  </si>
  <si>
    <t>Solano</t>
  </si>
  <si>
    <t>Santa Cruz</t>
  </si>
  <si>
    <t>Santa Clara</t>
  </si>
  <si>
    <t>Santa Barbara</t>
  </si>
  <si>
    <t>San Mateo</t>
  </si>
  <si>
    <t>San Luis Obispo</t>
  </si>
  <si>
    <t>San Francisco</t>
  </si>
  <si>
    <t>San Diego</t>
  </si>
  <si>
    <t>Sacramento</t>
  </si>
  <si>
    <t>Placer</t>
  </si>
  <si>
    <t>Orange</t>
  </si>
  <si>
    <t>Fresno</t>
  </si>
  <si>
    <t>Contra Costa</t>
  </si>
  <si>
    <t>Alameda</t>
  </si>
  <si>
    <t>CalSAWS DD&amp;I 58 Counties</t>
  </si>
  <si>
    <t xml:space="preserve">
58-County</t>
  </si>
  <si>
    <t>General Assistance/General Relief</t>
  </si>
  <si>
    <t>DD&amp;I Application Development</t>
  </si>
  <si>
    <t>F/SW/SH/C/CC</t>
  </si>
  <si>
    <t>50/50/0/0/0</t>
  </si>
  <si>
    <t>90/0/10/0/0</t>
  </si>
  <si>
    <t>0/0/100/0/0</t>
  </si>
  <si>
    <t>County Share 5%</t>
  </si>
  <si>
    <t>Total DD&amp;I Application Development Costs</t>
  </si>
  <si>
    <t>DD&amp;I Non-Application Development</t>
  </si>
  <si>
    <t>Total DD&amp;I Non-App Dev Costs</t>
  </si>
  <si>
    <t>Training Development &amp; Delivery</t>
  </si>
  <si>
    <t>Total Training Costs</t>
  </si>
  <si>
    <t>Procurement</t>
  </si>
  <si>
    <t>50/0/50/0/0</t>
  </si>
  <si>
    <t>Total Procurement Costs</t>
  </si>
  <si>
    <t>CalACES ABAWD</t>
  </si>
  <si>
    <t>1-Member</t>
  </si>
  <si>
    <t>18-Member</t>
  </si>
  <si>
    <t>39-Member</t>
  </si>
  <si>
    <t>40-Member</t>
  </si>
  <si>
    <t>58-Member</t>
  </si>
  <si>
    <t>LRS/C-IV Migration Planning Baseline 
(All Programs)
40-County</t>
  </si>
  <si>
    <t>CalSAWS DD&amp;I Baseline 
(All Programs)
58-County</t>
  </si>
  <si>
    <t>CalSAWS Admin 19/20
(All Programs except GA)
58-County</t>
  </si>
  <si>
    <t>CW</t>
  </si>
  <si>
    <t>CA</t>
  </si>
  <si>
    <t>Rounding Adjustment Applied</t>
  </si>
  <si>
    <t>X-Check</t>
  </si>
  <si>
    <t>Difference</t>
  </si>
  <si>
    <t>SFY 2019/20</t>
  </si>
  <si>
    <t xml:space="preserve">SFY 2019/20  </t>
  </si>
  <si>
    <t xml:space="preserve">   SFY 2019/20</t>
  </si>
  <si>
    <t xml:space="preserve">                        FY 2019/20</t>
  </si>
  <si>
    <t xml:space="preserve">  Adjusted</t>
  </si>
  <si>
    <t>Total General Assistance/General Relief</t>
  </si>
  <si>
    <t>Maintenance and Operations</t>
  </si>
  <si>
    <t>M&amp;O County Share 100% Shift</t>
  </si>
  <si>
    <t>Total M&amp;O Costs</t>
  </si>
  <si>
    <t>M&amp;O County Share Shift</t>
  </si>
  <si>
    <t xml:space="preserve">CalSAWS </t>
  </si>
  <si>
    <t>CalWIN M&amp;O</t>
  </si>
  <si>
    <t>CalWIN QA</t>
  </si>
  <si>
    <t>CalWIN CH</t>
  </si>
  <si>
    <t>CalWIN ABAWD</t>
  </si>
  <si>
    <t>SFY 17/18 
Persons Count
(All Programs)</t>
  </si>
  <si>
    <t>SFY 17/18
Persons Count
(All Programs)</t>
  </si>
  <si>
    <t>SFY 17/18
Persons Count
(All Other Programs)</t>
  </si>
  <si>
    <t>SFY 17/18 Persons Count
(GA/GR Only)</t>
  </si>
  <si>
    <t xml:space="preserve">WCDS Grand Total </t>
  </si>
  <si>
    <t>WCDS CalHEERS CSCN Expansion</t>
  </si>
  <si>
    <t>WCDS CalHEERS M&amp;O (Application Maintenance)</t>
  </si>
  <si>
    <t>WCDS CalHEERS M&amp;O (Non-Application Maintenance)</t>
  </si>
  <si>
    <t>WCDS Maintenance and Operations QA</t>
  </si>
  <si>
    <t>WCDS Maintenance and Operations</t>
  </si>
  <si>
    <t xml:space="preserve">Version:       </t>
  </si>
  <si>
    <t>Adjusted</t>
  </si>
  <si>
    <t>Month/Year:</t>
  </si>
  <si>
    <t>Able-Bodied Adults without Dependents (ABAWD)</t>
  </si>
  <si>
    <t xml:space="preserve">Version:   </t>
  </si>
  <si>
    <t>CalWIN M&amp;O 18 Counties</t>
  </si>
  <si>
    <t>Recurring</t>
  </si>
  <si>
    <t>B</t>
  </si>
  <si>
    <t>C</t>
  </si>
  <si>
    <t>D</t>
  </si>
  <si>
    <t>E</t>
  </si>
  <si>
    <t>F</t>
  </si>
  <si>
    <t>G</t>
  </si>
  <si>
    <t>H</t>
  </si>
  <si>
    <t>I</t>
  </si>
  <si>
    <t>J</t>
  </si>
  <si>
    <t>K</t>
  </si>
  <si>
    <t>L</t>
  </si>
  <si>
    <t>M</t>
  </si>
  <si>
    <t>GA/GR%</t>
  </si>
  <si>
    <t>Non GA/GR</t>
  </si>
  <si>
    <t xml:space="preserve">County </t>
  </si>
  <si>
    <t>County Non</t>
  </si>
  <si>
    <t>CL%</t>
  </si>
  <si>
    <t>L/M/S %</t>
  </si>
  <si>
    <t>Formula</t>
  </si>
  <si>
    <t>CL% * 99.41%</t>
  </si>
  <si>
    <t>CL% * .59%</t>
  </si>
  <si>
    <t>Adj CL %</t>
  </si>
  <si>
    <t>GA/GR %</t>
  </si>
  <si>
    <t xml:space="preserve">  Alameda </t>
  </si>
  <si>
    <t xml:space="preserve">  Contra Costa </t>
  </si>
  <si>
    <t xml:space="preserve">  Fresno </t>
  </si>
  <si>
    <t xml:space="preserve">  Orange </t>
  </si>
  <si>
    <t xml:space="preserve">  Placer </t>
  </si>
  <si>
    <t xml:space="preserve">  Sacramento </t>
  </si>
  <si>
    <t xml:space="preserve">  San Diego </t>
  </si>
  <si>
    <t xml:space="preserve">  San Francisco </t>
  </si>
  <si>
    <t xml:space="preserve">  San Luis Obispo </t>
  </si>
  <si>
    <t xml:space="preserve">  San Mateo </t>
  </si>
  <si>
    <t xml:space="preserve">  Santa Barbara </t>
  </si>
  <si>
    <t xml:space="preserve">  Santa Clara </t>
  </si>
  <si>
    <t xml:space="preserve">  Santa Cruz </t>
  </si>
  <si>
    <t xml:space="preserve">  Solano </t>
  </si>
  <si>
    <t xml:space="preserve">  Sonoma </t>
  </si>
  <si>
    <t xml:space="preserve">  Tulare </t>
  </si>
  <si>
    <t xml:space="preserve">  Ventura </t>
  </si>
  <si>
    <t xml:space="preserve">  Yolo </t>
  </si>
  <si>
    <t xml:space="preserve">County Share      </t>
  </si>
  <si>
    <t>WCDS Maintenance and Operations (COUNTY)</t>
  </si>
  <si>
    <t>=</t>
  </si>
  <si>
    <t>CalWIN M&amp;O (County Specific) 18 Counties</t>
  </si>
  <si>
    <t xml:space="preserve">
18-County</t>
  </si>
  <si>
    <t>SFY 17/18
Persons Count
(CalFresh)</t>
  </si>
  <si>
    <t>SFY 19/20 CalWIN Sharing Tables</t>
  </si>
  <si>
    <t>CalWIN ABAWD 18 Counties</t>
  </si>
  <si>
    <t>LRS 1 County</t>
  </si>
  <si>
    <t>39 County
C-IV</t>
  </si>
  <si>
    <t>40 County
CalACES</t>
  </si>
  <si>
    <t>1 County
LRS</t>
  </si>
  <si>
    <t>18 County
CalWIN</t>
  </si>
  <si>
    <t>58 County
CalSAWS</t>
  </si>
  <si>
    <t>CalWIN M&amp;O QA 18 Counties</t>
  </si>
  <si>
    <t>General Assistance/
General Relief</t>
  </si>
  <si>
    <t>LRS CLOUD ENABLEMENT SFY 2019/20 - QUARTER 3</t>
  </si>
  <si>
    <t>Q3</t>
  </si>
  <si>
    <t>County Share (CalFresh)</t>
  </si>
  <si>
    <r>
      <t xml:space="preserve">C-IV CalHEERS M&amp;O (Change Requests) </t>
    </r>
    <r>
      <rPr>
        <b/>
        <sz val="10"/>
        <color theme="1"/>
        <rFont val="Arial"/>
        <family val="2"/>
      </rPr>
      <t>BEGINNING OCTOBER 2019</t>
    </r>
  </si>
  <si>
    <t>LRS CalHEERS M&amp;O (Change Requests) BEGINNING OCTOBER 2019</t>
  </si>
  <si>
    <t>Health 
Share</t>
  </si>
  <si>
    <t>5% App Dev Calculation</t>
  </si>
  <si>
    <t>% of County Share</t>
  </si>
  <si>
    <t>CAP</t>
  </si>
  <si>
    <t>SFY 2019/20 - QUARTER 4</t>
  </si>
  <si>
    <t>CalACES M&amp;O, CH, CSC, CE SFY 2019/20 - QUARTER 4</t>
  </si>
  <si>
    <t>Q4</t>
  </si>
  <si>
    <t>C-IV M&amp;O SFY 2019/20 - QUARTER 4</t>
  </si>
  <si>
    <t>C-IV CalHEERS SFY 2019/20 - QUARTER 4</t>
  </si>
  <si>
    <t>C-IV COVERED CA CSC SFY 2019/20 - QUARTER 4</t>
  </si>
  <si>
    <t>LRS M&amp;O SFY 2019/20 - QUARTER 4</t>
  </si>
  <si>
    <t>LRS CalHEERS SFY 2019/20 - QUARTER 4</t>
  </si>
  <si>
    <t>CalACES ABAWD SFY 2019/20 - QUARTER 4</t>
  </si>
  <si>
    <t>CalSAWS SFY 2019/20 - QUARTER 4</t>
  </si>
  <si>
    <t>CalWIN M&amp;O SFY 2019/20 - QUARTER 4</t>
  </si>
  <si>
    <t>CalWIN QA SFY 2019/20 - QUARTER 4</t>
  </si>
  <si>
    <t>CalWIN CH SFY 2019/20 - QUARTER 4</t>
  </si>
  <si>
    <t>CalWIN ABAWD SFY 2019/20 - QUARTER 4</t>
  </si>
  <si>
    <t>Total Q4</t>
  </si>
  <si>
    <t>Refer to calculations on 4th Q Co Share Calculations tab</t>
  </si>
  <si>
    <t>4th Quarter County Specific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</si>
</sst>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0_);[Red]\(0\)"/>
    <numFmt numFmtId="167" formatCode="0.0000%"/>
  </numFmts>
  <fonts count="87">
    <font>
      <sz val="11"/>
      <color theme="1"/>
      <name val="Calibri"/>
      <family val="2"/>
      <scheme val="minor"/>
    </font>
    <font>
      <sz val="11"/>
      <color theme="1"/>
      <name val="Calibri"/>
      <family val="2"/>
      <scheme val="minor"/>
    </font>
    <font>
      <sz val="10"/>
      <name val="Arial"/>
      <family val="2"/>
    </font>
    <font>
      <sz val="10"/>
      <color theme="8" tint="-0.499984740745262"/>
      <name val="Arial"/>
      <family val="2"/>
    </font>
    <font>
      <b/>
      <sz val="10"/>
      <color theme="8" tint="-0.499984740745262"/>
      <name val="Arial"/>
      <family val="2"/>
    </font>
    <font>
      <b/>
      <sz val="10"/>
      <name val="Arial"/>
      <family val="2"/>
    </font>
    <font>
      <b/>
      <sz val="10"/>
      <color theme="8"/>
      <name val="Arial"/>
      <family val="2"/>
    </font>
    <font>
      <sz val="10"/>
      <color theme="8"/>
      <name val="Arial"/>
      <family val="2"/>
    </font>
    <font>
      <sz val="10"/>
      <name val="Arial"/>
      <family val="2"/>
    </font>
    <font>
      <sz val="10"/>
      <color theme="4" tint="0.79998168889431442"/>
      <name val="Arial"/>
      <family val="2"/>
    </font>
    <font>
      <b/>
      <sz val="10"/>
      <color theme="0"/>
      <name val="Arial"/>
      <family val="2"/>
    </font>
    <font>
      <b/>
      <sz val="11"/>
      <name val="Arial"/>
      <family val="2"/>
    </font>
    <font>
      <sz val="10"/>
      <color rgb="FF0000FF"/>
      <name val="Arial"/>
      <family val="2"/>
    </font>
    <font>
      <sz val="10"/>
      <color theme="3" tint="0.39997558519241921"/>
      <name val="Arial"/>
      <family val="2"/>
    </font>
    <font>
      <sz val="10"/>
      <color rgb="FF0070C0"/>
      <name val="Arial"/>
      <family val="2"/>
    </font>
    <font>
      <sz val="10"/>
      <color theme="1"/>
      <name val="Arial"/>
      <family val="2"/>
    </font>
    <font>
      <b/>
      <sz val="11"/>
      <color theme="0"/>
      <name val="Arial"/>
      <family val="2"/>
    </font>
    <font>
      <b/>
      <sz val="10"/>
      <color rgb="FFFFFF00"/>
      <name val="Arial"/>
      <family val="2"/>
    </font>
    <font>
      <b/>
      <sz val="12"/>
      <name val="Arial"/>
      <family val="2"/>
    </font>
    <font>
      <b/>
      <sz val="9"/>
      <color indexed="81"/>
      <name val="Tahoma"/>
      <family val="2"/>
    </font>
    <font>
      <sz val="9"/>
      <color indexed="81"/>
      <name val="Tahoma"/>
      <family val="2"/>
    </font>
    <font>
      <sz val="10"/>
      <color rgb="FFFF0000"/>
      <name val="Arial"/>
      <family val="2"/>
    </font>
    <font>
      <b/>
      <sz val="10"/>
      <color theme="3" tint="0.39997558519241921"/>
      <name val="Arial"/>
      <family val="2"/>
    </font>
    <font>
      <sz val="12"/>
      <name val="Arial MT"/>
    </font>
    <font>
      <b/>
      <sz val="8"/>
      <color indexed="81"/>
      <name val="Tahoma"/>
      <family val="2"/>
    </font>
    <font>
      <b/>
      <sz val="10"/>
      <color theme="3" tint="0.59999389629810485"/>
      <name val="Arial"/>
      <family val="2"/>
    </font>
    <font>
      <sz val="12"/>
      <name val="Arial"/>
      <family val="2"/>
    </font>
    <font>
      <sz val="10"/>
      <color indexed="10"/>
      <name val="Arial"/>
      <family val="2"/>
    </font>
    <font>
      <b/>
      <sz val="10"/>
      <color rgb="FFFF0000"/>
      <name val="Arial"/>
      <family val="2"/>
    </font>
    <font>
      <sz val="12"/>
      <color rgb="FFFF0000"/>
      <name val="Arial"/>
      <family val="2"/>
    </font>
    <font>
      <sz val="10"/>
      <color rgb="FF2D0EB2"/>
      <name val="Arial"/>
      <family val="2"/>
    </font>
    <font>
      <sz val="10"/>
      <color theme="0"/>
      <name val="Arial"/>
      <family val="2"/>
    </font>
    <font>
      <sz val="10"/>
      <color theme="0" tint="-0.14999847407452621"/>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1"/>
      <name val="Arial"/>
      <family val="2"/>
    </font>
    <font>
      <sz val="11"/>
      <color theme="0"/>
      <name val="Century Gothic"/>
      <family val="2"/>
    </font>
    <font>
      <sz val="11"/>
      <name val="Century Gothic"/>
      <family val="2"/>
    </font>
    <font>
      <b/>
      <sz val="11"/>
      <color theme="0"/>
      <name val="Century Gothic"/>
      <family val="2"/>
    </font>
    <font>
      <sz val="11"/>
      <color rgb="FF0070C0"/>
      <name val="Arial"/>
      <family val="2"/>
    </font>
    <font>
      <sz val="11"/>
      <color rgb="FFFF0000"/>
      <name val="Century Gothic"/>
      <family val="2"/>
    </font>
    <font>
      <sz val="11"/>
      <color theme="1"/>
      <name val="Century Gothic"/>
      <family val="2"/>
    </font>
    <font>
      <b/>
      <sz val="11"/>
      <name val="Century Gothic"/>
      <family val="2"/>
    </font>
    <font>
      <b/>
      <sz val="11"/>
      <color rgb="FFFF0000"/>
      <name val="Century Gothic"/>
      <family val="2"/>
    </font>
    <font>
      <sz val="11"/>
      <color rgb="FF0070C0"/>
      <name val="Century Gothic"/>
      <family val="2"/>
    </font>
    <font>
      <sz val="12"/>
      <color indexed="10"/>
      <name val="Arial"/>
      <family val="2"/>
    </font>
    <font>
      <b/>
      <sz val="16"/>
      <name val="Times New Roman"/>
      <family val="1"/>
    </font>
    <font>
      <u/>
      <sz val="11"/>
      <color indexed="12"/>
      <name val="Arial"/>
      <family val="2"/>
    </font>
    <font>
      <u/>
      <sz val="7.5"/>
      <color indexed="12"/>
      <name val="Arial"/>
      <family val="2"/>
    </font>
    <font>
      <sz val="10"/>
      <name val="Arial"/>
      <family val="2"/>
    </font>
    <font>
      <sz val="12"/>
      <color indexed="9"/>
      <name val="Arial"/>
      <family val="2"/>
    </font>
    <font>
      <sz val="8"/>
      <name val="Arial"/>
      <family val="2"/>
    </font>
    <font>
      <b/>
      <sz val="12"/>
      <color rgb="FFFF0000"/>
      <name val="Arial"/>
      <family val="2"/>
    </font>
    <font>
      <sz val="10"/>
      <name val="Century Gothic"/>
      <family val="2"/>
    </font>
    <font>
      <b/>
      <sz val="8"/>
      <color theme="0"/>
      <name val="Century Gothic"/>
      <family val="2"/>
    </font>
    <font>
      <sz val="12"/>
      <name val="Century Gothic"/>
      <family val="2"/>
    </font>
    <font>
      <b/>
      <sz val="12"/>
      <name val="Century Gothic"/>
      <family val="2"/>
    </font>
    <font>
      <sz val="10"/>
      <color rgb="FF0070C0"/>
      <name val="Century Gothic"/>
      <family val="2"/>
    </font>
    <font>
      <sz val="10"/>
      <color theme="4" tint="0.59999389629810485"/>
      <name val="Arial"/>
      <family val="2"/>
    </font>
    <font>
      <sz val="10"/>
      <color theme="4" tint="0.39997558519241921"/>
      <name val="Arial"/>
      <family val="2"/>
    </font>
    <font>
      <b/>
      <sz val="10"/>
      <color theme="1"/>
      <name val="Arial"/>
      <family val="2"/>
    </font>
    <font>
      <b/>
      <u/>
      <sz val="10"/>
      <name val="Arial"/>
      <family val="2"/>
    </font>
    <font>
      <sz val="12"/>
      <color rgb="FF0070C0"/>
      <name val="Arial"/>
      <family val="2"/>
    </font>
    <font>
      <sz val="11"/>
      <color theme="0" tint="-4.9989318521683403E-2"/>
      <name val="Arial"/>
      <family val="2"/>
    </font>
    <font>
      <sz val="10"/>
      <color theme="0" tint="-4.9989318521683403E-2"/>
      <name val="Arial"/>
      <family val="2"/>
    </font>
    <font>
      <sz val="10"/>
      <name val="Arial"/>
      <family val="2"/>
    </font>
    <font>
      <sz val="11"/>
      <color theme="1"/>
      <name val="Arial"/>
      <family val="2"/>
    </font>
    <font>
      <b/>
      <sz val="11"/>
      <color theme="1"/>
      <name val="Arial"/>
      <family val="2"/>
    </font>
    <font>
      <b/>
      <sz val="22"/>
      <name val="Arial"/>
      <family val="2"/>
    </font>
    <font>
      <sz val="10"/>
      <color rgb="FF0033CC"/>
      <name val="Arial"/>
      <family val="2"/>
    </font>
  </fonts>
  <fills count="42">
    <fill>
      <patternFill patternType="none"/>
    </fill>
    <fill>
      <patternFill patternType="gray125"/>
    </fill>
    <fill>
      <patternFill patternType="solid">
        <fgColor indexed="6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rgb="FF1A3260"/>
        <bgColor indexed="64"/>
      </patternFill>
    </fill>
    <fill>
      <patternFill patternType="solid">
        <fgColor rgb="FF88B04B"/>
        <bgColor indexed="64"/>
      </patternFill>
    </fill>
    <fill>
      <patternFill patternType="solid">
        <fgColor rgb="FFFFFFCC"/>
        <bgColor indexed="64"/>
      </patternFill>
    </fill>
    <fill>
      <patternFill patternType="solid">
        <fgColor indexed="10"/>
        <bgColor indexed="64"/>
      </patternFill>
    </fill>
    <fill>
      <patternFill patternType="solid">
        <fgColor indexed="6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9"/>
      </left>
      <right style="thin">
        <color indexed="9"/>
      </right>
      <top/>
      <bottom style="thin">
        <color indexed="64"/>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9"/>
      </top>
      <bottom style="thin">
        <color indexed="64"/>
      </bottom>
      <diagonal/>
    </border>
  </borders>
  <cellStyleXfs count="208">
    <xf numFmtId="0" fontId="0" fillId="0" borderId="0"/>
    <xf numFmtId="0" fontId="2"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0" fontId="8" fillId="0" borderId="0"/>
    <xf numFmtId="0" fontId="23" fillId="0" borderId="0"/>
    <xf numFmtId="0" fontId="8" fillId="0" borderId="0"/>
    <xf numFmtId="0" fontId="8" fillId="0" borderId="0"/>
    <xf numFmtId="0" fontId="8" fillId="0" borderId="0"/>
    <xf numFmtId="43" fontId="8" fillId="0" borderId="0" applyFont="0" applyFill="0" applyBorder="0" applyAlignment="0" applyProtection="0"/>
    <xf numFmtId="0" fontId="26" fillId="0" borderId="0"/>
    <xf numFmtId="0" fontId="8" fillId="0" borderId="0"/>
    <xf numFmtId="0" fontId="15" fillId="0" borderId="0"/>
    <xf numFmtId="0" fontId="8" fillId="0" borderId="0"/>
    <xf numFmtId="0" fontId="8" fillId="0" borderId="0"/>
    <xf numFmtId="9" fontId="8"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7" borderId="0" applyNumberFormat="0" applyBorder="0" applyAlignment="0" applyProtection="0"/>
    <xf numFmtId="0" fontId="36" fillId="11" borderId="0" applyNumberFormat="0" applyBorder="0" applyAlignment="0" applyProtection="0"/>
    <xf numFmtId="0" fontId="37" fillId="28" borderId="47" applyNumberFormat="0" applyAlignment="0" applyProtection="0"/>
    <xf numFmtId="0" fontId="38" fillId="29" borderId="48" applyNumberFormat="0" applyAlignment="0" applyProtection="0"/>
    <xf numFmtId="0" fontId="39" fillId="0" borderId="0" applyNumberFormat="0" applyFill="0" applyBorder="0" applyAlignment="0" applyProtection="0"/>
    <xf numFmtId="0" fontId="40" fillId="12" borderId="0" applyNumberFormat="0" applyBorder="0" applyAlignment="0" applyProtection="0"/>
    <xf numFmtId="0" fontId="41" fillId="0" borderId="49"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0" applyNumberFormat="0" applyFill="0" applyBorder="0" applyAlignment="0" applyProtection="0"/>
    <xf numFmtId="0" fontId="44" fillId="15" borderId="47" applyNumberFormat="0" applyAlignment="0" applyProtection="0"/>
    <xf numFmtId="0" fontId="45" fillId="0" borderId="52" applyNumberFormat="0" applyFill="0" applyAlignment="0" applyProtection="0"/>
    <xf numFmtId="0" fontId="46" fillId="30" borderId="0" applyNumberFormat="0" applyBorder="0" applyAlignment="0" applyProtection="0"/>
    <xf numFmtId="0" fontId="2" fillId="31" borderId="53" applyNumberFormat="0" applyFont="0" applyAlignment="0" applyProtection="0"/>
    <xf numFmtId="0" fontId="47" fillId="28" borderId="54" applyNumberFormat="0" applyAlignment="0" applyProtection="0"/>
    <xf numFmtId="0" fontId="48" fillId="0" borderId="0" applyNumberFormat="0" applyFill="0" applyBorder="0" applyAlignment="0" applyProtection="0"/>
    <xf numFmtId="0" fontId="49" fillId="0" borderId="55" applyNumberFormat="0" applyFill="0" applyAlignment="0" applyProtection="0"/>
    <xf numFmtId="0" fontId="50" fillId="0" borderId="0" applyNumberFormat="0" applyFill="0" applyBorder="0" applyAlignment="0" applyProtection="0"/>
    <xf numFmtId="0" fontId="2" fillId="0" borderId="0"/>
    <xf numFmtId="0" fontId="51"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11" borderId="0" applyNumberFormat="0" applyBorder="0" applyAlignment="0" applyProtection="0"/>
    <xf numFmtId="0" fontId="35" fillId="27" borderId="0" applyNumberFormat="0" applyBorder="0" applyAlignment="0" applyProtection="0"/>
    <xf numFmtId="0" fontId="35" fillId="22" borderId="0" applyNumberFormat="0" applyBorder="0" applyAlignment="0" applyProtection="0"/>
    <xf numFmtId="0" fontId="35" fillId="21" borderId="0" applyNumberFormat="0" applyBorder="0" applyAlignment="0" applyProtection="0"/>
    <xf numFmtId="0" fontId="35" fillId="26" borderId="0" applyNumberFormat="0" applyBorder="0" applyAlignment="0" applyProtection="0"/>
    <xf numFmtId="0" fontId="35" fillId="25" borderId="0" applyNumberFormat="0" applyBorder="0" applyAlignment="0" applyProtection="0"/>
    <xf numFmtId="0" fontId="35" fillId="24" borderId="0" applyNumberFormat="0" applyBorder="0" applyAlignment="0" applyProtection="0"/>
    <xf numFmtId="0" fontId="35" fillId="23" borderId="0" applyNumberFormat="0" applyBorder="0" applyAlignment="0" applyProtection="0"/>
    <xf numFmtId="0" fontId="35" fillId="22" borderId="0" applyNumberFormat="0" applyBorder="0" applyAlignment="0" applyProtection="0"/>
    <xf numFmtId="0" fontId="35" fillId="21" borderId="0" applyNumberFormat="0" applyBorder="0" applyAlignment="0" applyProtection="0"/>
    <xf numFmtId="0" fontId="35" fillId="18"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4" fillId="19"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3" fontId="26" fillId="32" borderId="0"/>
    <xf numFmtId="2" fontId="26" fillId="32" borderId="0"/>
    <xf numFmtId="0" fontId="26" fillId="32" borderId="0"/>
    <xf numFmtId="0" fontId="33" fillId="0" borderId="0" applyNumberFormat="0" applyFill="0" applyBorder="0" applyAlignment="0" applyProtection="0">
      <alignment vertical="top"/>
      <protection locked="0"/>
    </xf>
    <xf numFmtId="3" fontId="26" fillId="32" borderId="0"/>
    <xf numFmtId="5" fontId="26" fillId="32" borderId="0"/>
    <xf numFmtId="2" fontId="26" fillId="32" borderId="0"/>
    <xf numFmtId="0" fontId="26" fillId="32" borderId="0"/>
    <xf numFmtId="0" fontId="2" fillId="0" borderId="0"/>
    <xf numFmtId="43" fontId="2" fillId="0" borderId="0" applyFont="0" applyFill="0" applyBorder="0" applyAlignment="0" applyProtection="0"/>
    <xf numFmtId="0" fontId="23" fillId="0" borderId="0"/>
    <xf numFmtId="5" fontId="26" fillId="32" borderId="0"/>
    <xf numFmtId="0" fontId="37" fillId="28" borderId="47" applyNumberFormat="0" applyAlignment="0" applyProtection="0"/>
    <xf numFmtId="0" fontId="38" fillId="29" borderId="48" applyNumberFormat="0" applyAlignment="0" applyProtection="0"/>
    <xf numFmtId="0" fontId="39" fillId="0" borderId="0" applyNumberFormat="0" applyFill="0" applyBorder="0" applyAlignment="0" applyProtection="0"/>
    <xf numFmtId="0" fontId="40" fillId="12" borderId="0" applyNumberFormat="0" applyBorder="0" applyAlignment="0" applyProtection="0"/>
    <xf numFmtId="0" fontId="41" fillId="0" borderId="49"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0" applyNumberFormat="0" applyFill="0" applyBorder="0" applyAlignment="0" applyProtection="0"/>
    <xf numFmtId="0" fontId="44" fillId="15" borderId="47" applyNumberFormat="0" applyAlignment="0" applyProtection="0"/>
    <xf numFmtId="0" fontId="45" fillId="0" borderId="52" applyNumberFormat="0" applyFill="0" applyAlignment="0" applyProtection="0"/>
    <xf numFmtId="0" fontId="46" fillId="30" borderId="0" applyNumberFormat="0" applyBorder="0" applyAlignment="0" applyProtection="0"/>
    <xf numFmtId="0" fontId="2" fillId="31" borderId="53" applyNumberFormat="0" applyFont="0" applyAlignment="0" applyProtection="0"/>
    <xf numFmtId="0" fontId="47" fillId="28" borderId="54" applyNumberFormat="0" applyAlignment="0" applyProtection="0"/>
    <xf numFmtId="0" fontId="48" fillId="0" borderId="0" applyNumberFormat="0" applyFill="0" applyBorder="0" applyAlignment="0" applyProtection="0"/>
    <xf numFmtId="0" fontId="49" fillId="0" borderId="55" applyNumberFormat="0" applyFill="0" applyAlignment="0" applyProtection="0"/>
    <xf numFmtId="0" fontId="50" fillId="0" borderId="0" applyNumberFormat="0" applyFill="0" applyBorder="0" applyAlignment="0" applyProtection="0"/>
    <xf numFmtId="9" fontId="2" fillId="0" borderId="0" applyFont="0" applyFill="0" applyBorder="0" applyAlignment="0" applyProtection="0"/>
    <xf numFmtId="0" fontId="15" fillId="0" borderId="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3" fillId="36" borderId="0" applyFont="0" applyFill="0"/>
    <xf numFmtId="43" fontId="2" fillId="0" borderId="0" applyFont="0" applyFill="0" applyBorder="0" applyAlignment="0" applyProtection="0"/>
    <xf numFmtId="9" fontId="2" fillId="0" borderId="0" applyFont="0" applyFill="0" applyBorder="0" applyAlignment="0" applyProtection="0"/>
    <xf numFmtId="0" fontId="64"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66"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37" fillId="28" borderId="78" applyNumberFormat="0" applyAlignment="0" applyProtection="0"/>
    <xf numFmtId="0" fontId="44" fillId="15" borderId="78" applyNumberFormat="0" applyAlignment="0" applyProtection="0"/>
    <xf numFmtId="0" fontId="2" fillId="31" borderId="79" applyNumberFormat="0" applyFont="0" applyAlignment="0" applyProtection="0"/>
    <xf numFmtId="0" fontId="47" fillId="28" borderId="80" applyNumberFormat="0" applyAlignment="0" applyProtection="0"/>
    <xf numFmtId="0" fontId="49" fillId="0" borderId="81" applyNumberFormat="0" applyFill="0" applyAlignment="0" applyProtection="0"/>
    <xf numFmtId="0" fontId="2" fillId="0" borderId="0"/>
    <xf numFmtId="0" fontId="2" fillId="0" borderId="0"/>
    <xf numFmtId="0" fontId="37" fillId="28" borderId="78" applyNumberFormat="0" applyAlignment="0" applyProtection="0"/>
    <xf numFmtId="0" fontId="44" fillId="15" borderId="78" applyNumberFormat="0" applyAlignment="0" applyProtection="0"/>
    <xf numFmtId="0" fontId="2" fillId="31" borderId="79" applyNumberFormat="0" applyFont="0" applyAlignment="0" applyProtection="0"/>
    <xf numFmtId="0" fontId="47" fillId="28" borderId="80" applyNumberFormat="0" applyAlignment="0" applyProtection="0"/>
    <xf numFmtId="0" fontId="49" fillId="0" borderId="81" applyNumberFormat="0" applyFill="0" applyAlignment="0" applyProtection="0"/>
    <xf numFmtId="9" fontId="1" fillId="0" borderId="0" applyFont="0" applyFill="0" applyBorder="0" applyAlignment="0" applyProtection="0"/>
    <xf numFmtId="0" fontId="82" fillId="0" borderId="0"/>
    <xf numFmtId="0" fontId="37" fillId="28" borderId="85" applyNumberFormat="0" applyAlignment="0" applyProtection="0"/>
    <xf numFmtId="0" fontId="44" fillId="15" borderId="85" applyNumberFormat="0" applyAlignment="0" applyProtection="0"/>
    <xf numFmtId="0" fontId="2" fillId="31" borderId="86" applyNumberFormat="0" applyFont="0" applyAlignment="0" applyProtection="0"/>
    <xf numFmtId="0" fontId="47" fillId="28" borderId="87" applyNumberFormat="0" applyAlignment="0" applyProtection="0"/>
    <xf numFmtId="0" fontId="49" fillId="0" borderId="88" applyNumberFormat="0" applyFill="0" applyAlignment="0" applyProtection="0"/>
    <xf numFmtId="0" fontId="37" fillId="28" borderId="85" applyNumberFormat="0" applyAlignment="0" applyProtection="0"/>
    <xf numFmtId="0" fontId="44" fillId="15" borderId="85" applyNumberFormat="0" applyAlignment="0" applyProtection="0"/>
    <xf numFmtId="0" fontId="2" fillId="31" borderId="86" applyNumberFormat="0" applyFont="0" applyAlignment="0" applyProtection="0"/>
    <xf numFmtId="0" fontId="47" fillId="28" borderId="87" applyNumberFormat="0" applyAlignment="0" applyProtection="0"/>
    <xf numFmtId="0" fontId="49" fillId="0" borderId="88" applyNumberFormat="0" applyFill="0" applyAlignment="0" applyProtection="0"/>
    <xf numFmtId="0" fontId="2" fillId="0" borderId="0"/>
  </cellStyleXfs>
  <cellXfs count="1026">
    <xf numFmtId="0" fontId="0" fillId="0" borderId="0" xfId="0"/>
    <xf numFmtId="0" fontId="2" fillId="0" borderId="0" xfId="1"/>
    <xf numFmtId="6" fontId="3" fillId="0" borderId="0" xfId="1" applyNumberFormat="1" applyFont="1"/>
    <xf numFmtId="0" fontId="3" fillId="0" borderId="0" xfId="1" applyFont="1"/>
    <xf numFmtId="6" fontId="4" fillId="0" borderId="0" xfId="1" applyNumberFormat="1" applyFont="1"/>
    <xf numFmtId="0" fontId="5" fillId="0" borderId="0" xfId="1" applyFont="1"/>
    <xf numFmtId="17" fontId="4" fillId="0" borderId="0" xfId="1" applyNumberFormat="1" applyFont="1" applyFill="1" applyBorder="1" applyAlignment="1">
      <alignment horizontal="center"/>
    </xf>
    <xf numFmtId="0" fontId="4" fillId="0" borderId="0" xfId="1" applyFont="1" applyBorder="1"/>
    <xf numFmtId="6" fontId="6" fillId="0" borderId="0" xfId="1" applyNumberFormat="1" applyFont="1"/>
    <xf numFmtId="6" fontId="7" fillId="0" borderId="0" xfId="1" applyNumberFormat="1" applyFont="1"/>
    <xf numFmtId="17" fontId="7" fillId="0" borderId="0" xfId="1" applyNumberFormat="1" applyFont="1" applyFill="1" applyBorder="1" applyAlignment="1">
      <alignment horizontal="center"/>
    </xf>
    <xf numFmtId="0" fontId="6" fillId="0" borderId="0" xfId="1" applyFont="1" applyBorder="1"/>
    <xf numFmtId="6" fontId="2" fillId="0" borderId="0" xfId="1" applyNumberFormat="1"/>
    <xf numFmtId="6" fontId="8" fillId="0" borderId="0" xfId="1" applyNumberFormat="1" applyFont="1"/>
    <xf numFmtId="6" fontId="9" fillId="0" borderId="0" xfId="1" applyNumberFormat="1" applyFont="1"/>
    <xf numFmtId="6" fontId="5" fillId="0" borderId="1" xfId="1" applyNumberFormat="1" applyFont="1" applyFill="1" applyBorder="1" applyAlignment="1" applyProtection="1">
      <alignment horizontal="right"/>
      <protection locked="0"/>
    </xf>
    <xf numFmtId="0" fontId="5" fillId="0" borderId="1" xfId="1" applyFont="1" applyBorder="1"/>
    <xf numFmtId="6" fontId="8" fillId="2" borderId="1" xfId="1" applyNumberFormat="1" applyFont="1" applyFill="1" applyBorder="1"/>
    <xf numFmtId="6" fontId="5" fillId="0" borderId="1" xfId="1" applyNumberFormat="1" applyFont="1" applyFill="1" applyBorder="1"/>
    <xf numFmtId="6" fontId="8" fillId="0" borderId="1" xfId="1" applyNumberFormat="1" applyFont="1" applyFill="1" applyBorder="1"/>
    <xf numFmtId="0" fontId="8" fillId="0" borderId="1" xfId="2" applyFont="1" applyBorder="1"/>
    <xf numFmtId="6" fontId="8" fillId="0" borderId="1" xfId="1" applyNumberFormat="1" applyFont="1" applyBorder="1"/>
    <xf numFmtId="0" fontId="8" fillId="0" borderId="1" xfId="1" applyFont="1" applyFill="1" applyBorder="1"/>
    <xf numFmtId="0" fontId="8" fillId="0" borderId="1" xfId="1" applyFont="1" applyBorder="1"/>
    <xf numFmtId="0" fontId="10" fillId="3" borderId="1" xfId="1" applyFont="1" applyFill="1" applyBorder="1" applyAlignment="1">
      <alignment horizontal="center" vertical="center" wrapText="1"/>
    </xf>
    <xf numFmtId="0" fontId="10" fillId="3" borderId="1" xfId="1" applyFont="1" applyFill="1" applyBorder="1" applyAlignment="1">
      <alignment horizontal="center" vertical="center"/>
    </xf>
    <xf numFmtId="0" fontId="2" fillId="3" borderId="0" xfId="1" applyFill="1"/>
    <xf numFmtId="0" fontId="5" fillId="0" borderId="0" xfId="1" applyFont="1" applyBorder="1"/>
    <xf numFmtId="0" fontId="2" fillId="0" borderId="0" xfId="1" applyBorder="1"/>
    <xf numFmtId="0" fontId="5" fillId="0" borderId="0" xfId="1" applyFont="1" applyFill="1" applyBorder="1"/>
    <xf numFmtId="6" fontId="6" fillId="0" borderId="0" xfId="1" applyNumberFormat="1" applyFont="1" applyBorder="1"/>
    <xf numFmtId="6" fontId="6" fillId="0" borderId="0" xfId="1" applyNumberFormat="1" applyFont="1" applyFill="1" applyBorder="1"/>
    <xf numFmtId="6" fontId="7" fillId="0" borderId="0" xfId="1" applyNumberFormat="1" applyFont="1" applyBorder="1"/>
    <xf numFmtId="6" fontId="7" fillId="0" borderId="0" xfId="1" applyNumberFormat="1" applyFont="1" applyFill="1" applyBorder="1"/>
    <xf numFmtId="0" fontId="13" fillId="0" borderId="0" xfId="1" applyFont="1"/>
    <xf numFmtId="164" fontId="13" fillId="0" borderId="0" xfId="1" applyNumberFormat="1" applyFont="1"/>
    <xf numFmtId="164" fontId="7" fillId="0" borderId="0" xfId="1" applyNumberFormat="1" applyFont="1"/>
    <xf numFmtId="0" fontId="6" fillId="0" borderId="0" xfId="1" applyFont="1" applyAlignment="1">
      <alignment horizontal="right"/>
    </xf>
    <xf numFmtId="164" fontId="7" fillId="0" borderId="0" xfId="1" applyNumberFormat="1" applyFont="1" applyBorder="1"/>
    <xf numFmtId="164" fontId="7" fillId="0" borderId="0" xfId="1" applyNumberFormat="1" applyFont="1" applyFill="1" applyBorder="1"/>
    <xf numFmtId="164" fontId="14" fillId="0" borderId="0" xfId="1" applyNumberFormat="1" applyFont="1" applyFill="1" applyAlignment="1">
      <alignment horizontal="center"/>
    </xf>
    <xf numFmtId="0" fontId="7" fillId="0" borderId="0" xfId="1" applyFont="1" applyAlignment="1">
      <alignment horizontal="right"/>
    </xf>
    <xf numFmtId="165" fontId="13" fillId="0" borderId="0" xfId="4" applyNumberFormat="1" applyFont="1"/>
    <xf numFmtId="0" fontId="12" fillId="0" borderId="0" xfId="3" applyFont="1"/>
    <xf numFmtId="165" fontId="13" fillId="0" borderId="0" xfId="4" applyNumberFormat="1" applyFont="1" applyBorder="1"/>
    <xf numFmtId="165" fontId="13" fillId="0" borderId="0" xfId="4" applyNumberFormat="1" applyFont="1" applyFill="1" applyBorder="1"/>
    <xf numFmtId="0" fontId="2" fillId="0" borderId="0" xfId="1" applyFill="1"/>
    <xf numFmtId="6" fontId="9" fillId="0" borderId="0" xfId="1" applyNumberFormat="1" applyFont="1" applyBorder="1"/>
    <xf numFmtId="10" fontId="9" fillId="0" borderId="0" xfId="1" applyNumberFormat="1" applyFont="1"/>
    <xf numFmtId="2" fontId="7" fillId="0" borderId="0" xfId="1" applyNumberFormat="1" applyFont="1" applyBorder="1"/>
    <xf numFmtId="164" fontId="5" fillId="0" borderId="1" xfId="1" applyNumberFormat="1" applyFont="1" applyFill="1" applyBorder="1"/>
    <xf numFmtId="8" fontId="9" fillId="0" borderId="0" xfId="1" applyNumberFormat="1" applyFont="1"/>
    <xf numFmtId="6" fontId="5" fillId="0" borderId="1" xfId="5" applyNumberFormat="1" applyFont="1" applyFill="1" applyBorder="1"/>
    <xf numFmtId="0" fontId="5" fillId="0" borderId="1" xfId="1" applyFont="1" applyBorder="1" applyAlignment="1"/>
    <xf numFmtId="10" fontId="5" fillId="0" borderId="1" xfId="6" applyNumberFormat="1" applyFont="1" applyFill="1" applyBorder="1" applyAlignment="1">
      <alignment horizontal="right"/>
    </xf>
    <xf numFmtId="10" fontId="5" fillId="0" borderId="6" xfId="5" applyNumberFormat="1" applyFont="1" applyBorder="1"/>
    <xf numFmtId="164" fontId="8" fillId="0" borderId="1" xfId="1" applyNumberFormat="1" applyFont="1" applyFill="1" applyBorder="1"/>
    <xf numFmtId="10" fontId="5" fillId="0" borderId="1" xfId="5" applyNumberFormat="1" applyFont="1" applyFill="1" applyBorder="1"/>
    <xf numFmtId="0" fontId="2" fillId="0" borderId="1" xfId="1" applyBorder="1"/>
    <xf numFmtId="164" fontId="5" fillId="0" borderId="1" xfId="1" applyNumberFormat="1" applyFont="1" applyBorder="1"/>
    <xf numFmtId="6" fontId="8" fillId="0" borderId="1" xfId="5" applyNumberFormat="1" applyFont="1" applyFill="1" applyBorder="1"/>
    <xf numFmtId="10" fontId="8" fillId="0" borderId="1" xfId="5" applyNumberFormat="1" applyFont="1" applyFill="1" applyBorder="1"/>
    <xf numFmtId="6" fontId="5" fillId="0" borderId="1" xfId="1" applyNumberFormat="1" applyFont="1" applyBorder="1"/>
    <xf numFmtId="10" fontId="8" fillId="0" borderId="1" xfId="7" applyNumberFormat="1" applyFont="1" applyFill="1" applyBorder="1" applyAlignment="1">
      <alignment horizontal="right"/>
    </xf>
    <xf numFmtId="10" fontId="8" fillId="0" borderId="6" xfId="5" applyNumberFormat="1" applyFont="1" applyFill="1" applyBorder="1"/>
    <xf numFmtId="6" fontId="2" fillId="0" borderId="1" xfId="1" applyNumberFormat="1" applyBorder="1"/>
    <xf numFmtId="164" fontId="5" fillId="0" borderId="1" xfId="1" applyNumberFormat="1" applyFont="1" applyFill="1" applyBorder="1" applyAlignment="1">
      <alignment horizontal="right"/>
    </xf>
    <xf numFmtId="164" fontId="5" fillId="0" borderId="1" xfId="1" applyNumberFormat="1" applyFont="1" applyFill="1" applyBorder="1" applyAlignment="1">
      <alignment horizontal="right" wrapText="1"/>
    </xf>
    <xf numFmtId="0" fontId="8" fillId="0" borderId="0" xfId="1" applyFont="1"/>
    <xf numFmtId="10" fontId="5" fillId="0" borderId="1" xfId="1" applyNumberFormat="1" applyFont="1" applyFill="1" applyBorder="1" applyAlignment="1">
      <alignment horizontal="right"/>
    </xf>
    <xf numFmtId="10" fontId="5" fillId="0" borderId="0" xfId="1" applyNumberFormat="1" applyFont="1" applyBorder="1" applyAlignment="1">
      <alignment horizontal="right" wrapText="1"/>
    </xf>
    <xf numFmtId="10" fontId="5" fillId="0" borderId="1" xfId="1" applyNumberFormat="1" applyFont="1" applyBorder="1" applyAlignment="1">
      <alignment horizontal="right" wrapText="1"/>
    </xf>
    <xf numFmtId="10" fontId="5" fillId="0" borderId="0" xfId="1" applyNumberFormat="1" applyFont="1" applyFill="1" applyBorder="1" applyAlignment="1">
      <alignment horizontal="right" wrapText="1"/>
    </xf>
    <xf numFmtId="0" fontId="10" fillId="3" borderId="1" xfId="1" applyFont="1" applyFill="1" applyBorder="1" applyAlignment="1">
      <alignment horizontal="center" wrapText="1"/>
    </xf>
    <xf numFmtId="0" fontId="10" fillId="3" borderId="1" xfId="1" applyFont="1" applyFill="1" applyBorder="1" applyAlignment="1">
      <alignment horizontal="center"/>
    </xf>
    <xf numFmtId="0" fontId="10" fillId="3" borderId="5" xfId="1" applyFont="1" applyFill="1" applyBorder="1" applyAlignment="1">
      <alignment horizontal="center"/>
    </xf>
    <xf numFmtId="0" fontId="10" fillId="0" borderId="0" xfId="1" applyFont="1" applyFill="1" applyBorder="1" applyAlignment="1">
      <alignment horizontal="center" wrapText="1"/>
    </xf>
    <xf numFmtId="0" fontId="10" fillId="3" borderId="4" xfId="1" applyFont="1" applyFill="1" applyBorder="1" applyAlignment="1">
      <alignment horizontal="center" wrapText="1"/>
    </xf>
    <xf numFmtId="0" fontId="10" fillId="3" borderId="8" xfId="1" applyFont="1" applyFill="1" applyBorder="1" applyAlignment="1">
      <alignment horizontal="center"/>
    </xf>
    <xf numFmtId="0" fontId="10" fillId="3" borderId="8" xfId="1" applyFont="1" applyFill="1" applyBorder="1" applyAlignment="1">
      <alignment horizontal="center" wrapText="1"/>
    </xf>
    <xf numFmtId="0" fontId="10" fillId="3" borderId="6" xfId="1" applyFont="1" applyFill="1" applyBorder="1" applyAlignment="1">
      <alignment horizontal="center" wrapText="1"/>
    </xf>
    <xf numFmtId="0" fontId="10" fillId="0" borderId="0" xfId="1" applyFont="1" applyFill="1" applyBorder="1" applyAlignment="1">
      <alignment horizontal="center" vertical="center"/>
    </xf>
    <xf numFmtId="0" fontId="17" fillId="0" borderId="0" xfId="1" applyFont="1" applyFill="1" applyBorder="1" applyAlignment="1">
      <alignment horizontal="center"/>
    </xf>
    <xf numFmtId="0" fontId="18" fillId="0" borderId="0" xfId="1" applyFont="1" applyBorder="1" applyAlignment="1"/>
    <xf numFmtId="0" fontId="18" fillId="0" borderId="14" xfId="1" applyFont="1" applyFill="1" applyBorder="1" applyAlignment="1"/>
    <xf numFmtId="6" fontId="7" fillId="0" borderId="0" xfId="1" applyNumberFormat="1" applyFont="1" applyAlignment="1">
      <alignment horizontal="center"/>
    </xf>
    <xf numFmtId="6" fontId="8" fillId="0" borderId="0" xfId="1" applyNumberFormat="1" applyFont="1" applyBorder="1"/>
    <xf numFmtId="0" fontId="8" fillId="0" borderId="0" xfId="1" applyFont="1" applyBorder="1"/>
    <xf numFmtId="0" fontId="13" fillId="0" borderId="0" xfId="1" applyFont="1" applyAlignment="1">
      <alignment horizontal="center"/>
    </xf>
    <xf numFmtId="6" fontId="13" fillId="0" borderId="0" xfId="1" applyNumberFormat="1" applyFont="1"/>
    <xf numFmtId="6" fontId="7" fillId="0" borderId="0" xfId="1" applyNumberFormat="1" applyFont="1" applyFill="1" applyAlignment="1">
      <alignment horizontal="center"/>
    </xf>
    <xf numFmtId="6" fontId="13" fillId="0" borderId="0" xfId="1" applyNumberFormat="1" applyFont="1" applyAlignment="1">
      <alignment horizontal="center"/>
    </xf>
    <xf numFmtId="6" fontId="13" fillId="0" borderId="0" xfId="1" applyNumberFormat="1" applyFont="1" applyFill="1" applyAlignment="1">
      <alignment horizontal="center"/>
    </xf>
    <xf numFmtId="165" fontId="13" fillId="0" borderId="0" xfId="1" applyNumberFormat="1" applyFont="1" applyAlignment="1">
      <alignment horizontal="center"/>
    </xf>
    <xf numFmtId="17" fontId="8" fillId="0" borderId="0" xfId="1" applyNumberFormat="1" applyFont="1" applyFill="1" applyBorder="1" applyAlignment="1">
      <alignment horizontal="center"/>
    </xf>
    <xf numFmtId="0" fontId="21" fillId="0" borderId="0" xfId="1" applyFont="1"/>
    <xf numFmtId="6" fontId="9" fillId="0" borderId="0" xfId="1" applyNumberFormat="1" applyFont="1" applyAlignment="1">
      <alignment horizontal="center"/>
    </xf>
    <xf numFmtId="6" fontId="9" fillId="0" borderId="0" xfId="1" applyNumberFormat="1" applyFont="1" applyFill="1" applyBorder="1"/>
    <xf numFmtId="0" fontId="8" fillId="0" borderId="0" xfId="1" applyFont="1" applyFill="1"/>
    <xf numFmtId="6" fontId="13" fillId="0" borderId="0" xfId="1" applyNumberFormat="1" applyFont="1" applyFill="1"/>
    <xf numFmtId="0" fontId="8" fillId="0" borderId="0" xfId="1" applyFont="1" applyFill="1" applyBorder="1"/>
    <xf numFmtId="165" fontId="13" fillId="0" borderId="0" xfId="4" applyNumberFormat="1" applyFont="1" applyFill="1" applyAlignment="1">
      <alignment horizontal="center"/>
    </xf>
    <xf numFmtId="0" fontId="6" fillId="0" borderId="0" xfId="1" applyFont="1" applyFill="1"/>
    <xf numFmtId="6" fontId="8" fillId="0" borderId="0" xfId="1" applyNumberFormat="1" applyFont="1" applyFill="1"/>
    <xf numFmtId="13" fontId="5" fillId="0" borderId="8" xfId="1" applyNumberFormat="1" applyFont="1" applyFill="1" applyBorder="1" applyAlignment="1">
      <alignment horizontal="center"/>
    </xf>
    <xf numFmtId="0" fontId="5" fillId="0" borderId="1" xfId="1" applyFont="1" applyBorder="1" applyAlignment="1">
      <alignment horizontal="center"/>
    </xf>
    <xf numFmtId="0" fontId="5" fillId="0" borderId="1" xfId="1" applyFont="1" applyFill="1" applyBorder="1"/>
    <xf numFmtId="6" fontId="8" fillId="6" borderId="8" xfId="1" applyNumberFormat="1" applyFont="1" applyFill="1" applyBorder="1"/>
    <xf numFmtId="6" fontId="8" fillId="6" borderId="2" xfId="1" applyNumberFormat="1" applyFont="1" applyFill="1" applyBorder="1"/>
    <xf numFmtId="6" fontId="8" fillId="6" borderId="4" xfId="1" applyNumberFormat="1" applyFont="1" applyFill="1" applyBorder="1"/>
    <xf numFmtId="17" fontId="8" fillId="6" borderId="8" xfId="1" applyNumberFormat="1" applyFont="1" applyFill="1" applyBorder="1" applyAlignment="1">
      <alignment horizontal="center"/>
    </xf>
    <xf numFmtId="0" fontId="8" fillId="6" borderId="8" xfId="1" applyFont="1" applyFill="1" applyBorder="1"/>
    <xf numFmtId="6" fontId="8" fillId="0" borderId="8" xfId="1" applyNumberFormat="1" applyFont="1" applyFill="1" applyBorder="1"/>
    <xf numFmtId="17" fontId="8" fillId="0" borderId="8" xfId="1" applyNumberFormat="1" applyFont="1" applyFill="1" applyBorder="1" applyAlignment="1">
      <alignment horizontal="center"/>
    </xf>
    <xf numFmtId="17" fontId="8" fillId="0" borderId="1" xfId="1" applyNumberFormat="1" applyFont="1" applyFill="1" applyBorder="1" applyAlignment="1">
      <alignment horizontal="center"/>
    </xf>
    <xf numFmtId="6" fontId="8" fillId="0" borderId="15" xfId="1" applyNumberFormat="1" applyFont="1" applyFill="1" applyBorder="1"/>
    <xf numFmtId="6" fontId="8" fillId="0" borderId="16" xfId="1" applyNumberFormat="1" applyFont="1" applyFill="1" applyBorder="1"/>
    <xf numFmtId="17" fontId="8" fillId="0" borderId="16" xfId="1" applyNumberFormat="1" applyFont="1" applyFill="1" applyBorder="1" applyAlignment="1">
      <alignment horizontal="center"/>
    </xf>
    <xf numFmtId="0" fontId="8" fillId="0" borderId="16" xfId="1" applyFont="1" applyFill="1" applyBorder="1"/>
    <xf numFmtId="6" fontId="8" fillId="0" borderId="9" xfId="1" applyNumberFormat="1" applyFont="1" applyFill="1" applyBorder="1"/>
    <xf numFmtId="6" fontId="8" fillId="0" borderId="17" xfId="1" applyNumberFormat="1" applyFont="1" applyFill="1" applyBorder="1"/>
    <xf numFmtId="17" fontId="8" fillId="0" borderId="17" xfId="1" applyNumberFormat="1" applyFont="1" applyFill="1" applyBorder="1" applyAlignment="1">
      <alignment horizontal="center"/>
    </xf>
    <xf numFmtId="0" fontId="8" fillId="0" borderId="17" xfId="8" applyFont="1" applyFill="1" applyBorder="1"/>
    <xf numFmtId="0" fontId="8" fillId="7" borderId="17" xfId="8" applyFont="1" applyFill="1" applyBorder="1"/>
    <xf numFmtId="0" fontId="8" fillId="7" borderId="1" xfId="8" applyFont="1" applyFill="1" applyBorder="1"/>
    <xf numFmtId="6" fontId="8" fillId="2" borderId="5" xfId="1" applyNumberFormat="1" applyFont="1" applyFill="1" applyBorder="1"/>
    <xf numFmtId="6" fontId="8" fillId="2" borderId="6" xfId="1" applyNumberFormat="1" applyFont="1" applyFill="1" applyBorder="1"/>
    <xf numFmtId="17" fontId="8" fillId="2" borderId="1" xfId="1" applyNumberFormat="1" applyFont="1" applyFill="1" applyBorder="1" applyAlignment="1">
      <alignment horizontal="center"/>
    </xf>
    <xf numFmtId="0" fontId="8" fillId="2" borderId="8" xfId="1" applyFont="1" applyFill="1" applyBorder="1"/>
    <xf numFmtId="166" fontId="8" fillId="0" borderId="1" xfId="1" applyNumberFormat="1" applyFont="1" applyFill="1" applyBorder="1" applyAlignment="1">
      <alignment horizontal="center"/>
    </xf>
    <xf numFmtId="0" fontId="9" fillId="0" borderId="0" xfId="1" applyFont="1" applyFill="1"/>
    <xf numFmtId="17" fontId="8" fillId="0" borderId="10" xfId="1" applyNumberFormat="1" applyFont="1" applyFill="1" applyBorder="1" applyAlignment="1">
      <alignment horizontal="center"/>
    </xf>
    <xf numFmtId="6" fontId="8" fillId="0" borderId="17" xfId="9" applyNumberFormat="1" applyFont="1" applyFill="1" applyBorder="1"/>
    <xf numFmtId="166" fontId="8" fillId="0" borderId="17" xfId="1" applyNumberFormat="1" applyFont="1" applyFill="1" applyBorder="1" applyAlignment="1">
      <alignment horizontal="center"/>
    </xf>
    <xf numFmtId="0" fontId="8" fillId="0" borderId="17" xfId="1" applyFont="1" applyFill="1" applyBorder="1"/>
    <xf numFmtId="6" fontId="8" fillId="0" borderId="8" xfId="9" applyNumberFormat="1" applyFont="1" applyFill="1" applyBorder="1"/>
    <xf numFmtId="166" fontId="8" fillId="0" borderId="8" xfId="1" applyNumberFormat="1" applyFont="1" applyFill="1" applyBorder="1" applyAlignment="1">
      <alignment horizontal="center"/>
    </xf>
    <xf numFmtId="0" fontId="8" fillId="0" borderId="8" xfId="1" applyFont="1" applyFill="1" applyBorder="1"/>
    <xf numFmtId="6" fontId="8" fillId="0" borderId="10" xfId="1" applyNumberFormat="1" applyFont="1" applyFill="1" applyBorder="1"/>
    <xf numFmtId="6" fontId="8" fillId="0" borderId="0" xfId="1" applyNumberFormat="1" applyFont="1" applyFill="1" applyBorder="1"/>
    <xf numFmtId="0" fontId="10" fillId="3" borderId="5"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1" fillId="0" borderId="0" xfId="1" applyFont="1" applyBorder="1" applyAlignment="1">
      <alignment horizontal="center"/>
    </xf>
    <xf numFmtId="44" fontId="8" fillId="0" borderId="0" xfId="4" applyFont="1"/>
    <xf numFmtId="44" fontId="13" fillId="0" borderId="0" xfId="4" applyFont="1" applyBorder="1" applyAlignment="1">
      <alignment horizontal="left"/>
    </xf>
    <xf numFmtId="165" fontId="8" fillId="0" borderId="0" xfId="1" applyNumberFormat="1" applyFont="1" applyBorder="1"/>
    <xf numFmtId="6" fontId="13" fillId="0" borderId="0" xfId="1" applyNumberFormat="1" applyFont="1" applyBorder="1" applyAlignment="1">
      <alignment horizontal="left"/>
    </xf>
    <xf numFmtId="6" fontId="13" fillId="0" borderId="0" xfId="1" applyNumberFormat="1" applyFont="1" applyBorder="1" applyAlignment="1">
      <alignment horizontal="center"/>
    </xf>
    <xf numFmtId="6" fontId="8" fillId="0" borderId="0" xfId="1" applyNumberFormat="1" applyFont="1" applyAlignment="1">
      <alignment horizontal="right"/>
    </xf>
    <xf numFmtId="165" fontId="8" fillId="0" borderId="0" xfId="1" applyNumberFormat="1" applyFont="1" applyAlignment="1">
      <alignment horizontal="right"/>
    </xf>
    <xf numFmtId="165" fontId="9" fillId="0" borderId="0" xfId="4" applyNumberFormat="1" applyFont="1" applyAlignment="1">
      <alignment horizontal="center"/>
    </xf>
    <xf numFmtId="0" fontId="9" fillId="0" borderId="0" xfId="1" applyFont="1"/>
    <xf numFmtId="0" fontId="22" fillId="0" borderId="0" xfId="1" applyFont="1" applyBorder="1" applyAlignment="1">
      <alignment horizontal="center"/>
    </xf>
    <xf numFmtId="13" fontId="5" fillId="0" borderId="1" xfId="1" applyNumberFormat="1" applyFont="1" applyBorder="1" applyAlignment="1">
      <alignment horizontal="center"/>
    </xf>
    <xf numFmtId="0" fontId="5" fillId="0" borderId="1" xfId="8" applyFont="1" applyFill="1" applyBorder="1" applyAlignment="1">
      <alignment horizontal="center"/>
    </xf>
    <xf numFmtId="0" fontId="8" fillId="0" borderId="1" xfId="8" applyFont="1" applyFill="1" applyBorder="1"/>
    <xf numFmtId="17" fontId="8" fillId="2" borderId="8" xfId="1" applyNumberFormat="1" applyFont="1" applyFill="1" applyBorder="1" applyAlignment="1">
      <alignment horizontal="center"/>
    </xf>
    <xf numFmtId="0" fontId="8" fillId="2" borderId="1" xfId="1" applyFont="1" applyFill="1" applyBorder="1"/>
    <xf numFmtId="6" fontId="8" fillId="0" borderId="1" xfId="9" applyNumberFormat="1" applyFont="1" applyFill="1" applyBorder="1"/>
    <xf numFmtId="6" fontId="8" fillId="0" borderId="5" xfId="9" applyNumberFormat="1" applyFont="1" applyFill="1" applyBorder="1"/>
    <xf numFmtId="6" fontId="8" fillId="0" borderId="5" xfId="1" applyNumberFormat="1" applyFont="1" applyFill="1" applyBorder="1"/>
    <xf numFmtId="17" fontId="8" fillId="0" borderId="4" xfId="1" applyNumberFormat="1" applyFont="1" applyFill="1" applyBorder="1" applyAlignment="1">
      <alignment horizontal="center"/>
    </xf>
    <xf numFmtId="6" fontId="8" fillId="8" borderId="17" xfId="9" applyNumberFormat="1" applyFont="1" applyFill="1" applyBorder="1"/>
    <xf numFmtId="6" fontId="8" fillId="0" borderId="2" xfId="1" applyNumberFormat="1" applyFont="1" applyFill="1" applyBorder="1"/>
    <xf numFmtId="6" fontId="8" fillId="8" borderId="1" xfId="9" applyNumberFormat="1" applyFont="1" applyFill="1" applyBorder="1"/>
    <xf numFmtId="6" fontId="8" fillId="8" borderId="8" xfId="9" applyNumberFormat="1" applyFont="1" applyFill="1" applyBorder="1"/>
    <xf numFmtId="0" fontId="10" fillId="3" borderId="18" xfId="1" applyFont="1" applyFill="1" applyBorder="1" applyAlignment="1">
      <alignment horizontal="center" vertical="center" wrapText="1"/>
    </xf>
    <xf numFmtId="0" fontId="10" fillId="3" borderId="9" xfId="1" applyFont="1" applyFill="1" applyBorder="1" applyAlignment="1">
      <alignment horizontal="center" vertical="center" wrapText="1"/>
    </xf>
    <xf numFmtId="49" fontId="25" fillId="0" borderId="0" xfId="1" applyNumberFormat="1" applyFont="1" applyAlignment="1">
      <alignment horizontal="left"/>
    </xf>
    <xf numFmtId="165" fontId="6" fillId="0" borderId="0" xfId="1" applyNumberFormat="1" applyFont="1"/>
    <xf numFmtId="49" fontId="25" fillId="0" borderId="0" xfId="1" applyNumberFormat="1" applyFont="1" applyAlignment="1">
      <alignment horizontal="center"/>
    </xf>
    <xf numFmtId="165" fontId="13" fillId="0" borderId="0" xfId="4" applyNumberFormat="1" applyFont="1" applyAlignment="1">
      <alignment horizontal="center"/>
    </xf>
    <xf numFmtId="165" fontId="13" fillId="0" borderId="0" xfId="4" applyNumberFormat="1" applyFont="1" applyBorder="1" applyAlignment="1">
      <alignment horizontal="center"/>
    </xf>
    <xf numFmtId="6" fontId="6" fillId="0" borderId="0" xfId="1" applyNumberFormat="1" applyFont="1" applyAlignment="1">
      <alignment horizontal="center"/>
    </xf>
    <xf numFmtId="0" fontId="6" fillId="0" borderId="0" xfId="1" applyFont="1"/>
    <xf numFmtId="6" fontId="5" fillId="0" borderId="0" xfId="1" applyNumberFormat="1" applyFont="1" applyBorder="1"/>
    <xf numFmtId="17" fontId="5" fillId="0" borderId="4" xfId="1" applyNumberFormat="1" applyFont="1" applyFill="1" applyBorder="1" applyAlignment="1">
      <alignment horizontal="center"/>
    </xf>
    <xf numFmtId="6" fontId="8" fillId="6" borderId="0" xfId="1" applyNumberFormat="1" applyFont="1" applyFill="1" applyBorder="1"/>
    <xf numFmtId="17" fontId="5" fillId="6" borderId="8" xfId="1" applyNumberFormat="1" applyFont="1" applyFill="1" applyBorder="1" applyAlignment="1">
      <alignment horizontal="center"/>
    </xf>
    <xf numFmtId="8" fontId="7" fillId="0" borderId="0" xfId="10" applyNumberFormat="1" applyFont="1" applyFill="1" applyBorder="1" applyAlignment="1">
      <alignment horizontal="center" vertical="center" wrapText="1"/>
    </xf>
    <xf numFmtId="6" fontId="8" fillId="2" borderId="0" xfId="1" applyNumberFormat="1" applyFont="1" applyFill="1" applyBorder="1"/>
    <xf numFmtId="6" fontId="8" fillId="2" borderId="4" xfId="1" applyNumberFormat="1" applyFont="1" applyFill="1" applyBorder="1"/>
    <xf numFmtId="6" fontId="8" fillId="2" borderId="8" xfId="1" applyNumberFormat="1" applyFont="1" applyFill="1" applyBorder="1"/>
    <xf numFmtId="6" fontId="8" fillId="8" borderId="10" xfId="9" applyNumberFormat="1" applyFont="1" applyFill="1" applyBorder="1"/>
    <xf numFmtId="164" fontId="11" fillId="0" borderId="0" xfId="11" applyNumberFormat="1" applyFont="1" applyFill="1" applyBorder="1"/>
    <xf numFmtId="164" fontId="8" fillId="0" borderId="0" xfId="11" applyNumberFormat="1" applyFont="1" applyFill="1" applyBorder="1"/>
    <xf numFmtId="6" fontId="8" fillId="0" borderId="19" xfId="1" applyNumberFormat="1" applyFont="1" applyFill="1" applyBorder="1"/>
    <xf numFmtId="6" fontId="8" fillId="0" borderId="0" xfId="11" applyNumberFormat="1" applyFont="1" applyFill="1" applyBorder="1"/>
    <xf numFmtId="0" fontId="10" fillId="3" borderId="9" xfId="10" applyFont="1" applyFill="1" applyBorder="1" applyAlignment="1">
      <alignment horizontal="center" vertical="center" wrapText="1"/>
    </xf>
    <xf numFmtId="0" fontId="13" fillId="0" borderId="0" xfId="1" applyFont="1" applyFill="1"/>
    <xf numFmtId="165" fontId="13" fillId="0" borderId="0" xfId="1" applyNumberFormat="1" applyFont="1" applyFill="1" applyAlignment="1">
      <alignment horizontal="right"/>
    </xf>
    <xf numFmtId="6" fontId="13" fillId="0" borderId="0" xfId="1" applyNumberFormat="1" applyFont="1" applyFill="1" applyAlignment="1">
      <alignment horizontal="right"/>
    </xf>
    <xf numFmtId="6" fontId="5" fillId="0" borderId="6" xfId="1" applyNumberFormat="1" applyFont="1" applyFill="1" applyBorder="1"/>
    <xf numFmtId="6" fontId="5" fillId="0" borderId="0" xfId="1" applyNumberFormat="1" applyFont="1" applyFill="1" applyBorder="1"/>
    <xf numFmtId="6" fontId="8" fillId="6" borderId="8" xfId="9" applyNumberFormat="1" applyFont="1" applyFill="1" applyBorder="1"/>
    <xf numFmtId="6" fontId="8" fillId="0" borderId="20" xfId="1" applyNumberFormat="1" applyFont="1" applyFill="1" applyBorder="1"/>
    <xf numFmtId="6" fontId="8" fillId="0" borderId="6" xfId="1" applyNumberFormat="1" applyFont="1" applyFill="1" applyBorder="1"/>
    <xf numFmtId="6" fontId="8" fillId="6" borderId="1" xfId="1" applyNumberFormat="1" applyFont="1" applyFill="1" applyBorder="1"/>
    <xf numFmtId="6" fontId="8" fillId="6" borderId="1" xfId="9" applyNumberFormat="1" applyFont="1" applyFill="1" applyBorder="1"/>
    <xf numFmtId="6" fontId="8" fillId="0" borderId="4" xfId="1" applyNumberFormat="1" applyFont="1" applyFill="1" applyBorder="1"/>
    <xf numFmtId="0" fontId="8" fillId="0" borderId="9" xfId="1" applyFont="1" applyFill="1" applyBorder="1"/>
    <xf numFmtId="0" fontId="13" fillId="0" borderId="0" xfId="1" applyFont="1" applyFill="1" applyBorder="1"/>
    <xf numFmtId="165" fontId="13" fillId="0" borderId="0" xfId="1" applyNumberFormat="1" applyFont="1" applyFill="1"/>
    <xf numFmtId="6" fontId="8" fillId="0" borderId="22" xfId="1" applyNumberFormat="1" applyFont="1" applyFill="1" applyBorder="1"/>
    <xf numFmtId="17" fontId="8" fillId="0" borderId="15" xfId="1" applyNumberFormat="1" applyFont="1" applyFill="1" applyBorder="1" applyAlignment="1">
      <alignment horizontal="center"/>
    </xf>
    <xf numFmtId="6" fontId="8" fillId="0" borderId="18" xfId="1" applyNumberFormat="1" applyFont="1" applyFill="1" applyBorder="1"/>
    <xf numFmtId="6" fontId="8" fillId="2" borderId="2" xfId="1" applyNumberFormat="1" applyFont="1" applyFill="1" applyBorder="1"/>
    <xf numFmtId="0" fontId="10" fillId="3" borderId="12" xfId="1" applyFont="1" applyFill="1" applyBorder="1" applyAlignment="1">
      <alignment horizontal="center" vertical="center" wrapText="1"/>
    </xf>
    <xf numFmtId="6" fontId="5" fillId="0" borderId="22" xfId="9" applyNumberFormat="1" applyFont="1" applyFill="1" applyBorder="1"/>
    <xf numFmtId="6" fontId="5" fillId="7" borderId="22" xfId="9" applyNumberFormat="1" applyFont="1" applyFill="1" applyBorder="1"/>
    <xf numFmtId="6" fontId="5" fillId="8" borderId="22" xfId="9" applyNumberFormat="1" applyFont="1" applyFill="1" applyBorder="1"/>
    <xf numFmtId="0" fontId="5" fillId="8" borderId="26" xfId="9" applyFont="1" applyFill="1" applyBorder="1" applyAlignment="1">
      <alignment vertical="center"/>
    </xf>
    <xf numFmtId="6" fontId="27" fillId="0" borderId="21" xfId="9" applyNumberFormat="1" applyFont="1" applyFill="1" applyBorder="1" applyAlignment="1">
      <alignment horizontal="center"/>
    </xf>
    <xf numFmtId="6" fontId="5" fillId="0" borderId="28" xfId="9" applyNumberFormat="1" applyFont="1" applyFill="1" applyBorder="1" applyAlignment="1">
      <alignment horizontal="center"/>
    </xf>
    <xf numFmtId="6" fontId="5" fillId="8" borderId="29" xfId="9" applyNumberFormat="1" applyFont="1" applyFill="1" applyBorder="1" applyAlignment="1">
      <alignment horizontal="center"/>
    </xf>
    <xf numFmtId="6" fontId="5" fillId="0" borderId="30" xfId="9" applyNumberFormat="1" applyFont="1" applyFill="1" applyBorder="1" applyAlignment="1">
      <alignment horizontal="center"/>
    </xf>
    <xf numFmtId="6" fontId="5" fillId="8" borderId="21" xfId="9" applyNumberFormat="1" applyFont="1" applyFill="1" applyBorder="1" applyAlignment="1">
      <alignment horizontal="center"/>
    </xf>
    <xf numFmtId="0" fontId="5" fillId="0" borderId="0" xfId="9" applyFont="1" applyFill="1" applyBorder="1"/>
    <xf numFmtId="0" fontId="5" fillId="8" borderId="22" xfId="9" applyFont="1" applyFill="1" applyBorder="1" applyAlignment="1">
      <alignment horizontal="left" vertical="center" wrapText="1"/>
    </xf>
    <xf numFmtId="6" fontId="27" fillId="0" borderId="30" xfId="9" applyNumberFormat="1" applyFont="1" applyFill="1" applyBorder="1" applyAlignment="1">
      <alignment horizontal="center"/>
    </xf>
    <xf numFmtId="6" fontId="5" fillId="8" borderId="27" xfId="9" applyNumberFormat="1" applyFont="1" applyFill="1" applyBorder="1" applyAlignment="1">
      <alignment horizontal="center"/>
    </xf>
    <xf numFmtId="6" fontId="21" fillId="0" borderId="0" xfId="9" applyNumberFormat="1" applyFont="1" applyFill="1" applyBorder="1"/>
    <xf numFmtId="0" fontId="28" fillId="0" borderId="0" xfId="9" applyFont="1" applyFill="1" applyBorder="1"/>
    <xf numFmtId="0" fontId="5" fillId="0" borderId="32" xfId="9" applyFont="1" applyFill="1" applyBorder="1"/>
    <xf numFmtId="0" fontId="5" fillId="0" borderId="26" xfId="9" applyFont="1" applyFill="1" applyBorder="1"/>
    <xf numFmtId="6" fontId="21" fillId="0" borderId="21" xfId="9" applyNumberFormat="1" applyFont="1" applyFill="1" applyBorder="1" applyAlignment="1">
      <alignment horizontal="center"/>
    </xf>
    <xf numFmtId="6" fontId="5" fillId="0" borderId="29" xfId="9" applyNumberFormat="1" applyFont="1" applyFill="1" applyBorder="1" applyAlignment="1">
      <alignment horizontal="center"/>
    </xf>
    <xf numFmtId="0" fontId="5" fillId="0" borderId="29" xfId="9" applyFont="1" applyFill="1" applyBorder="1" applyAlignment="1">
      <alignment horizontal="center"/>
    </xf>
    <xf numFmtId="6" fontId="5" fillId="0" borderId="21" xfId="9" applyNumberFormat="1" applyFont="1" applyFill="1" applyBorder="1" applyAlignment="1">
      <alignment horizontal="center"/>
    </xf>
    <xf numFmtId="0" fontId="5" fillId="0" borderId="21" xfId="9" applyFont="1" applyFill="1" applyBorder="1" applyAlignment="1">
      <alignment horizontal="center"/>
    </xf>
    <xf numFmtId="6" fontId="21" fillId="0" borderId="30" xfId="9" applyNumberFormat="1" applyFont="1" applyFill="1" applyBorder="1" applyAlignment="1">
      <alignment horizontal="center"/>
    </xf>
    <xf numFmtId="0" fontId="5" fillId="8" borderId="22" xfId="9" applyFont="1" applyFill="1" applyBorder="1" applyAlignment="1">
      <alignment vertical="center" wrapText="1"/>
    </xf>
    <xf numFmtId="6" fontId="5" fillId="0" borderId="33" xfId="9" applyNumberFormat="1" applyFont="1" applyFill="1" applyBorder="1" applyAlignment="1">
      <alignment horizontal="center"/>
    </xf>
    <xf numFmtId="6" fontId="5" fillId="0" borderId="27" xfId="9" applyNumberFormat="1" applyFont="1" applyFill="1" applyBorder="1" applyAlignment="1">
      <alignment horizontal="center"/>
    </xf>
    <xf numFmtId="0" fontId="5" fillId="0" borderId="27" xfId="9" applyFont="1" applyFill="1" applyBorder="1" applyAlignment="1">
      <alignment horizontal="center"/>
    </xf>
    <xf numFmtId="1" fontId="5" fillId="8" borderId="0" xfId="14" applyNumberFormat="1" applyFont="1" applyFill="1" applyBorder="1" applyAlignment="1" applyProtection="1">
      <alignment horizontal="center"/>
    </xf>
    <xf numFmtId="0" fontId="5" fillId="8" borderId="0" xfId="14" applyFont="1" applyFill="1" applyAlignment="1" applyProtection="1">
      <alignment horizontal="right"/>
    </xf>
    <xf numFmtId="0" fontId="5" fillId="8" borderId="0" xfId="14" applyFont="1" applyFill="1" applyBorder="1" applyAlignment="1" applyProtection="1">
      <alignment horizontal="center"/>
    </xf>
    <xf numFmtId="0" fontId="5" fillId="8" borderId="0" xfId="14" applyFont="1" applyFill="1" applyAlignment="1" applyProtection="1">
      <alignment horizontal="left"/>
    </xf>
    <xf numFmtId="17" fontId="5" fillId="8" borderId="0" xfId="14" applyNumberFormat="1" applyFont="1" applyFill="1" applyBorder="1" applyAlignment="1" applyProtection="1">
      <alignment horizontal="center"/>
    </xf>
    <xf numFmtId="0" fontId="5" fillId="8" borderId="0" xfId="14" applyFont="1" applyFill="1" applyAlignment="1" applyProtection="1">
      <alignment horizontal="centerContinuous"/>
    </xf>
    <xf numFmtId="165" fontId="8" fillId="0" borderId="0" xfId="1" applyNumberFormat="1" applyFont="1" applyFill="1" applyBorder="1"/>
    <xf numFmtId="6" fontId="8" fillId="0" borderId="0" xfId="1" applyNumberFormat="1" applyFont="1" applyFill="1" applyAlignment="1">
      <alignment horizontal="right"/>
    </xf>
    <xf numFmtId="6" fontId="8" fillId="0" borderId="39" xfId="1" applyNumberFormat="1" applyFont="1" applyFill="1" applyBorder="1"/>
    <xf numFmtId="6" fontId="8" fillId="8" borderId="0" xfId="9" applyNumberFormat="1" applyFont="1" applyFill="1" applyBorder="1"/>
    <xf numFmtId="0" fontId="8" fillId="0" borderId="40" xfId="1" applyFont="1" applyFill="1" applyBorder="1"/>
    <xf numFmtId="0" fontId="8" fillId="0" borderId="1" xfId="1" applyFont="1" applyBorder="1" applyAlignment="1">
      <alignment horizontal="center"/>
    </xf>
    <xf numFmtId="0" fontId="8" fillId="0" borderId="8" xfId="1" applyFont="1" applyBorder="1" applyAlignment="1">
      <alignment horizontal="center"/>
    </xf>
    <xf numFmtId="0" fontId="8" fillId="6" borderId="10" xfId="1" applyFont="1" applyFill="1" applyBorder="1"/>
    <xf numFmtId="17" fontId="8" fillId="6" borderId="7" xfId="1" applyNumberFormat="1" applyFont="1" applyFill="1" applyBorder="1" applyAlignment="1">
      <alignment horizontal="center"/>
    </xf>
    <xf numFmtId="17" fontId="8" fillId="6" borderId="10" xfId="1" applyNumberFormat="1" applyFont="1" applyFill="1" applyBorder="1" applyAlignment="1">
      <alignment horizontal="center"/>
    </xf>
    <xf numFmtId="6" fontId="8" fillId="6" borderId="10" xfId="1" applyNumberFormat="1" applyFont="1" applyFill="1" applyBorder="1"/>
    <xf numFmtId="6" fontId="8" fillId="6" borderId="7" xfId="1" applyNumberFormat="1" applyFont="1" applyFill="1" applyBorder="1"/>
    <xf numFmtId="166" fontId="8" fillId="6" borderId="10" xfId="1" applyNumberFormat="1" applyFont="1" applyFill="1" applyBorder="1" applyAlignment="1">
      <alignment horizontal="center"/>
    </xf>
    <xf numFmtId="6" fontId="8" fillId="0" borderId="11" xfId="1" applyNumberFormat="1" applyFont="1" applyFill="1" applyBorder="1"/>
    <xf numFmtId="6" fontId="8" fillId="0" borderId="41" xfId="1" applyNumberFormat="1" applyFont="1" applyFill="1" applyBorder="1"/>
    <xf numFmtId="165" fontId="13" fillId="0" borderId="0" xfId="1" applyNumberFormat="1" applyFont="1" applyBorder="1"/>
    <xf numFmtId="6" fontId="8" fillId="0" borderId="0" xfId="1" applyNumberFormat="1" applyFont="1" applyFill="1" applyAlignment="1">
      <alignment horizontal="center"/>
    </xf>
    <xf numFmtId="0" fontId="30" fillId="0" borderId="0" xfId="3" applyFont="1" applyAlignment="1">
      <alignment horizontal="right"/>
    </xf>
    <xf numFmtId="164" fontId="5" fillId="0" borderId="0" xfId="1" applyNumberFormat="1" applyFont="1" applyFill="1" applyBorder="1"/>
    <xf numFmtId="0" fontId="10" fillId="0" borderId="0" xfId="1" applyFont="1" applyFill="1" applyBorder="1" applyAlignment="1">
      <alignment horizontal="center"/>
    </xf>
    <xf numFmtId="6" fontId="2" fillId="0" borderId="1" xfId="1" applyNumberFormat="1" applyFont="1" applyBorder="1"/>
    <xf numFmtId="17" fontId="2" fillId="0" borderId="1" xfId="1" applyNumberFormat="1" applyFont="1" applyFill="1" applyBorder="1" applyAlignment="1">
      <alignment horizontal="center"/>
    </xf>
    <xf numFmtId="17" fontId="5" fillId="0" borderId="1" xfId="1" applyNumberFormat="1" applyFont="1" applyFill="1" applyBorder="1" applyAlignment="1">
      <alignment horizontal="center"/>
    </xf>
    <xf numFmtId="0" fontId="2" fillId="0" borderId="1" xfId="8" applyFont="1" applyFill="1" applyBorder="1" applyAlignment="1">
      <alignment horizontal="center"/>
    </xf>
    <xf numFmtId="6" fontId="8" fillId="8" borderId="5" xfId="9" applyNumberFormat="1" applyFont="1" applyFill="1" applyBorder="1"/>
    <xf numFmtId="6" fontId="2" fillId="0" borderId="1" xfId="9" applyNumberFormat="1" applyFont="1" applyFill="1" applyBorder="1"/>
    <xf numFmtId="6" fontId="2" fillId="8" borderId="1" xfId="9" applyNumberFormat="1" applyFont="1" applyFill="1" applyBorder="1"/>
    <xf numFmtId="0" fontId="10" fillId="3" borderId="9" xfId="1" applyFont="1" applyFill="1" applyBorder="1" applyAlignment="1">
      <alignment horizontal="center" vertical="center" wrapText="1"/>
    </xf>
    <xf numFmtId="164" fontId="18" fillId="0" borderId="0" xfId="1" applyNumberFormat="1" applyFont="1" applyBorder="1" applyAlignment="1">
      <alignment horizontal="center"/>
    </xf>
    <xf numFmtId="0" fontId="11" fillId="0" borderId="0" xfId="1" applyFont="1" applyBorder="1" applyAlignment="1">
      <alignment horizontal="center"/>
    </xf>
    <xf numFmtId="6" fontId="8" fillId="0" borderId="9" xfId="9" applyNumberFormat="1" applyFont="1" applyFill="1" applyBorder="1"/>
    <xf numFmtId="6" fontId="2" fillId="0" borderId="17" xfId="9" applyNumberFormat="1" applyFont="1" applyFill="1" applyBorder="1"/>
    <xf numFmtId="0" fontId="8" fillId="0" borderId="0" xfId="1" applyFont="1" applyAlignment="1">
      <alignment horizontal="center" wrapText="1"/>
    </xf>
    <xf numFmtId="0" fontId="2" fillId="0" borderId="1" xfId="1" applyFont="1" applyFill="1" applyBorder="1"/>
    <xf numFmtId="6" fontId="31" fillId="0" borderId="0" xfId="1" applyNumberFormat="1" applyFont="1" applyFill="1"/>
    <xf numFmtId="6" fontId="8" fillId="0" borderId="16" xfId="9" applyNumberFormat="1" applyFont="1" applyFill="1" applyBorder="1"/>
    <xf numFmtId="6" fontId="2" fillId="0" borderId="0" xfId="1" applyNumberFormat="1" applyFont="1" applyFill="1" applyBorder="1"/>
    <xf numFmtId="0" fontId="2" fillId="0" borderId="0" xfId="1" applyFill="1" applyBorder="1"/>
    <xf numFmtId="6" fontId="2" fillId="0" borderId="1" xfId="1" applyNumberFormat="1" applyFont="1" applyFill="1" applyBorder="1"/>
    <xf numFmtId="6" fontId="2" fillId="0" borderId="1" xfId="5" applyNumberFormat="1" applyFont="1" applyFill="1" applyBorder="1"/>
    <xf numFmtId="165" fontId="13" fillId="0" borderId="0" xfId="4" applyNumberFormat="1" applyFont="1" applyAlignment="1">
      <alignment horizontal="right"/>
    </xf>
    <xf numFmtId="10" fontId="5" fillId="0" borderId="1" xfId="1" applyNumberFormat="1" applyFont="1" applyBorder="1"/>
    <xf numFmtId="6" fontId="30" fillId="0" borderId="0" xfId="1" applyNumberFormat="1" applyFont="1" applyFill="1" applyBorder="1"/>
    <xf numFmtId="6" fontId="30" fillId="0" borderId="0" xfId="1" applyNumberFormat="1" applyFont="1" applyFill="1"/>
    <xf numFmtId="164" fontId="2" fillId="0" borderId="1" xfId="1" applyNumberFormat="1" applyFont="1" applyBorder="1"/>
    <xf numFmtId="0" fontId="2" fillId="0" borderId="1" xfId="1" applyFont="1" applyBorder="1"/>
    <xf numFmtId="10" fontId="8" fillId="9" borderId="6" xfId="5" applyNumberFormat="1" applyFont="1" applyFill="1" applyBorder="1"/>
    <xf numFmtId="6" fontId="8" fillId="9" borderId="1" xfId="1" applyNumberFormat="1" applyFont="1" applyFill="1" applyBorder="1"/>
    <xf numFmtId="6" fontId="2" fillId="9" borderId="1" xfId="5" applyNumberFormat="1" applyFont="1" applyFill="1" applyBorder="1"/>
    <xf numFmtId="6" fontId="8" fillId="9" borderId="1" xfId="5" applyNumberFormat="1" applyFont="1" applyFill="1" applyBorder="1"/>
    <xf numFmtId="10" fontId="8" fillId="9" borderId="1" xfId="5" applyNumberFormat="1" applyFont="1" applyFill="1" applyBorder="1"/>
    <xf numFmtId="6" fontId="2" fillId="9" borderId="1" xfId="1" applyNumberFormat="1" applyFont="1" applyFill="1" applyBorder="1"/>
    <xf numFmtId="10" fontId="8" fillId="9" borderId="1" xfId="7" applyNumberFormat="1" applyFont="1" applyFill="1" applyBorder="1" applyAlignment="1">
      <alignment horizontal="right"/>
    </xf>
    <xf numFmtId="6" fontId="5" fillId="9" borderId="1" xfId="1" applyNumberFormat="1" applyFont="1" applyFill="1" applyBorder="1"/>
    <xf numFmtId="6" fontId="30" fillId="9" borderId="1" xfId="1" applyNumberFormat="1" applyFont="1" applyFill="1" applyBorder="1"/>
    <xf numFmtId="164" fontId="5" fillId="9" borderId="1" xfId="1" applyNumberFormat="1" applyFont="1" applyFill="1" applyBorder="1"/>
    <xf numFmtId="0" fontId="10" fillId="9" borderId="8" xfId="1" applyFont="1" applyFill="1" applyBorder="1" applyAlignment="1">
      <alignment horizontal="center" vertical="center" wrapText="1"/>
    </xf>
    <xf numFmtId="164" fontId="5" fillId="9" borderId="1" xfId="1" applyNumberFormat="1" applyFont="1" applyFill="1" applyBorder="1" applyAlignment="1">
      <alignment horizontal="right" wrapText="1"/>
    </xf>
    <xf numFmtId="0" fontId="2" fillId="9" borderId="1" xfId="1" applyFill="1" applyBorder="1"/>
    <xf numFmtId="0" fontId="2" fillId="9" borderId="1" xfId="1" applyFont="1" applyFill="1" applyBorder="1"/>
    <xf numFmtId="164" fontId="2" fillId="9" borderId="1" xfId="1" applyNumberFormat="1" applyFont="1" applyFill="1" applyBorder="1"/>
    <xf numFmtId="0" fontId="2" fillId="0" borderId="32" xfId="1" applyBorder="1"/>
    <xf numFmtId="0" fontId="10" fillId="3" borderId="15" xfId="1" applyFont="1" applyFill="1" applyBorder="1" applyAlignment="1">
      <alignment horizontal="center" vertical="center"/>
    </xf>
    <xf numFmtId="0" fontId="10" fillId="3" borderId="15" xfId="1" applyFont="1" applyFill="1" applyBorder="1" applyAlignment="1">
      <alignment horizontal="center" vertical="center" wrapText="1"/>
    </xf>
    <xf numFmtId="0" fontId="10" fillId="3" borderId="24" xfId="1" applyFont="1" applyFill="1" applyBorder="1" applyAlignment="1">
      <alignment horizontal="center" vertical="center"/>
    </xf>
    <xf numFmtId="0" fontId="10" fillId="3" borderId="23" xfId="1" applyFont="1" applyFill="1" applyBorder="1" applyAlignment="1">
      <alignment horizontal="center" vertical="center" wrapText="1"/>
    </xf>
    <xf numFmtId="0" fontId="2" fillId="0" borderId="1" xfId="2" applyFont="1" applyBorder="1"/>
    <xf numFmtId="164" fontId="8" fillId="9" borderId="1" xfId="1" applyNumberFormat="1" applyFont="1" applyFill="1" applyBorder="1"/>
    <xf numFmtId="6" fontId="2" fillId="0" borderId="0" xfId="1" applyNumberFormat="1" applyFont="1" applyFill="1"/>
    <xf numFmtId="165" fontId="2" fillId="0" borderId="0" xfId="1" applyNumberFormat="1" applyFont="1" applyFill="1" applyAlignment="1">
      <alignment horizontal="center"/>
    </xf>
    <xf numFmtId="0" fontId="2" fillId="0" borderId="31" xfId="1" applyBorder="1"/>
    <xf numFmtId="0" fontId="10" fillId="3" borderId="26" xfId="1" applyFont="1" applyFill="1" applyBorder="1" applyAlignment="1">
      <alignment horizontal="center" vertical="center"/>
    </xf>
    <xf numFmtId="6" fontId="2" fillId="0" borderId="4" xfId="1" applyNumberFormat="1" applyFont="1" applyBorder="1"/>
    <xf numFmtId="6" fontId="8" fillId="0" borderId="6" xfId="1" applyNumberFormat="1" applyFont="1" applyBorder="1"/>
    <xf numFmtId="0" fontId="8" fillId="0" borderId="6" xfId="1" applyFont="1" applyBorder="1"/>
    <xf numFmtId="0" fontId="2" fillId="0" borderId="6" xfId="1" applyFont="1" applyBorder="1"/>
    <xf numFmtId="0" fontId="8" fillId="0" borderId="6" xfId="1" applyFont="1" applyFill="1" applyBorder="1"/>
    <xf numFmtId="0" fontId="2" fillId="0" borderId="6" xfId="1" applyFont="1" applyFill="1" applyBorder="1"/>
    <xf numFmtId="0" fontId="2" fillId="0" borderId="6" xfId="1" applyBorder="1"/>
    <xf numFmtId="164" fontId="2" fillId="0" borderId="6" xfId="1" applyNumberFormat="1" applyFont="1" applyFill="1" applyBorder="1"/>
    <xf numFmtId="0" fontId="8" fillId="0" borderId="6" xfId="2" applyFont="1" applyBorder="1"/>
    <xf numFmtId="0" fontId="2" fillId="0" borderId="6" xfId="2" applyFont="1" applyBorder="1"/>
    <xf numFmtId="0" fontId="10" fillId="3" borderId="43" xfId="1" applyFont="1" applyFill="1" applyBorder="1" applyAlignment="1">
      <alignment horizontal="center" vertical="center"/>
    </xf>
    <xf numFmtId="6" fontId="8" fillId="0" borderId="45" xfId="1" applyNumberFormat="1" applyFont="1" applyFill="1" applyBorder="1"/>
    <xf numFmtId="6" fontId="8" fillId="9" borderId="45" xfId="1" applyNumberFormat="1" applyFont="1" applyFill="1" applyBorder="1"/>
    <xf numFmtId="6" fontId="8" fillId="9" borderId="39" xfId="1" applyNumberFormat="1" applyFont="1" applyFill="1" applyBorder="1"/>
    <xf numFmtId="6" fontId="8" fillId="0" borderId="40" xfId="1" applyNumberFormat="1" applyFont="1" applyFill="1" applyBorder="1"/>
    <xf numFmtId="0" fontId="32" fillId="0" borderId="0" xfId="1" applyFont="1"/>
    <xf numFmtId="6" fontId="32" fillId="0" borderId="0" xfId="1" applyNumberFormat="1" applyFont="1"/>
    <xf numFmtId="164" fontId="32" fillId="0" borderId="0" xfId="1" applyNumberFormat="1" applyFont="1" applyBorder="1"/>
    <xf numFmtId="164" fontId="32" fillId="0" borderId="0" xfId="1" applyNumberFormat="1" applyFont="1" applyFill="1" applyBorder="1"/>
    <xf numFmtId="0" fontId="32" fillId="0" borderId="0" xfId="1" applyFont="1" applyFill="1"/>
    <xf numFmtId="0" fontId="10" fillId="3" borderId="9" xfId="1" applyFont="1" applyFill="1" applyBorder="1" applyAlignment="1">
      <alignment horizontal="center" vertical="center" wrapText="1"/>
    </xf>
    <xf numFmtId="17" fontId="2" fillId="0" borderId="8" xfId="1" applyNumberFormat="1" applyFont="1" applyFill="1" applyBorder="1" applyAlignment="1">
      <alignment horizontal="center"/>
    </xf>
    <xf numFmtId="17" fontId="2" fillId="0" borderId="17" xfId="1" applyNumberFormat="1" applyFont="1" applyFill="1" applyBorder="1" applyAlignment="1">
      <alignment horizontal="center"/>
    </xf>
    <xf numFmtId="17" fontId="2" fillId="0" borderId="4" xfId="1" applyNumberFormat="1" applyFont="1" applyFill="1" applyBorder="1" applyAlignment="1">
      <alignment horizontal="center"/>
    </xf>
    <xf numFmtId="0" fontId="8" fillId="7" borderId="16" xfId="8" applyFont="1" applyFill="1" applyBorder="1"/>
    <xf numFmtId="0" fontId="8" fillId="0" borderId="16" xfId="8" applyFont="1" applyFill="1" applyBorder="1"/>
    <xf numFmtId="6" fontId="2" fillId="8" borderId="8" xfId="9" applyNumberFormat="1" applyFont="1" applyFill="1" applyBorder="1"/>
    <xf numFmtId="6" fontId="2" fillId="8" borderId="17" xfId="9" applyNumberFormat="1" applyFont="1" applyFill="1" applyBorder="1"/>
    <xf numFmtId="6" fontId="2" fillId="0" borderId="16" xfId="1" applyNumberFormat="1" applyFont="1" applyFill="1" applyBorder="1"/>
    <xf numFmtId="6" fontId="2" fillId="0" borderId="1" xfId="9" applyNumberFormat="1" applyFont="1" applyBorder="1"/>
    <xf numFmtId="6" fontId="8" fillId="0" borderId="42" xfId="1" applyNumberFormat="1" applyFont="1" applyFill="1" applyBorder="1"/>
    <xf numFmtId="0" fontId="8" fillId="0" borderId="15" xfId="1" applyFont="1" applyFill="1" applyBorder="1"/>
    <xf numFmtId="0" fontId="21" fillId="0" borderId="1" xfId="1" applyFont="1" applyBorder="1" applyAlignment="1">
      <alignment horizontal="center"/>
    </xf>
    <xf numFmtId="0" fontId="52" fillId="0" borderId="0" xfId="139" applyFont="1" applyFill="1"/>
    <xf numFmtId="0" fontId="52" fillId="0" borderId="0" xfId="139" applyFont="1" applyFill="1" applyAlignment="1"/>
    <xf numFmtId="0" fontId="52" fillId="0" borderId="0" xfId="139" quotePrefix="1" applyFont="1" applyFill="1"/>
    <xf numFmtId="6" fontId="52" fillId="0" borderId="0" xfId="139" applyNumberFormat="1" applyFont="1" applyFill="1"/>
    <xf numFmtId="0" fontId="11" fillId="0" borderId="0" xfId="1" applyFont="1" applyFill="1"/>
    <xf numFmtId="0" fontId="2" fillId="0" borderId="0" xfId="139" applyFill="1"/>
    <xf numFmtId="6" fontId="2" fillId="0" borderId="17" xfId="1" applyNumberFormat="1" applyFont="1" applyFill="1" applyBorder="1"/>
    <xf numFmtId="0" fontId="2" fillId="0" borderId="0" xfId="139"/>
    <xf numFmtId="0" fontId="2" fillId="8" borderId="0" xfId="9" applyFont="1" applyFill="1"/>
    <xf numFmtId="38" fontId="26" fillId="8" borderId="38" xfId="139" applyNumberFormat="1" applyFont="1" applyFill="1" applyBorder="1" applyAlignment="1">
      <alignment horizontal="center"/>
    </xf>
    <xf numFmtId="38" fontId="26" fillId="8" borderId="17" xfId="139" applyNumberFormat="1" applyFont="1" applyFill="1" applyBorder="1" applyAlignment="1">
      <alignment horizontal="center"/>
    </xf>
    <xf numFmtId="6" fontId="26" fillId="8" borderId="17" xfId="139" applyNumberFormat="1" applyFont="1" applyFill="1" applyBorder="1"/>
    <xf numFmtId="10" fontId="2" fillId="8" borderId="17" xfId="9" applyNumberFormat="1" applyFont="1" applyFill="1" applyBorder="1"/>
    <xf numFmtId="0" fontId="2" fillId="8" borderId="46" xfId="139" applyFont="1" applyFill="1" applyBorder="1"/>
    <xf numFmtId="6" fontId="5" fillId="8" borderId="39" xfId="9" applyNumberFormat="1" applyFont="1" applyFill="1" applyBorder="1"/>
    <xf numFmtId="6" fontId="5" fillId="8" borderId="1" xfId="9" applyNumberFormat="1" applyFont="1" applyFill="1" applyBorder="1"/>
    <xf numFmtId="10" fontId="26" fillId="8" borderId="1" xfId="75" applyNumberFormat="1" applyFont="1" applyFill="1" applyBorder="1"/>
    <xf numFmtId="0" fontId="5" fillId="8" borderId="45" xfId="139" applyFont="1" applyFill="1" applyBorder="1"/>
    <xf numFmtId="38" fontId="26" fillId="8" borderId="1" xfId="68" applyNumberFormat="1" applyFont="1" applyFill="1" applyBorder="1" applyAlignment="1" applyProtection="1">
      <alignment horizontal="right"/>
      <protection locked="0"/>
    </xf>
    <xf numFmtId="3" fontId="26" fillId="8" borderId="1" xfId="139" applyNumberFormat="1" applyFont="1" applyFill="1" applyBorder="1"/>
    <xf numFmtId="38" fontId="26" fillId="8" borderId="1" xfId="139" applyNumberFormat="1" applyFont="1" applyFill="1" applyBorder="1" applyProtection="1">
      <protection locked="0"/>
    </xf>
    <xf numFmtId="10" fontId="5" fillId="8" borderId="1" xfId="75" applyNumberFormat="1" applyFont="1" applyFill="1" applyBorder="1"/>
    <xf numFmtId="0" fontId="5" fillId="8" borderId="45" xfId="9" applyFont="1" applyFill="1" applyBorder="1" applyAlignment="1">
      <alignment wrapText="1"/>
    </xf>
    <xf numFmtId="0" fontId="2" fillId="0" borderId="0" xfId="139" applyFont="1"/>
    <xf numFmtId="6" fontId="2" fillId="8" borderId="39" xfId="9" applyNumberFormat="1" applyFont="1" applyFill="1" applyBorder="1"/>
    <xf numFmtId="6" fontId="27" fillId="8" borderId="1" xfId="9" applyNumberFormat="1" applyFont="1" applyFill="1" applyBorder="1" applyAlignment="1">
      <alignment horizontal="center"/>
    </xf>
    <xf numFmtId="10" fontId="2" fillId="8" borderId="1" xfId="9" applyNumberFormat="1" applyFont="1" applyFill="1" applyBorder="1"/>
    <xf numFmtId="0" fontId="2" fillId="8" borderId="45" xfId="9" applyFont="1" applyFill="1" applyBorder="1"/>
    <xf numFmtId="6" fontId="5" fillId="8" borderId="44" xfId="9" applyNumberFormat="1" applyFont="1" applyFill="1" applyBorder="1" applyAlignment="1">
      <alignment horizontal="center"/>
    </xf>
    <xf numFmtId="6" fontId="5" fillId="8" borderId="8" xfId="9" applyNumberFormat="1" applyFont="1" applyFill="1" applyBorder="1" applyAlignment="1">
      <alignment horizontal="center"/>
    </xf>
    <xf numFmtId="0" fontId="5" fillId="8" borderId="8" xfId="9" applyFont="1" applyFill="1" applyBorder="1" applyAlignment="1">
      <alignment horizontal="center"/>
    </xf>
    <xf numFmtId="0" fontId="5" fillId="8" borderId="40" xfId="9" applyFont="1" applyFill="1" applyBorder="1" applyAlignment="1">
      <alignment horizontal="center"/>
    </xf>
    <xf numFmtId="0" fontId="2" fillId="0" borderId="0" xfId="139" applyAlignment="1"/>
    <xf numFmtId="0" fontId="2" fillId="0" borderId="0" xfId="139" applyFont="1" applyAlignment="1"/>
    <xf numFmtId="6" fontId="5" fillId="8" borderId="56" xfId="9" applyNumberFormat="1" applyFont="1" applyFill="1" applyBorder="1" applyAlignment="1">
      <alignment horizontal="center"/>
    </xf>
    <xf numFmtId="6" fontId="5" fillId="8" borderId="10" xfId="9" applyNumberFormat="1" applyFont="1" applyFill="1" applyBorder="1" applyAlignment="1">
      <alignment horizontal="center"/>
    </xf>
    <xf numFmtId="0" fontId="5" fillId="8" borderId="10" xfId="9" applyFont="1" applyFill="1" applyBorder="1" applyAlignment="1">
      <alignment horizontal="center"/>
    </xf>
    <xf numFmtId="0" fontId="5" fillId="8" borderId="57" xfId="9" applyFont="1" applyFill="1" applyBorder="1" applyAlignment="1">
      <alignment horizontal="center"/>
    </xf>
    <xf numFmtId="6" fontId="5" fillId="8" borderId="58" xfId="9" applyNumberFormat="1" applyFont="1" applyFill="1" applyBorder="1" applyAlignment="1">
      <alignment horizontal="center"/>
    </xf>
    <xf numFmtId="6" fontId="5" fillId="8" borderId="59" xfId="9" applyNumberFormat="1" applyFont="1" applyFill="1" applyBorder="1" applyAlignment="1">
      <alignment horizontal="center"/>
    </xf>
    <xf numFmtId="0" fontId="5" fillId="8" borderId="59" xfId="9" applyFont="1" applyFill="1" applyBorder="1" applyAlignment="1">
      <alignment horizontal="center"/>
    </xf>
    <xf numFmtId="0" fontId="5" fillId="8" borderId="60" xfId="9" applyFont="1" applyFill="1" applyBorder="1" applyAlignment="1">
      <alignment horizontal="center"/>
    </xf>
    <xf numFmtId="0" fontId="2" fillId="0" borderId="0" xfId="139" quotePrefix="1" applyFont="1" applyAlignment="1"/>
    <xf numFmtId="0" fontId="2" fillId="8" borderId="28" xfId="9" applyFont="1" applyFill="1" applyBorder="1" applyAlignment="1">
      <alignment horizontal="center"/>
    </xf>
    <xf numFmtId="0" fontId="2" fillId="8" borderId="31" xfId="9" applyFont="1" applyFill="1" applyBorder="1" applyAlignment="1">
      <alignment horizontal="center"/>
    </xf>
    <xf numFmtId="0" fontId="2" fillId="8" borderId="32" xfId="9" applyFont="1" applyFill="1" applyBorder="1" applyAlignment="1">
      <alignment horizontal="center"/>
    </xf>
    <xf numFmtId="0" fontId="2" fillId="8" borderId="0" xfId="139" applyFont="1" applyFill="1"/>
    <xf numFmtId="0" fontId="2" fillId="8" borderId="0" xfId="14" applyFont="1" applyFill="1" applyAlignment="1" applyProtection="1">
      <alignment horizontal="left"/>
    </xf>
    <xf numFmtId="17" fontId="2" fillId="8" borderId="0" xfId="14" applyNumberFormat="1" applyFont="1" applyFill="1" applyAlignment="1" applyProtection="1">
      <alignment horizontal="left"/>
    </xf>
    <xf numFmtId="0" fontId="5" fillId="8" borderId="0" xfId="139" applyFont="1" applyFill="1" applyBorder="1" applyAlignment="1"/>
    <xf numFmtId="0" fontId="5" fillId="8" borderId="0" xfId="139" applyFont="1" applyFill="1" applyAlignment="1">
      <alignment horizontal="left"/>
    </xf>
    <xf numFmtId="6" fontId="30" fillId="0" borderId="1" xfId="5" applyNumberFormat="1" applyFont="1" applyFill="1" applyBorder="1"/>
    <xf numFmtId="0" fontId="5" fillId="8" borderId="31" xfId="9" applyFont="1" applyFill="1" applyBorder="1" applyAlignment="1">
      <alignment horizontal="center"/>
    </xf>
    <xf numFmtId="0" fontId="5" fillId="8" borderId="27" xfId="9" applyFont="1" applyFill="1" applyBorder="1" applyAlignment="1">
      <alignment horizontal="center"/>
    </xf>
    <xf numFmtId="0" fontId="5" fillId="8" borderId="21" xfId="9" applyFont="1" applyFill="1" applyBorder="1" applyAlignment="1">
      <alignment horizontal="center"/>
    </xf>
    <xf numFmtId="0" fontId="5" fillId="8" borderId="29" xfId="9" applyFont="1" applyFill="1" applyBorder="1" applyAlignment="1">
      <alignment horizontal="center"/>
    </xf>
    <xf numFmtId="0" fontId="11" fillId="0" borderId="0" xfId="1" applyFont="1" applyBorder="1" applyAlignment="1"/>
    <xf numFmtId="3" fontId="14" fillId="0" borderId="0" xfId="0" applyNumberFormat="1" applyFont="1"/>
    <xf numFmtId="37" fontId="14" fillId="0" borderId="0" xfId="0" applyNumberFormat="1" applyFont="1"/>
    <xf numFmtId="0" fontId="0" fillId="0" borderId="0" xfId="0" applyFont="1"/>
    <xf numFmtId="0" fontId="53" fillId="33" borderId="0" xfId="0" applyFont="1" applyFill="1"/>
    <xf numFmtId="0" fontId="54" fillId="0" borderId="0" xfId="0" applyFont="1"/>
    <xf numFmtId="0" fontId="53" fillId="33" borderId="1" xfId="0" applyFont="1" applyFill="1" applyBorder="1" applyAlignment="1">
      <alignment horizontal="left"/>
    </xf>
    <xf numFmtId="0" fontId="53" fillId="33" borderId="1" xfId="0" applyFont="1" applyFill="1" applyBorder="1" applyAlignment="1">
      <alignment horizontal="center"/>
    </xf>
    <xf numFmtId="0" fontId="56" fillId="0" borderId="0" xfId="0" applyFont="1" applyAlignment="1">
      <alignment horizontal="center"/>
    </xf>
    <xf numFmtId="49" fontId="0" fillId="0" borderId="0" xfId="0" applyNumberFormat="1" applyFont="1" applyAlignment="1">
      <alignment horizontal="center"/>
    </xf>
    <xf numFmtId="0" fontId="54" fillId="0" borderId="1" xfId="1" applyFont="1" applyBorder="1" applyProtection="1"/>
    <xf numFmtId="3" fontId="54" fillId="0" borderId="1" xfId="0" applyNumberFormat="1" applyFont="1" applyBorder="1"/>
    <xf numFmtId="3" fontId="54" fillId="0" borderId="1" xfId="1" applyNumberFormat="1" applyFont="1" applyBorder="1" applyProtection="1"/>
    <xf numFmtId="10" fontId="54" fillId="0" borderId="1" xfId="75" applyNumberFormat="1" applyFont="1" applyBorder="1" applyProtection="1"/>
    <xf numFmtId="167" fontId="54" fillId="0" borderId="0" xfId="75" applyNumberFormat="1" applyFont="1"/>
    <xf numFmtId="3" fontId="56" fillId="0" borderId="0" xfId="0" applyNumberFormat="1" applyFont="1"/>
    <xf numFmtId="37" fontId="56" fillId="0" borderId="0" xfId="0" applyNumberFormat="1" applyFont="1"/>
    <xf numFmtId="0" fontId="54" fillId="0" borderId="1" xfId="1" applyFont="1" applyFill="1" applyBorder="1" applyProtection="1"/>
    <xf numFmtId="10" fontId="57" fillId="0" borderId="1" xfId="75" applyNumberFormat="1" applyFont="1" applyBorder="1" applyProtection="1"/>
    <xf numFmtId="10" fontId="58" fillId="0" borderId="1" xfId="75" applyNumberFormat="1" applyFont="1" applyBorder="1" applyProtection="1"/>
    <xf numFmtId="3" fontId="59" fillId="0" borderId="1" xfId="0" applyNumberFormat="1" applyFont="1" applyBorder="1"/>
    <xf numFmtId="3" fontId="59" fillId="0" borderId="1" xfId="1" applyNumberFormat="1" applyFont="1" applyBorder="1" applyProtection="1"/>
    <xf numFmtId="10" fontId="59" fillId="0" borderId="1" xfId="75" applyNumberFormat="1" applyFont="1" applyBorder="1" applyProtection="1"/>
    <xf numFmtId="10" fontId="59" fillId="0" borderId="1" xfId="0" applyNumberFormat="1" applyFont="1" applyBorder="1"/>
    <xf numFmtId="10" fontId="60" fillId="0" borderId="1" xfId="0" applyNumberFormat="1" applyFont="1" applyBorder="1"/>
    <xf numFmtId="0" fontId="54" fillId="0" borderId="0" xfId="0" applyFont="1" applyFill="1"/>
    <xf numFmtId="3" fontId="61" fillId="0" borderId="0" xfId="0" applyNumberFormat="1" applyFont="1"/>
    <xf numFmtId="0" fontId="57" fillId="0" borderId="0" xfId="0" applyFont="1"/>
    <xf numFmtId="0" fontId="0" fillId="0" borderId="0" xfId="0" applyFont="1" applyFill="1"/>
    <xf numFmtId="0" fontId="56" fillId="0" borderId="61" xfId="0" applyFont="1" applyBorder="1" applyAlignment="1">
      <alignment horizontal="right"/>
    </xf>
    <xf numFmtId="38" fontId="56" fillId="0" borderId="61" xfId="0" applyNumberFormat="1" applyFont="1" applyBorder="1"/>
    <xf numFmtId="49" fontId="54" fillId="0" borderId="0" xfId="0" applyNumberFormat="1" applyFont="1"/>
    <xf numFmtId="38" fontId="56" fillId="35" borderId="61" xfId="0" applyNumberFormat="1" applyFont="1" applyFill="1" applyBorder="1"/>
    <xf numFmtId="38" fontId="0" fillId="0" borderId="0" xfId="0" applyNumberFormat="1" applyFont="1"/>
    <xf numFmtId="10" fontId="56" fillId="0" borderId="61" xfId="0" applyNumberFormat="1" applyFont="1" applyBorder="1"/>
    <xf numFmtId="10" fontId="56" fillId="35" borderId="61" xfId="0" applyNumberFormat="1" applyFont="1" applyFill="1" applyBorder="1"/>
    <xf numFmtId="38" fontId="54" fillId="0" borderId="0" xfId="0" applyNumberFormat="1" applyFont="1"/>
    <xf numFmtId="0" fontId="0" fillId="0" borderId="0" xfId="0" applyFont="1" applyAlignment="1">
      <alignment horizontal="center"/>
    </xf>
    <xf numFmtId="0" fontId="52" fillId="0" borderId="0" xfId="0" applyFont="1"/>
    <xf numFmtId="6" fontId="2" fillId="0" borderId="0" xfId="139" applyNumberFormat="1"/>
    <xf numFmtId="38" fontId="26" fillId="8" borderId="0" xfId="139" applyNumberFormat="1" applyFont="1" applyFill="1" applyBorder="1" applyAlignment="1">
      <alignment horizontal="center"/>
    </xf>
    <xf numFmtId="6" fontId="2" fillId="0" borderId="0" xfId="9" applyNumberFormat="1" applyFont="1" applyFill="1" applyBorder="1" applyAlignment="1">
      <alignment horizontal="center"/>
    </xf>
    <xf numFmtId="6" fontId="26" fillId="8" borderId="0" xfId="139" applyNumberFormat="1" applyFont="1" applyFill="1" applyBorder="1"/>
    <xf numFmtId="10" fontId="2" fillId="8" borderId="0" xfId="9" applyNumberFormat="1" applyFont="1" applyFill="1" applyBorder="1"/>
    <xf numFmtId="0" fontId="2" fillId="8" borderId="0" xfId="139" applyFont="1" applyFill="1" applyBorder="1"/>
    <xf numFmtId="38" fontId="26" fillId="8" borderId="22" xfId="139" applyNumberFormat="1" applyFont="1" applyFill="1" applyBorder="1" applyAlignment="1">
      <alignment horizontal="center"/>
    </xf>
    <xf numFmtId="6" fontId="26" fillId="8" borderId="22" xfId="139" applyNumberFormat="1" applyFont="1" applyFill="1" applyBorder="1"/>
    <xf numFmtId="10" fontId="2" fillId="8" borderId="25" xfId="9" applyNumberFormat="1" applyFont="1" applyFill="1" applyBorder="1"/>
    <xf numFmtId="0" fontId="2" fillId="8" borderId="26" xfId="139" applyFont="1" applyFill="1" applyBorder="1"/>
    <xf numFmtId="0" fontId="2" fillId="0" borderId="0" xfId="139" applyFont="1" applyFill="1"/>
    <xf numFmtId="0" fontId="5" fillId="0" borderId="0" xfId="1" applyFont="1" applyFill="1"/>
    <xf numFmtId="3" fontId="5" fillId="0" borderId="22" xfId="139" applyNumberFormat="1" applyFont="1" applyFill="1" applyBorder="1"/>
    <xf numFmtId="10" fontId="2" fillId="0" borderId="25" xfId="75" applyNumberFormat="1" applyFont="1" applyFill="1" applyBorder="1"/>
    <xf numFmtId="0" fontId="5" fillId="0" borderId="26" xfId="139" applyFont="1" applyFill="1" applyBorder="1"/>
    <xf numFmtId="38" fontId="18" fillId="8" borderId="22" xfId="68" applyNumberFormat="1" applyFont="1" applyFill="1" applyBorder="1" applyAlignment="1" applyProtection="1">
      <alignment horizontal="right"/>
      <protection locked="0"/>
    </xf>
    <xf numFmtId="3" fontId="18" fillId="8" borderId="22" xfId="139" applyNumberFormat="1" applyFont="1" applyFill="1" applyBorder="1"/>
    <xf numFmtId="38" fontId="18" fillId="8" borderId="22" xfId="139" applyNumberFormat="1" applyFont="1" applyFill="1" applyBorder="1" applyProtection="1">
      <protection locked="0"/>
    </xf>
    <xf numFmtId="10" fontId="26" fillId="8" borderId="25" xfId="75" applyNumberFormat="1" applyFont="1" applyFill="1" applyBorder="1"/>
    <xf numFmtId="0" fontId="5" fillId="8" borderId="26" xfId="139" applyFont="1" applyFill="1" applyBorder="1"/>
    <xf numFmtId="10" fontId="2" fillId="8" borderId="22" xfId="75" applyNumberFormat="1" applyFont="1" applyFill="1" applyBorder="1"/>
    <xf numFmtId="6" fontId="2" fillId="0" borderId="21" xfId="9" applyNumberFormat="1" applyFont="1" applyFill="1" applyBorder="1"/>
    <xf numFmtId="0" fontId="2" fillId="8" borderId="21" xfId="9" applyFont="1" applyFill="1" applyBorder="1"/>
    <xf numFmtId="10" fontId="2" fillId="8" borderId="21" xfId="9" applyNumberFormat="1" applyFont="1" applyFill="1" applyBorder="1"/>
    <xf numFmtId="10" fontId="2" fillId="0" borderId="21" xfId="9" applyNumberFormat="1" applyFont="1" applyFill="1" applyBorder="1"/>
    <xf numFmtId="0" fontId="2" fillId="0" borderId="21" xfId="9" applyFont="1" applyFill="1" applyBorder="1"/>
    <xf numFmtId="10" fontId="2" fillId="8" borderId="27" xfId="9" applyNumberFormat="1" applyFont="1" applyFill="1" applyBorder="1"/>
    <xf numFmtId="0" fontId="2" fillId="8" borderId="27" xfId="9" applyFont="1" applyFill="1" applyBorder="1"/>
    <xf numFmtId="0" fontId="2" fillId="0" borderId="28" xfId="139" applyFill="1" applyBorder="1"/>
    <xf numFmtId="0" fontId="2" fillId="0" borderId="33" xfId="139" applyFill="1" applyBorder="1"/>
    <xf numFmtId="6" fontId="2" fillId="0" borderId="0" xfId="9" applyNumberFormat="1" applyFont="1" applyFill="1" applyBorder="1"/>
    <xf numFmtId="10" fontId="2" fillId="0" borderId="0" xfId="75" applyNumberFormat="1" applyFont="1" applyFill="1" applyBorder="1"/>
    <xf numFmtId="6" fontId="2" fillId="8" borderId="0" xfId="9" applyNumberFormat="1" applyFont="1" applyFill="1" applyBorder="1" applyAlignment="1">
      <alignment horizontal="center"/>
    </xf>
    <xf numFmtId="38" fontId="26" fillId="8" borderId="29" xfId="139" applyNumberFormat="1" applyFont="1" applyFill="1" applyBorder="1" applyAlignment="1">
      <alignment horizontal="center"/>
    </xf>
    <xf numFmtId="6" fontId="26" fillId="8" borderId="29" xfId="139" applyNumberFormat="1" applyFont="1" applyFill="1" applyBorder="1"/>
    <xf numFmtId="6" fontId="26" fillId="8" borderId="25" xfId="139" applyNumberFormat="1" applyFont="1" applyFill="1" applyBorder="1"/>
    <xf numFmtId="10" fontId="2" fillId="8" borderId="36" xfId="9" applyNumberFormat="1" applyFont="1" applyFill="1" applyBorder="1"/>
    <xf numFmtId="6" fontId="2" fillId="8" borderId="22" xfId="9" applyNumberFormat="1" applyFont="1" applyFill="1" applyBorder="1"/>
    <xf numFmtId="38" fontId="26" fillId="8" borderId="22" xfId="68" applyNumberFormat="1" applyFont="1" applyFill="1" applyBorder="1" applyAlignment="1" applyProtection="1">
      <alignment horizontal="right"/>
      <protection locked="0"/>
    </xf>
    <xf numFmtId="3" fontId="26" fillId="8" borderId="22" xfId="139" applyNumberFormat="1" applyFont="1" applyFill="1" applyBorder="1"/>
    <xf numFmtId="38" fontId="26" fillId="8" borderId="22" xfId="139" applyNumberFormat="1" applyFont="1" applyFill="1" applyBorder="1" applyProtection="1">
      <protection locked="0"/>
    </xf>
    <xf numFmtId="6" fontId="2" fillId="0" borderId="22" xfId="9" applyNumberFormat="1" applyFont="1" applyFill="1" applyBorder="1"/>
    <xf numFmtId="10" fontId="2" fillId="8" borderId="29" xfId="75" applyNumberFormat="1" applyFont="1" applyFill="1" applyBorder="1"/>
    <xf numFmtId="10" fontId="2" fillId="0" borderId="29" xfId="9" applyNumberFormat="1" applyFont="1" applyFill="1" applyBorder="1"/>
    <xf numFmtId="0" fontId="2" fillId="0" borderId="29" xfId="9" applyFont="1" applyFill="1" applyBorder="1"/>
    <xf numFmtId="6" fontId="2" fillId="8" borderId="21" xfId="9" applyNumberFormat="1" applyFont="1" applyFill="1" applyBorder="1"/>
    <xf numFmtId="6" fontId="2" fillId="8" borderId="27" xfId="9" applyNumberFormat="1" applyFont="1" applyFill="1" applyBorder="1"/>
    <xf numFmtId="10" fontId="2" fillId="0" borderId="27" xfId="9" applyNumberFormat="1" applyFont="1" applyFill="1" applyBorder="1"/>
    <xf numFmtId="0" fontId="2" fillId="0" borderId="37" xfId="9" applyFont="1" applyFill="1" applyBorder="1"/>
    <xf numFmtId="10" fontId="21" fillId="0" borderId="0" xfId="75" applyNumberFormat="1" applyFont="1" applyFill="1" applyBorder="1"/>
    <xf numFmtId="6" fontId="2" fillId="0" borderId="25" xfId="9" applyNumberFormat="1" applyFont="1" applyFill="1" applyBorder="1"/>
    <xf numFmtId="6" fontId="2" fillId="0" borderId="30" xfId="9" applyNumberFormat="1" applyFont="1" applyFill="1" applyBorder="1"/>
    <xf numFmtId="6" fontId="2" fillId="0" borderId="0" xfId="139" applyNumberFormat="1" applyFill="1"/>
    <xf numFmtId="6" fontId="2" fillId="0" borderId="27" xfId="9" applyNumberFormat="1" applyFont="1" applyFill="1" applyBorder="1"/>
    <xf numFmtId="0" fontId="2" fillId="0" borderId="0" xfId="139" applyFill="1" applyAlignment="1"/>
    <xf numFmtId="0" fontId="2" fillId="0" borderId="0" xfId="139" quotePrefix="1" applyFont="1" applyFill="1" applyAlignment="1"/>
    <xf numFmtId="0" fontId="18" fillId="0" borderId="0" xfId="14" applyFont="1" applyFill="1" applyAlignment="1" applyProtection="1">
      <alignment horizontal="centerContinuous"/>
    </xf>
    <xf numFmtId="0" fontId="26" fillId="0" borderId="0" xfId="139" applyFont="1" applyFill="1"/>
    <xf numFmtId="0" fontId="18" fillId="0" borderId="0" xfId="14" applyFont="1" applyFill="1" applyAlignment="1" applyProtection="1">
      <alignment horizontal="left"/>
    </xf>
    <xf numFmtId="0" fontId="18" fillId="0" borderId="0" xfId="14" applyFont="1" applyFill="1" applyBorder="1" applyAlignment="1" applyProtection="1">
      <alignment horizontal="center"/>
    </xf>
    <xf numFmtId="17" fontId="18" fillId="0" borderId="0" xfId="14" applyNumberFormat="1" applyFont="1" applyFill="1" applyBorder="1" applyAlignment="1" applyProtection="1">
      <alignment horizontal="center"/>
    </xf>
    <xf numFmtId="0" fontId="18" fillId="0" borderId="0" xfId="14" applyFont="1" applyFill="1" applyAlignment="1" applyProtection="1">
      <alignment horizontal="right"/>
    </xf>
    <xf numFmtId="0" fontId="18" fillId="0" borderId="0" xfId="139" applyFont="1" applyFill="1" applyAlignment="1">
      <alignment horizontal="left"/>
    </xf>
    <xf numFmtId="0" fontId="18" fillId="0" borderId="0" xfId="139" applyFont="1" applyFill="1" applyBorder="1" applyAlignment="1"/>
    <xf numFmtId="1" fontId="18" fillId="0" borderId="0" xfId="14" applyNumberFormat="1" applyFont="1" applyFill="1" applyBorder="1" applyAlignment="1" applyProtection="1">
      <alignment horizontal="center"/>
    </xf>
    <xf numFmtId="0" fontId="26" fillId="0" borderId="0" xfId="9" applyFont="1" applyFill="1"/>
    <xf numFmtId="0" fontId="18" fillId="0" borderId="21" xfId="9" applyFont="1" applyFill="1" applyBorder="1" applyAlignment="1">
      <alignment horizontal="center"/>
    </xf>
    <xf numFmtId="6" fontId="18" fillId="0" borderId="21" xfId="9" applyNumberFormat="1" applyFont="1" applyFill="1" applyBorder="1" applyAlignment="1">
      <alignment horizontal="center"/>
    </xf>
    <xf numFmtId="0" fontId="18" fillId="0" borderId="29" xfId="9" applyFont="1" applyFill="1" applyBorder="1" applyAlignment="1">
      <alignment horizontal="center"/>
    </xf>
    <xf numFmtId="6" fontId="18" fillId="0" borderId="29" xfId="9" applyNumberFormat="1" applyFont="1" applyFill="1" applyBorder="1" applyAlignment="1">
      <alignment horizontal="center"/>
    </xf>
    <xf numFmtId="6" fontId="18" fillId="0" borderId="29" xfId="9" applyNumberFormat="1" applyFont="1" applyFill="1" applyBorder="1" applyAlignment="1">
      <alignment horizontal="center" shrinkToFit="1"/>
    </xf>
    <xf numFmtId="0" fontId="26" fillId="0" borderId="37" xfId="9" applyFont="1" applyFill="1" applyBorder="1"/>
    <xf numFmtId="10" fontId="26" fillId="0" borderId="27" xfId="9" applyNumberFormat="1" applyFont="1" applyFill="1" applyBorder="1"/>
    <xf numFmtId="6" fontId="26" fillId="0" borderId="27" xfId="9" applyNumberFormat="1" applyFont="1" applyFill="1" applyBorder="1"/>
    <xf numFmtId="6" fontId="62" fillId="0" borderId="21" xfId="9" applyNumberFormat="1" applyFont="1" applyFill="1" applyBorder="1" applyAlignment="1">
      <alignment horizontal="center"/>
    </xf>
    <xf numFmtId="6" fontId="26" fillId="0" borderId="21" xfId="9" applyNumberFormat="1" applyFont="1" applyFill="1" applyBorder="1"/>
    <xf numFmtId="0" fontId="26" fillId="0" borderId="21" xfId="9" applyFont="1" applyFill="1" applyBorder="1"/>
    <xf numFmtId="10" fontId="26" fillId="0" borderId="21" xfId="9" applyNumberFormat="1" applyFont="1" applyFill="1" applyBorder="1"/>
    <xf numFmtId="0" fontId="26" fillId="0" borderId="29" xfId="9" applyFont="1" applyFill="1" applyBorder="1"/>
    <xf numFmtId="10" fontId="26" fillId="0" borderId="29" xfId="9" applyNumberFormat="1" applyFont="1" applyFill="1" applyBorder="1"/>
    <xf numFmtId="6" fontId="62" fillId="0" borderId="30" xfId="9" applyNumberFormat="1" applyFont="1" applyFill="1" applyBorder="1" applyAlignment="1">
      <alignment horizontal="center"/>
    </xf>
    <xf numFmtId="0" fontId="18" fillId="0" borderId="22" xfId="9" applyFont="1" applyFill="1" applyBorder="1" applyAlignment="1">
      <alignment horizontal="left" vertical="center" wrapText="1"/>
    </xf>
    <xf numFmtId="10" fontId="26" fillId="0" borderId="29" xfId="75" applyNumberFormat="1" applyFont="1" applyFill="1" applyBorder="1"/>
    <xf numFmtId="6" fontId="26" fillId="0" borderId="22" xfId="9" applyNumberFormat="1" applyFont="1" applyFill="1" applyBorder="1"/>
    <xf numFmtId="0" fontId="18" fillId="0" borderId="26" xfId="139" applyFont="1" applyFill="1" applyBorder="1"/>
    <xf numFmtId="10" fontId="26" fillId="0" borderId="25" xfId="75" applyNumberFormat="1" applyFont="1" applyFill="1" applyBorder="1"/>
    <xf numFmtId="38" fontId="26" fillId="0" borderId="22" xfId="139" applyNumberFormat="1" applyFont="1" applyFill="1" applyBorder="1" applyProtection="1">
      <protection locked="0"/>
    </xf>
    <xf numFmtId="3" fontId="26" fillId="0" borderId="22" xfId="139" applyNumberFormat="1" applyFont="1" applyFill="1" applyBorder="1"/>
    <xf numFmtId="38" fontId="26" fillId="0" borderId="22" xfId="68" applyNumberFormat="1" applyFont="1" applyFill="1" applyBorder="1" applyAlignment="1" applyProtection="1">
      <alignment horizontal="right"/>
      <protection locked="0"/>
    </xf>
    <xf numFmtId="6" fontId="18" fillId="0" borderId="22" xfId="9" applyNumberFormat="1" applyFont="1" applyFill="1" applyBorder="1"/>
    <xf numFmtId="10" fontId="18" fillId="0" borderId="25" xfId="75" applyNumberFormat="1" applyFont="1" applyFill="1" applyBorder="1"/>
    <xf numFmtId="3" fontId="18" fillId="0" borderId="22" xfId="139" applyNumberFormat="1" applyFont="1" applyFill="1" applyBorder="1"/>
    <xf numFmtId="0" fontId="26" fillId="0" borderId="26" xfId="139" applyFont="1" applyFill="1" applyBorder="1"/>
    <xf numFmtId="10" fontId="26" fillId="0" borderId="36" xfId="9" applyNumberFormat="1" applyFont="1" applyFill="1" applyBorder="1"/>
    <xf numFmtId="6" fontId="26" fillId="0" borderId="25" xfId="139" applyNumberFormat="1" applyFont="1" applyFill="1" applyBorder="1"/>
    <xf numFmtId="6" fontId="26" fillId="0" borderId="29" xfId="139" applyNumberFormat="1" applyFont="1" applyFill="1" applyBorder="1"/>
    <xf numFmtId="38" fontId="26" fillId="0" borderId="29" xfId="139" applyNumberFormat="1" applyFont="1" applyFill="1" applyBorder="1" applyAlignment="1">
      <alignment horizontal="center"/>
    </xf>
    <xf numFmtId="38" fontId="26" fillId="0" borderId="22" xfId="139" applyNumberFormat="1" applyFont="1" applyFill="1" applyBorder="1" applyAlignment="1">
      <alignment horizontal="center"/>
    </xf>
    <xf numFmtId="0" fontId="26" fillId="0" borderId="0" xfId="139" applyFont="1" applyFill="1" applyBorder="1"/>
    <xf numFmtId="10" fontId="26" fillId="0" borderId="0" xfId="9" applyNumberFormat="1" applyFont="1" applyFill="1" applyBorder="1"/>
    <xf numFmtId="6" fontId="26" fillId="0" borderId="0" xfId="139" applyNumberFormat="1" applyFont="1" applyFill="1" applyBorder="1"/>
    <xf numFmtId="38" fontId="26" fillId="0" borderId="0" xfId="139" applyNumberFormat="1" applyFont="1" applyFill="1" applyBorder="1" applyAlignment="1">
      <alignment horizontal="center"/>
    </xf>
    <xf numFmtId="6" fontId="26" fillId="0" borderId="0" xfId="9" applyNumberFormat="1" applyFont="1" applyFill="1" applyBorder="1" applyAlignment="1">
      <alignment horizontal="center"/>
    </xf>
    <xf numFmtId="0" fontId="26" fillId="0" borderId="22" xfId="9" applyFont="1" applyFill="1" applyBorder="1"/>
    <xf numFmtId="10" fontId="26" fillId="0" borderId="22" xfId="9" applyNumberFormat="1" applyFont="1" applyFill="1" applyBorder="1"/>
    <xf numFmtId="6" fontId="62" fillId="0" borderId="25" xfId="9" applyNumberFormat="1" applyFont="1" applyFill="1" applyBorder="1" applyAlignment="1">
      <alignment horizontal="center"/>
    </xf>
    <xf numFmtId="0" fontId="18" fillId="0" borderId="0" xfId="9" applyFont="1" applyFill="1" applyBorder="1" applyAlignment="1">
      <alignment horizontal="center"/>
    </xf>
    <xf numFmtId="0" fontId="18" fillId="0" borderId="27" xfId="9" applyFont="1" applyFill="1" applyBorder="1" applyAlignment="1">
      <alignment horizontal="center"/>
    </xf>
    <xf numFmtId="6" fontId="18" fillId="0" borderId="27" xfId="9" applyNumberFormat="1" applyFont="1" applyFill="1" applyBorder="1" applyAlignment="1">
      <alignment horizontal="center"/>
    </xf>
    <xf numFmtId="0" fontId="18" fillId="0" borderId="0" xfId="9" applyFont="1" applyFill="1" applyBorder="1" applyAlignment="1">
      <alignment horizontal="left" vertical="center" wrapText="1"/>
    </xf>
    <xf numFmtId="10" fontId="26" fillId="0" borderId="0" xfId="75" applyNumberFormat="1" applyFont="1" applyFill="1" applyBorder="1"/>
    <xf numFmtId="6" fontId="26" fillId="0" borderId="0" xfId="9" applyNumberFormat="1" applyFont="1" applyFill="1" applyBorder="1"/>
    <xf numFmtId="0" fontId="26" fillId="0" borderId="27" xfId="9" applyFont="1" applyFill="1" applyBorder="1"/>
    <xf numFmtId="0" fontId="18" fillId="0" borderId="26" xfId="9" applyFont="1" applyFill="1" applyBorder="1" applyAlignment="1">
      <alignment vertical="center"/>
    </xf>
    <xf numFmtId="10" fontId="26" fillId="0" borderId="22" xfId="75" applyNumberFormat="1" applyFont="1" applyFill="1" applyBorder="1"/>
    <xf numFmtId="6" fontId="26" fillId="0" borderId="26" xfId="9" applyNumberFormat="1" applyFont="1" applyFill="1" applyBorder="1"/>
    <xf numFmtId="10" fontId="26" fillId="0" borderId="25" xfId="9" applyNumberFormat="1" applyFont="1" applyFill="1" applyBorder="1"/>
    <xf numFmtId="6" fontId="26" fillId="0" borderId="22" xfId="139" applyNumberFormat="1" applyFont="1" applyFill="1" applyBorder="1"/>
    <xf numFmtId="38" fontId="26" fillId="0" borderId="26" xfId="139" applyNumberFormat="1" applyFont="1" applyFill="1" applyBorder="1" applyAlignment="1">
      <alignment horizontal="center"/>
    </xf>
    <xf numFmtId="0" fontId="2" fillId="0" borderId="1" xfId="0" applyFont="1" applyBorder="1"/>
    <xf numFmtId="164" fontId="2" fillId="7" borderId="1" xfId="145" applyNumberFormat="1" applyFont="1" applyFill="1" applyBorder="1" applyAlignment="1">
      <alignment horizontal="right"/>
    </xf>
    <xf numFmtId="0" fontId="2" fillId="0" borderId="17" xfId="0" applyFont="1" applyFill="1" applyBorder="1"/>
    <xf numFmtId="166" fontId="21" fillId="0" borderId="1" xfId="1" applyNumberFormat="1" applyFont="1" applyFill="1" applyBorder="1" applyAlignment="1">
      <alignment horizontal="center"/>
    </xf>
    <xf numFmtId="0" fontId="2" fillId="0" borderId="0" xfId="1" applyFont="1"/>
    <xf numFmtId="0" fontId="2" fillId="0" borderId="8" xfId="0" applyFont="1" applyBorder="1"/>
    <xf numFmtId="6" fontId="9" fillId="0" borderId="0" xfId="1" applyNumberFormat="1" applyFont="1" applyFill="1"/>
    <xf numFmtId="0" fontId="10" fillId="3" borderId="8" xfId="1" applyFont="1" applyFill="1" applyBorder="1" applyAlignment="1">
      <alignment horizontal="center" wrapText="1"/>
    </xf>
    <xf numFmtId="0" fontId="10" fillId="3" borderId="8" xfId="1" applyFont="1" applyFill="1" applyBorder="1" applyAlignment="1">
      <alignment horizontal="center" wrapText="1"/>
    </xf>
    <xf numFmtId="10" fontId="26" fillId="0" borderId="8" xfId="22" applyNumberFormat="1" applyFont="1" applyBorder="1"/>
    <xf numFmtId="38" fontId="18" fillId="0" borderId="63" xfId="74" applyNumberFormat="1" applyFont="1" applyBorder="1" applyProtection="1">
      <protection locked="0"/>
    </xf>
    <xf numFmtId="3" fontId="18" fillId="0" borderId="63" xfId="74" applyNumberFormat="1" applyFont="1" applyBorder="1" applyProtection="1">
      <protection locked="0"/>
    </xf>
    <xf numFmtId="38" fontId="26" fillId="0" borderId="11" xfId="74" applyNumberFormat="1" applyFont="1" applyBorder="1" applyProtection="1">
      <protection locked="0"/>
    </xf>
    <xf numFmtId="10" fontId="26" fillId="0" borderId="9" xfId="22" applyNumberFormat="1" applyFont="1" applyBorder="1" applyProtection="1">
      <protection locked="0"/>
    </xf>
    <xf numFmtId="10" fontId="26" fillId="0" borderId="1" xfId="22" applyNumberFormat="1" applyFont="1" applyBorder="1" applyProtection="1">
      <protection locked="0"/>
    </xf>
    <xf numFmtId="10" fontId="18" fillId="8" borderId="0" xfId="75" applyNumberFormat="1" applyFont="1" applyFill="1" applyAlignment="1">
      <alignment horizontal="center"/>
    </xf>
    <xf numFmtId="0" fontId="2" fillId="37" borderId="0" xfId="1" applyFill="1"/>
    <xf numFmtId="6" fontId="26" fillId="0" borderId="8" xfId="1" applyNumberFormat="1" applyFont="1" applyBorder="1" applyAlignment="1">
      <alignment horizontal="center"/>
    </xf>
    <xf numFmtId="6" fontId="26" fillId="0" borderId="8" xfId="1" applyNumberFormat="1" applyFont="1" applyBorder="1"/>
    <xf numFmtId="10" fontId="26" fillId="0" borderId="8" xfId="75" applyNumberFormat="1" applyFont="1" applyBorder="1"/>
    <xf numFmtId="10" fontId="18" fillId="37" borderId="63" xfId="1" applyNumberFormat="1" applyFont="1" applyFill="1" applyBorder="1"/>
    <xf numFmtId="0" fontId="18" fillId="0" borderId="8" xfId="1" applyFont="1" applyBorder="1" applyAlignment="1">
      <alignment horizontal="center"/>
    </xf>
    <xf numFmtId="0" fontId="18" fillId="0" borderId="11" xfId="1" applyFont="1" applyBorder="1" applyAlignment="1">
      <alignment horizontal="center"/>
    </xf>
    <xf numFmtId="0" fontId="18" fillId="0" borderId="68" xfId="1" applyFont="1" applyBorder="1" applyAlignment="1">
      <alignment horizontal="center"/>
    </xf>
    <xf numFmtId="0" fontId="26" fillId="0" borderId="65" xfId="1" applyFont="1" applyBorder="1" applyAlignment="1">
      <alignment horizontal="centerContinuous"/>
    </xf>
    <xf numFmtId="0" fontId="26" fillId="0" borderId="66" xfId="1" applyFont="1" applyBorder="1" applyAlignment="1">
      <alignment horizontal="centerContinuous"/>
    </xf>
    <xf numFmtId="0" fontId="18" fillId="0" borderId="67" xfId="1" applyFont="1" applyBorder="1" applyAlignment="1">
      <alignment horizontal="centerContinuous"/>
    </xf>
    <xf numFmtId="10" fontId="26" fillId="0" borderId="10" xfId="75" applyNumberFormat="1" applyFont="1" applyBorder="1"/>
    <xf numFmtId="3" fontId="18" fillId="0" borderId="64" xfId="74" applyNumberFormat="1" applyFont="1" applyBorder="1"/>
    <xf numFmtId="10" fontId="26" fillId="0" borderId="1" xfId="75" applyNumberFormat="1" applyFont="1" applyBorder="1" applyProtection="1">
      <protection locked="0"/>
    </xf>
    <xf numFmtId="10" fontId="26" fillId="0" borderId="10" xfId="75" applyNumberFormat="1" applyFont="1" applyBorder="1" applyProtection="1">
      <protection locked="0"/>
    </xf>
    <xf numFmtId="10" fontId="26" fillId="0" borderId="8" xfId="75" applyNumberFormat="1" applyFont="1" applyBorder="1" applyProtection="1">
      <protection locked="0"/>
    </xf>
    <xf numFmtId="6" fontId="2" fillId="8" borderId="71" xfId="9" applyNumberFormat="1" applyFont="1" applyFill="1" applyBorder="1"/>
    <xf numFmtId="0" fontId="26" fillId="7" borderId="0" xfId="72" applyFont="1" applyFill="1"/>
    <xf numFmtId="38" fontId="26" fillId="7" borderId="38" xfId="72" applyNumberFormat="1" applyFont="1" applyFill="1" applyBorder="1" applyAlignment="1">
      <alignment horizontal="center"/>
    </xf>
    <xf numFmtId="38" fontId="26" fillId="7" borderId="17" xfId="72" applyNumberFormat="1" applyFont="1" applyFill="1" applyBorder="1" applyAlignment="1">
      <alignment horizontal="center"/>
    </xf>
    <xf numFmtId="6" fontId="26" fillId="7" borderId="17" xfId="72" applyNumberFormat="1" applyFont="1" applyFill="1" applyBorder="1"/>
    <xf numFmtId="10" fontId="26" fillId="7" borderId="17" xfId="9" applyNumberFormat="1" applyFont="1" applyFill="1" applyBorder="1"/>
    <xf numFmtId="0" fontId="26" fillId="7" borderId="46" xfId="72" applyFont="1" applyFill="1" applyBorder="1"/>
    <xf numFmtId="38" fontId="26" fillId="7" borderId="39" xfId="9" applyNumberFormat="1" applyFont="1" applyFill="1" applyBorder="1"/>
    <xf numFmtId="38" fontId="18" fillId="7" borderId="10" xfId="9" applyNumberFormat="1" applyFont="1" applyFill="1" applyBorder="1"/>
    <xf numFmtId="6" fontId="18" fillId="7" borderId="10" xfId="9" applyNumberFormat="1" applyFont="1" applyFill="1" applyBorder="1"/>
    <xf numFmtId="10" fontId="18" fillId="7" borderId="10" xfId="152" applyNumberFormat="1" applyFont="1" applyFill="1" applyBorder="1"/>
    <xf numFmtId="0" fontId="18" fillId="7" borderId="57" xfId="72" applyFont="1" applyFill="1" applyBorder="1"/>
    <xf numFmtId="38" fontId="26" fillId="7" borderId="1" xfId="9" applyNumberFormat="1" applyFont="1" applyFill="1" applyBorder="1"/>
    <xf numFmtId="6" fontId="26" fillId="7" borderId="1" xfId="9" applyNumberFormat="1" applyFont="1" applyFill="1" applyBorder="1"/>
    <xf numFmtId="10" fontId="26" fillId="7" borderId="1" xfId="152" applyNumberFormat="1" applyFont="1" applyFill="1" applyBorder="1"/>
    <xf numFmtId="0" fontId="26" fillId="7" borderId="45" xfId="72" applyFont="1" applyFill="1" applyBorder="1"/>
    <xf numFmtId="38" fontId="18" fillId="7" borderId="72" xfId="9" applyNumberFormat="1" applyFont="1" applyFill="1" applyBorder="1"/>
    <xf numFmtId="38" fontId="18" fillId="7" borderId="8" xfId="9" applyNumberFormat="1" applyFont="1" applyFill="1" applyBorder="1"/>
    <xf numFmtId="6" fontId="18" fillId="7" borderId="8" xfId="9" applyNumberFormat="1" applyFont="1" applyFill="1" applyBorder="1"/>
    <xf numFmtId="10" fontId="18" fillId="7" borderId="8" xfId="152" applyNumberFormat="1" applyFont="1" applyFill="1" applyBorder="1"/>
    <xf numFmtId="0" fontId="18" fillId="7" borderId="40" xfId="72" applyFont="1" applyFill="1" applyBorder="1"/>
    <xf numFmtId="38" fontId="26" fillId="7" borderId="73" xfId="9" applyNumberFormat="1" applyFont="1" applyFill="1" applyBorder="1"/>
    <xf numFmtId="38" fontId="26" fillId="7" borderId="74" xfId="9" applyNumberFormat="1" applyFont="1" applyFill="1" applyBorder="1"/>
    <xf numFmtId="6" fontId="26" fillId="7" borderId="74" xfId="9" applyNumberFormat="1" applyFont="1" applyFill="1" applyBorder="1" applyAlignment="1">
      <alignment horizontal="center"/>
    </xf>
    <xf numFmtId="10" fontId="26" fillId="7" borderId="74" xfId="9" applyNumberFormat="1" applyFont="1" applyFill="1" applyBorder="1"/>
    <xf numFmtId="0" fontId="26" fillId="7" borderId="75" xfId="9" applyFont="1" applyFill="1" applyBorder="1"/>
    <xf numFmtId="0" fontId="18" fillId="7" borderId="56" xfId="9" applyFont="1" applyFill="1" applyBorder="1" applyAlignment="1">
      <alignment horizontal="center"/>
    </xf>
    <xf numFmtId="0" fontId="18" fillId="7" borderId="10" xfId="9" applyFont="1" applyFill="1" applyBorder="1" applyAlignment="1">
      <alignment horizontal="center"/>
    </xf>
    <xf numFmtId="0" fontId="18" fillId="7" borderId="57" xfId="9" applyFont="1" applyFill="1" applyBorder="1" applyAlignment="1">
      <alignment horizontal="center"/>
    </xf>
    <xf numFmtId="0" fontId="18" fillId="7" borderId="58" xfId="9" applyFont="1" applyFill="1" applyBorder="1" applyAlignment="1">
      <alignment horizontal="center"/>
    </xf>
    <xf numFmtId="0" fontId="18" fillId="7" borderId="59" xfId="9" applyFont="1" applyFill="1" applyBorder="1" applyAlignment="1">
      <alignment horizontal="center"/>
    </xf>
    <xf numFmtId="0" fontId="18" fillId="7" borderId="60" xfId="9" applyFont="1" applyFill="1" applyBorder="1" applyAlignment="1">
      <alignment horizontal="center"/>
    </xf>
    <xf numFmtId="1" fontId="18" fillId="7" borderId="0" xfId="14" applyNumberFormat="1" applyFont="1" applyFill="1" applyAlignment="1">
      <alignment horizontal="center"/>
    </xf>
    <xf numFmtId="0" fontId="18" fillId="7" borderId="0" xfId="72" applyFont="1" applyFill="1"/>
    <xf numFmtId="0" fontId="18" fillId="7" borderId="0" xfId="72" applyFont="1" applyFill="1" applyAlignment="1">
      <alignment horizontal="left"/>
    </xf>
    <xf numFmtId="0" fontId="18" fillId="7" borderId="0" xfId="14" applyFont="1" applyFill="1" applyAlignment="1">
      <alignment horizontal="centerContinuous"/>
    </xf>
    <xf numFmtId="0" fontId="18" fillId="7" borderId="0" xfId="14" applyFont="1" applyFill="1" applyAlignment="1">
      <alignment horizontal="center"/>
    </xf>
    <xf numFmtId="0" fontId="18" fillId="7" borderId="0" xfId="14" applyFont="1" applyFill="1" applyAlignment="1">
      <alignment horizontal="left"/>
    </xf>
    <xf numFmtId="0" fontId="18" fillId="7" borderId="0" xfId="72" applyFont="1" applyFill="1" applyAlignment="1">
      <alignment horizontal="right"/>
    </xf>
    <xf numFmtId="0" fontId="18" fillId="37" borderId="0" xfId="72" applyFont="1" applyFill="1" applyAlignment="1" applyProtection="1">
      <alignment horizontal="left"/>
      <protection locked="0"/>
    </xf>
    <xf numFmtId="17" fontId="18" fillId="7" borderId="0" xfId="14" applyNumberFormat="1" applyFont="1" applyFill="1" applyAlignment="1">
      <alignment horizontal="center"/>
    </xf>
    <xf numFmtId="0" fontId="2" fillId="0" borderId="0" xfId="176"/>
    <xf numFmtId="164" fontId="2" fillId="0" borderId="0" xfId="176" applyNumberFormat="1"/>
    <xf numFmtId="10" fontId="2" fillId="0" borderId="0" xfId="176" applyNumberFormat="1"/>
    <xf numFmtId="0" fontId="2" fillId="0" borderId="0" xfId="176" applyAlignment="1">
      <alignment horizontal="center"/>
    </xf>
    <xf numFmtId="0" fontId="2" fillId="0" borderId="27" xfId="176" applyBorder="1"/>
    <xf numFmtId="0" fontId="2" fillId="0" borderId="27" xfId="176" applyBorder="1" applyAlignment="1">
      <alignment horizontal="center"/>
    </xf>
    <xf numFmtId="0" fontId="2" fillId="0" borderId="29" xfId="176" applyBorder="1" applyAlignment="1">
      <alignment horizontal="center"/>
    </xf>
    <xf numFmtId="10" fontId="2" fillId="0" borderId="29" xfId="176" applyNumberFormat="1" applyBorder="1" applyAlignment="1">
      <alignment horizontal="center"/>
    </xf>
    <xf numFmtId="0" fontId="2" fillId="0" borderId="21" xfId="176" applyBorder="1"/>
    <xf numFmtId="10" fontId="2" fillId="0" borderId="35" xfId="176" applyNumberFormat="1" applyBorder="1"/>
    <xf numFmtId="10" fontId="2" fillId="0" borderId="27" xfId="177" applyNumberFormat="1" applyBorder="1"/>
    <xf numFmtId="10" fontId="2" fillId="0" borderId="21" xfId="177" applyNumberFormat="1" applyBorder="1"/>
    <xf numFmtId="10" fontId="2" fillId="0" borderId="27" xfId="178" applyNumberFormat="1" applyBorder="1"/>
    <xf numFmtId="10" fontId="2" fillId="0" borderId="0" xfId="176" applyNumberFormat="1" applyAlignment="1">
      <alignment horizontal="center"/>
    </xf>
    <xf numFmtId="10" fontId="2" fillId="0" borderId="21" xfId="176" applyNumberFormat="1" applyBorder="1"/>
    <xf numFmtId="10" fontId="2" fillId="0" borderId="21" xfId="178" applyNumberFormat="1" applyBorder="1"/>
    <xf numFmtId="0" fontId="2" fillId="0" borderId="29" xfId="176" applyBorder="1"/>
    <xf numFmtId="10" fontId="2" fillId="0" borderId="29" xfId="177" applyNumberFormat="1" applyBorder="1"/>
    <xf numFmtId="10" fontId="68" fillId="0" borderId="0" xfId="176" applyNumberFormat="1" applyFont="1"/>
    <xf numFmtId="2" fontId="2" fillId="0" borderId="0" xfId="176" applyNumberFormat="1"/>
    <xf numFmtId="10" fontId="0" fillId="0" borderId="0" xfId="179" applyNumberFormat="1" applyFont="1"/>
    <xf numFmtId="6" fontId="2" fillId="0" borderId="8" xfId="9" applyNumberFormat="1" applyFont="1" applyFill="1" applyBorder="1"/>
    <xf numFmtId="17" fontId="2" fillId="0" borderId="1" xfId="1" applyNumberFormat="1" applyBorder="1" applyAlignment="1">
      <alignment horizontal="center"/>
    </xf>
    <xf numFmtId="0" fontId="2" fillId="0" borderId="1" xfId="1" applyBorder="1" applyAlignment="1">
      <alignment horizontal="center"/>
    </xf>
    <xf numFmtId="0" fontId="2" fillId="0" borderId="17" xfId="0" applyFont="1" applyBorder="1"/>
    <xf numFmtId="17" fontId="2" fillId="0" borderId="17" xfId="1" applyNumberFormat="1" applyBorder="1" applyAlignment="1">
      <alignment horizontal="center"/>
    </xf>
    <xf numFmtId="0" fontId="2" fillId="0" borderId="17" xfId="1" applyBorder="1" applyAlignment="1">
      <alignment horizontal="center"/>
    </xf>
    <xf numFmtId="17" fontId="2" fillId="0" borderId="8" xfId="1" applyNumberFormat="1" applyBorder="1" applyAlignment="1">
      <alignment horizontal="center"/>
    </xf>
    <xf numFmtId="0" fontId="2" fillId="0" borderId="8" xfId="1" applyBorder="1" applyAlignment="1">
      <alignment horizontal="center"/>
    </xf>
    <xf numFmtId="0" fontId="2" fillId="6" borderId="10" xfId="1" applyFill="1" applyBorder="1"/>
    <xf numFmtId="17" fontId="2" fillId="6" borderId="7" xfId="1" applyNumberFormat="1" applyFill="1" applyBorder="1" applyAlignment="1">
      <alignment horizontal="center"/>
    </xf>
    <xf numFmtId="166" fontId="2" fillId="6" borderId="10" xfId="1" applyNumberFormat="1" applyFill="1" applyBorder="1" applyAlignment="1">
      <alignment horizontal="center"/>
    </xf>
    <xf numFmtId="17" fontId="2" fillId="6" borderId="10" xfId="1" applyNumberFormat="1" applyFill="1" applyBorder="1" applyAlignment="1">
      <alignment horizontal="center"/>
    </xf>
    <xf numFmtId="6" fontId="2" fillId="6" borderId="10" xfId="1" applyNumberFormat="1" applyFill="1" applyBorder="1"/>
    <xf numFmtId="6" fontId="2" fillId="6" borderId="7" xfId="1" applyNumberFormat="1" applyFill="1" applyBorder="1"/>
    <xf numFmtId="6" fontId="2" fillId="0" borderId="16" xfId="1" applyNumberFormat="1" applyBorder="1"/>
    <xf numFmtId="6" fontId="2" fillId="0" borderId="17" xfId="1" applyNumberFormat="1" applyBorder="1"/>
    <xf numFmtId="0" fontId="2" fillId="0" borderId="16" xfId="1" applyBorder="1"/>
    <xf numFmtId="17" fontId="2" fillId="0" borderId="16" xfId="1" applyNumberFormat="1" applyBorder="1" applyAlignment="1">
      <alignment horizontal="center"/>
    </xf>
    <xf numFmtId="0" fontId="2" fillId="6" borderId="8" xfId="1" applyFill="1" applyBorder="1"/>
    <xf numFmtId="17" fontId="2" fillId="6" borderId="8" xfId="1" applyNumberFormat="1" applyFill="1" applyBorder="1" applyAlignment="1">
      <alignment horizontal="center"/>
    </xf>
    <xf numFmtId="6" fontId="2" fillId="6" borderId="8" xfId="1" applyNumberFormat="1" applyFill="1" applyBorder="1"/>
    <xf numFmtId="6" fontId="2" fillId="0" borderId="0" xfId="1" applyNumberFormat="1" applyAlignment="1">
      <alignment horizontal="center"/>
    </xf>
    <xf numFmtId="0" fontId="2" fillId="0" borderId="0" xfId="1" applyAlignment="1">
      <alignment horizontal="center" wrapText="1"/>
    </xf>
    <xf numFmtId="0" fontId="26" fillId="37" borderId="0" xfId="146" applyFont="1" applyFill="1"/>
    <xf numFmtId="0" fontId="26" fillId="0" borderId="0" xfId="146" applyFont="1"/>
    <xf numFmtId="0" fontId="18" fillId="37" borderId="0" xfId="146" applyFont="1" applyFill="1"/>
    <xf numFmtId="0" fontId="18" fillId="37" borderId="0" xfId="146" applyFont="1" applyFill="1" applyAlignment="1">
      <alignment horizontal="left"/>
    </xf>
    <xf numFmtId="17" fontId="18" fillId="0" borderId="69" xfId="146" applyNumberFormat="1" applyFont="1" applyBorder="1" applyAlignment="1">
      <alignment horizontal="center"/>
    </xf>
    <xf numFmtId="0" fontId="26" fillId="8" borderId="0" xfId="146" applyFont="1" applyFill="1"/>
    <xf numFmtId="0" fontId="18" fillId="8" borderId="0" xfId="146" applyFont="1" applyFill="1" applyAlignment="1">
      <alignment horizontal="right"/>
    </xf>
    <xf numFmtId="17" fontId="18" fillId="8" borderId="0" xfId="146" applyNumberFormat="1" applyFont="1" applyFill="1" applyAlignment="1" applyProtection="1">
      <alignment horizontal="center"/>
      <protection locked="0"/>
    </xf>
    <xf numFmtId="0" fontId="11" fillId="37" borderId="0" xfId="146" applyFont="1" applyFill="1" applyAlignment="1" applyProtection="1">
      <alignment horizontal="left"/>
      <protection locked="0"/>
    </xf>
    <xf numFmtId="1" fontId="26" fillId="0" borderId="69" xfId="146" applyNumberFormat="1" applyFont="1" applyBorder="1" applyAlignment="1" applyProtection="1">
      <alignment horizontal="center"/>
      <protection locked="0"/>
    </xf>
    <xf numFmtId="0" fontId="18" fillId="8" borderId="0" xfId="146" applyFont="1" applyFill="1"/>
    <xf numFmtId="17" fontId="18" fillId="8" borderId="0" xfId="146" applyNumberFormat="1" applyFont="1" applyFill="1" applyAlignment="1">
      <alignment horizontal="center"/>
    </xf>
    <xf numFmtId="0" fontId="18" fillId="0" borderId="67" xfId="146" applyFont="1" applyBorder="1" applyAlignment="1">
      <alignment horizontal="centerContinuous"/>
    </xf>
    <xf numFmtId="0" fontId="26" fillId="0" borderId="66" xfId="146" applyFont="1" applyBorder="1" applyAlignment="1">
      <alignment horizontal="centerContinuous"/>
    </xf>
    <xf numFmtId="0" fontId="26" fillId="0" borderId="65" xfId="146" applyFont="1" applyBorder="1" applyAlignment="1">
      <alignment horizontal="centerContinuous"/>
    </xf>
    <xf numFmtId="0" fontId="18" fillId="0" borderId="10" xfId="146" applyFont="1" applyBorder="1" applyAlignment="1">
      <alignment horizontal="center"/>
    </xf>
    <xf numFmtId="0" fontId="18" fillId="0" borderId="11" xfId="146" applyFont="1" applyBorder="1" applyAlignment="1">
      <alignment horizontal="center"/>
    </xf>
    <xf numFmtId="0" fontId="18" fillId="0" borderId="8" xfId="146" applyFont="1" applyBorder="1" applyAlignment="1">
      <alignment horizontal="center"/>
    </xf>
    <xf numFmtId="1" fontId="26" fillId="0" borderId="11" xfId="146" applyNumberFormat="1" applyFont="1" applyBorder="1" applyAlignment="1">
      <alignment horizontal="center"/>
    </xf>
    <xf numFmtId="1" fontId="26" fillId="0" borderId="5" xfId="146" applyNumberFormat="1" applyFont="1" applyBorder="1" applyAlignment="1">
      <alignment horizontal="center"/>
    </xf>
    <xf numFmtId="10" fontId="18" fillId="37" borderId="63" xfId="146" applyNumberFormat="1" applyFont="1" applyFill="1" applyBorder="1"/>
    <xf numFmtId="1" fontId="18" fillId="37" borderId="63" xfId="146" applyNumberFormat="1" applyFont="1" applyFill="1" applyBorder="1"/>
    <xf numFmtId="0" fontId="26" fillId="0" borderId="6" xfId="146" applyFont="1" applyBorder="1" applyAlignment="1">
      <alignment horizontal="left"/>
    </xf>
    <xf numFmtId="10" fontId="18" fillId="37" borderId="8" xfId="146" applyNumberFormat="1" applyFont="1" applyFill="1" applyBorder="1"/>
    <xf numFmtId="38" fontId="67" fillId="0" borderId="1" xfId="146" applyNumberFormat="1" applyFont="1" applyBorder="1" applyAlignment="1" applyProtection="1">
      <alignment horizontal="centerContinuous"/>
      <protection locked="0"/>
    </xf>
    <xf numFmtId="1" fontId="67" fillId="0" borderId="1" xfId="146" applyNumberFormat="1" applyFont="1" applyBorder="1" applyAlignment="1">
      <alignment horizontal="centerContinuous"/>
    </xf>
    <xf numFmtId="0" fontId="18" fillId="0" borderId="63" xfId="146" applyFont="1" applyBorder="1" applyAlignment="1">
      <alignment horizontal="left"/>
    </xf>
    <xf numFmtId="0" fontId="18" fillId="0" borderId="64" xfId="146" applyFont="1" applyBorder="1" applyAlignment="1">
      <alignment horizontal="center"/>
    </xf>
    <xf numFmtId="6" fontId="26" fillId="0" borderId="8" xfId="146" applyNumberFormat="1" applyFont="1" applyBorder="1"/>
    <xf numFmtId="6" fontId="26" fillId="0" borderId="8" xfId="146" applyNumberFormat="1" applyFont="1" applyBorder="1" applyAlignment="1">
      <alignment horizontal="center"/>
    </xf>
    <xf numFmtId="10" fontId="18" fillId="37" borderId="0" xfId="146" applyNumberFormat="1" applyFont="1" applyFill="1"/>
    <xf numFmtId="0" fontId="68" fillId="37" borderId="0" xfId="146" applyFont="1" applyFill="1"/>
    <xf numFmtId="0" fontId="26" fillId="0" borderId="8" xfId="146" applyFont="1" applyBorder="1"/>
    <xf numFmtId="0" fontId="26" fillId="0" borderId="1" xfId="146" applyFont="1" applyBorder="1"/>
    <xf numFmtId="0" fontId="26" fillId="0" borderId="7" xfId="146" applyFont="1" applyBorder="1"/>
    <xf numFmtId="0" fontId="26" fillId="0" borderId="9" xfId="146" applyFont="1" applyBorder="1"/>
    <xf numFmtId="0" fontId="29" fillId="0" borderId="66" xfId="146" applyFont="1" applyBorder="1" applyAlignment="1">
      <alignment horizontal="centerContinuous"/>
    </xf>
    <xf numFmtId="0" fontId="69" fillId="0" borderId="67" xfId="146" applyFont="1" applyBorder="1" applyAlignment="1">
      <alignment horizontal="centerContinuous"/>
    </xf>
    <xf numFmtId="164" fontId="2" fillId="0" borderId="1" xfId="1" applyNumberFormat="1" applyFont="1" applyFill="1" applyBorder="1"/>
    <xf numFmtId="0" fontId="70" fillId="0" borderId="0" xfId="176" applyFont="1"/>
    <xf numFmtId="3" fontId="72" fillId="0" borderId="1" xfId="1" applyNumberFormat="1" applyFont="1" applyBorder="1" applyProtection="1"/>
    <xf numFmtId="10" fontId="72" fillId="0" borderId="1" xfId="75" applyNumberFormat="1" applyFont="1" applyBorder="1" applyProtection="1"/>
    <xf numFmtId="3" fontId="73" fillId="0" borderId="1" xfId="1" applyNumberFormat="1" applyFont="1" applyBorder="1" applyProtection="1"/>
    <xf numFmtId="10" fontId="73" fillId="0" borderId="1" xfId="75" applyNumberFormat="1" applyFont="1" applyBorder="1" applyProtection="1"/>
    <xf numFmtId="3" fontId="74" fillId="0" borderId="0" xfId="176" applyNumberFormat="1" applyFont="1"/>
    <xf numFmtId="0" fontId="10" fillId="3" borderId="77" xfId="1" applyFont="1" applyFill="1" applyBorder="1" applyAlignment="1">
      <alignment horizontal="center" vertical="center"/>
    </xf>
    <xf numFmtId="6" fontId="5" fillId="38" borderId="0" xfId="1" applyNumberFormat="1" applyFont="1" applyFill="1"/>
    <xf numFmtId="0" fontId="10" fillId="3" borderId="8" xfId="1" applyFont="1" applyFill="1" applyBorder="1" applyAlignment="1">
      <alignment horizontal="center" wrapText="1"/>
    </xf>
    <xf numFmtId="10" fontId="2" fillId="0" borderId="1" xfId="5" applyNumberFormat="1" applyFont="1" applyFill="1" applyBorder="1"/>
    <xf numFmtId="6" fontId="2" fillId="2" borderId="1" xfId="1" applyNumberFormat="1" applyFill="1" applyBorder="1"/>
    <xf numFmtId="6" fontId="2" fillId="2" borderId="6" xfId="1" applyNumberFormat="1" applyFill="1" applyBorder="1"/>
    <xf numFmtId="6" fontId="8" fillId="0" borderId="71" xfId="1" applyNumberFormat="1" applyFont="1" applyFill="1" applyBorder="1"/>
    <xf numFmtId="0" fontId="8" fillId="0" borderId="59" xfId="1" applyFont="1" applyFill="1" applyBorder="1"/>
    <xf numFmtId="6" fontId="13" fillId="0" borderId="0" xfId="1" applyNumberFormat="1" applyFont="1" applyBorder="1" applyAlignment="1"/>
    <xf numFmtId="38" fontId="75" fillId="0" borderId="0" xfId="1" applyNumberFormat="1" applyFont="1"/>
    <xf numFmtId="6" fontId="8" fillId="0" borderId="13" xfId="1" applyNumberFormat="1" applyFont="1" applyFill="1" applyBorder="1"/>
    <xf numFmtId="6" fontId="2" fillId="8" borderId="0" xfId="9" applyNumberFormat="1" applyFont="1" applyFill="1" applyBorder="1"/>
    <xf numFmtId="10" fontId="2" fillId="0" borderId="1" xfId="7" applyNumberFormat="1" applyFont="1" applyFill="1" applyBorder="1" applyAlignment="1">
      <alignment horizontal="right"/>
    </xf>
    <xf numFmtId="166" fontId="2" fillId="0" borderId="17" xfId="1" applyNumberFormat="1" applyFont="1" applyFill="1" applyBorder="1" applyAlignment="1">
      <alignment horizontal="center"/>
    </xf>
    <xf numFmtId="38" fontId="13" fillId="0" borderId="0" xfId="1" applyNumberFormat="1" applyFont="1" applyBorder="1" applyAlignment="1"/>
    <xf numFmtId="6" fontId="26" fillId="0" borderId="0" xfId="139" applyNumberFormat="1" applyFont="1" applyFill="1"/>
    <xf numFmtId="6" fontId="30" fillId="0" borderId="1" xfId="1" applyNumberFormat="1" applyFont="1" applyBorder="1"/>
    <xf numFmtId="0" fontId="18" fillId="0" borderId="0" xfId="1" applyFont="1" applyFill="1" applyBorder="1" applyAlignment="1"/>
    <xf numFmtId="0" fontId="18" fillId="0" borderId="0" xfId="1" applyFont="1" applyFill="1" applyBorder="1" applyAlignment="1">
      <alignment horizontal="center"/>
    </xf>
    <xf numFmtId="38" fontId="13" fillId="0" borderId="0" xfId="1" applyNumberFormat="1" applyFont="1"/>
    <xf numFmtId="164" fontId="5" fillId="0" borderId="0" xfId="1" applyNumberFormat="1" applyFont="1" applyFill="1" applyBorder="1" applyAlignment="1">
      <alignment horizontal="right" wrapText="1"/>
    </xf>
    <xf numFmtId="166" fontId="8" fillId="0" borderId="10" xfId="1" applyNumberFormat="1" applyFont="1" applyFill="1" applyBorder="1" applyAlignment="1">
      <alignment horizontal="center"/>
    </xf>
    <xf numFmtId="17" fontId="8" fillId="0" borderId="9" xfId="1" applyNumberFormat="1" applyFont="1" applyFill="1" applyBorder="1" applyAlignment="1">
      <alignment horizontal="center"/>
    </xf>
    <xf numFmtId="166" fontId="15" fillId="0" borderId="1" xfId="1" applyNumberFormat="1" applyFont="1" applyFill="1" applyBorder="1" applyAlignment="1">
      <alignment horizontal="center"/>
    </xf>
    <xf numFmtId="6" fontId="8" fillId="8" borderId="9" xfId="9" applyNumberFormat="1" applyFont="1" applyFill="1" applyBorder="1"/>
    <xf numFmtId="166" fontId="8" fillId="0" borderId="15" xfId="1" applyNumberFormat="1" applyFont="1" applyFill="1" applyBorder="1" applyAlignment="1">
      <alignment horizontal="center"/>
    </xf>
    <xf numFmtId="6" fontId="2" fillId="0" borderId="17" xfId="9" applyNumberFormat="1" applyFont="1" applyBorder="1"/>
    <xf numFmtId="0" fontId="8" fillId="0" borderId="10" xfId="1" applyFont="1" applyFill="1" applyBorder="1"/>
    <xf numFmtId="166" fontId="21" fillId="0" borderId="17" xfId="1" applyNumberFormat="1" applyFont="1" applyFill="1" applyBorder="1" applyAlignment="1">
      <alignment horizontal="center"/>
    </xf>
    <xf numFmtId="6" fontId="8" fillId="0" borderId="70" xfId="1" applyNumberFormat="1" applyFont="1" applyFill="1" applyBorder="1"/>
    <xf numFmtId="0" fontId="2" fillId="0" borderId="9" xfId="0" applyFont="1" applyBorder="1"/>
    <xf numFmtId="6" fontId="2" fillId="8" borderId="9" xfId="9" applyNumberFormat="1" applyFont="1" applyFill="1" applyBorder="1"/>
    <xf numFmtId="166" fontId="21" fillId="0" borderId="8" xfId="1" applyNumberFormat="1" applyFont="1" applyFill="1" applyBorder="1" applyAlignment="1">
      <alignment horizontal="center"/>
    </xf>
    <xf numFmtId="0" fontId="2" fillId="0" borderId="9" xfId="0" applyFont="1" applyFill="1" applyBorder="1"/>
    <xf numFmtId="0" fontId="21" fillId="0" borderId="8" xfId="1" applyFont="1" applyBorder="1" applyAlignment="1">
      <alignment horizontal="center"/>
    </xf>
    <xf numFmtId="0" fontId="2" fillId="0" borderId="10" xfId="0" applyFont="1" applyFill="1" applyBorder="1"/>
    <xf numFmtId="0" fontId="2" fillId="0" borderId="1" xfId="0" applyFont="1" applyFill="1" applyBorder="1"/>
    <xf numFmtId="6" fontId="2" fillId="8" borderId="10" xfId="9" applyNumberFormat="1" applyFont="1" applyFill="1" applyBorder="1"/>
    <xf numFmtId="0" fontId="76" fillId="0" borderId="0" xfId="1" applyFont="1" applyFill="1" applyAlignment="1">
      <alignment horizontal="center"/>
    </xf>
    <xf numFmtId="0" fontId="2" fillId="0" borderId="0" xfId="1" quotePrefix="1" applyFont="1"/>
    <xf numFmtId="0" fontId="76" fillId="0" borderId="0" xfId="1" applyFont="1" applyAlignment="1">
      <alignment horizontal="center"/>
    </xf>
    <xf numFmtId="0" fontId="10" fillId="3" borderId="82" xfId="1" applyFont="1" applyFill="1" applyBorder="1" applyAlignment="1">
      <alignment horizontal="center" vertical="center" wrapText="1"/>
    </xf>
    <xf numFmtId="38" fontId="2" fillId="0" borderId="0" xfId="1" applyNumberFormat="1"/>
    <xf numFmtId="0" fontId="78" fillId="0" borderId="0" xfId="0" applyFont="1" applyAlignment="1">
      <alignment horizontal="left"/>
    </xf>
    <xf numFmtId="49" fontId="78" fillId="0" borderId="0" xfId="0" applyNumberFormat="1" applyFont="1" applyAlignment="1">
      <alignment horizontal="center"/>
    </xf>
    <xf numFmtId="164" fontId="78" fillId="0" borderId="0" xfId="145" applyNumberFormat="1" applyFont="1" applyAlignment="1">
      <alignment horizontal="right"/>
    </xf>
    <xf numFmtId="1" fontId="78" fillId="0" borderId="0" xfId="0" applyNumberFormat="1"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164" fontId="2" fillId="0" borderId="0" xfId="145" applyNumberFormat="1" applyFont="1" applyAlignment="1">
      <alignment horizontal="right"/>
    </xf>
    <xf numFmtId="1" fontId="5" fillId="0" borderId="0" xfId="0" applyNumberFormat="1" applyFont="1" applyAlignment="1">
      <alignment horizontal="center"/>
    </xf>
    <xf numFmtId="0" fontId="2" fillId="0" borderId="0" xfId="0" applyFont="1"/>
    <xf numFmtId="49" fontId="0" fillId="0" borderId="0" xfId="0" applyNumberFormat="1" applyAlignment="1">
      <alignment horizontal="center"/>
    </xf>
    <xf numFmtId="0" fontId="2" fillId="0" borderId="0" xfId="0" applyFont="1" applyAlignment="1">
      <alignment vertical="top"/>
    </xf>
    <xf numFmtId="6" fontId="2" fillId="0" borderId="8" xfId="9" applyNumberFormat="1" applyFont="1" applyBorder="1"/>
    <xf numFmtId="6" fontId="2" fillId="0" borderId="8" xfId="1" applyNumberFormat="1" applyBorder="1"/>
    <xf numFmtId="6" fontId="2" fillId="0" borderId="9" xfId="9" applyNumberFormat="1" applyFont="1" applyBorder="1"/>
    <xf numFmtId="6" fontId="2" fillId="0" borderId="9" xfId="1" applyNumberFormat="1" applyBorder="1"/>
    <xf numFmtId="6" fontId="2" fillId="0" borderId="71" xfId="9" applyNumberFormat="1" applyFont="1" applyBorder="1"/>
    <xf numFmtId="6" fontId="2" fillId="0" borderId="71" xfId="1" applyNumberFormat="1" applyBorder="1"/>
    <xf numFmtId="6" fontId="2" fillId="6" borderId="1" xfId="9" applyNumberFormat="1" applyFont="1" applyFill="1" applyBorder="1"/>
    <xf numFmtId="6" fontId="2" fillId="2" borderId="8" xfId="1" applyNumberFormat="1" applyFill="1" applyBorder="1"/>
    <xf numFmtId="0" fontId="2" fillId="7" borderId="1" xfId="174" applyFill="1" applyBorder="1"/>
    <xf numFmtId="0" fontId="2" fillId="0" borderId="1" xfId="174" applyBorder="1"/>
    <xf numFmtId="0" fontId="2" fillId="7" borderId="16" xfId="174" applyFill="1" applyBorder="1"/>
    <xf numFmtId="0" fontId="2" fillId="0" borderId="16" xfId="174" applyBorder="1"/>
    <xf numFmtId="6" fontId="2" fillId="0" borderId="15" xfId="1" applyNumberFormat="1" applyBorder="1"/>
    <xf numFmtId="6" fontId="2" fillId="6" borderId="1" xfId="1" applyNumberFormat="1" applyFill="1" applyBorder="1"/>
    <xf numFmtId="6" fontId="5" fillId="0" borderId="0" xfId="1" applyNumberFormat="1" applyFont="1"/>
    <xf numFmtId="6" fontId="2" fillId="4" borderId="8" xfId="9" applyNumberFormat="1" applyFont="1" applyFill="1" applyBorder="1"/>
    <xf numFmtId="6" fontId="2" fillId="4" borderId="8" xfId="1" applyNumberFormat="1" applyFill="1" applyBorder="1"/>
    <xf numFmtId="6" fontId="2" fillId="4" borderId="17" xfId="9" applyNumberFormat="1" applyFont="1" applyFill="1" applyBorder="1"/>
    <xf numFmtId="6" fontId="2" fillId="4" borderId="10" xfId="1" applyNumberFormat="1" applyFill="1" applyBorder="1"/>
    <xf numFmtId="6" fontId="2" fillId="4" borderId="71" xfId="1" applyNumberFormat="1" applyFill="1" applyBorder="1"/>
    <xf numFmtId="0" fontId="21" fillId="7" borderId="1" xfId="1" applyFont="1" applyFill="1" applyBorder="1" applyAlignment="1">
      <alignment horizontal="center"/>
    </xf>
    <xf numFmtId="6" fontId="2" fillId="4" borderId="1" xfId="9" applyNumberFormat="1" applyFont="1" applyFill="1" applyBorder="1"/>
    <xf numFmtId="6" fontId="2" fillId="0" borderId="10" xfId="1" applyNumberFormat="1" applyBorder="1"/>
    <xf numFmtId="6" fontId="2" fillId="0" borderId="11" xfId="1" applyNumberFormat="1" applyBorder="1"/>
    <xf numFmtId="6" fontId="2" fillId="4" borderId="1" xfId="1" applyNumberFormat="1" applyFill="1" applyBorder="1"/>
    <xf numFmtId="6" fontId="2" fillId="0" borderId="76" xfId="1" applyNumberFormat="1" applyBorder="1"/>
    <xf numFmtId="6" fontId="2" fillId="4" borderId="16" xfId="1" applyNumberFormat="1" applyFill="1" applyBorder="1"/>
    <xf numFmtId="6" fontId="2" fillId="0" borderId="62" xfId="1" applyNumberFormat="1" applyBorder="1"/>
    <xf numFmtId="6" fontId="2" fillId="0" borderId="5" xfId="1" applyNumberFormat="1" applyBorder="1"/>
    <xf numFmtId="6" fontId="2" fillId="4" borderId="71" xfId="9" applyNumberFormat="1" applyFont="1" applyFill="1" applyBorder="1"/>
    <xf numFmtId="6" fontId="2" fillId="4" borderId="9" xfId="9" applyNumberFormat="1" applyFont="1" applyFill="1" applyBorder="1"/>
    <xf numFmtId="6" fontId="2" fillId="4" borderId="9" xfId="1" applyNumberFormat="1" applyFill="1" applyBorder="1"/>
    <xf numFmtId="10" fontId="5" fillId="0" borderId="1" xfId="1" applyNumberFormat="1" applyFont="1" applyBorder="1" applyAlignment="1">
      <alignment horizontal="right"/>
    </xf>
    <xf numFmtId="6" fontId="15" fillId="0" borderId="1" xfId="5" applyNumberFormat="1" applyFont="1" applyFill="1" applyBorder="1"/>
    <xf numFmtId="6" fontId="8" fillId="0" borderId="83" xfId="1" applyNumberFormat="1" applyFont="1" applyFill="1" applyBorder="1"/>
    <xf numFmtId="0" fontId="18" fillId="0" borderId="0" xfId="1" applyFont="1" applyBorder="1" applyAlignment="1">
      <alignment horizontal="center"/>
    </xf>
    <xf numFmtId="0" fontId="10" fillId="3" borderId="5" xfId="1" applyFont="1" applyFill="1" applyBorder="1" applyAlignment="1">
      <alignment horizontal="center"/>
    </xf>
    <xf numFmtId="0" fontId="10" fillId="3" borderId="9" xfId="1" applyFont="1" applyFill="1" applyBorder="1" applyAlignment="1">
      <alignment horizontal="center" wrapText="1"/>
    </xf>
    <xf numFmtId="0" fontId="11" fillId="0" borderId="0" xfId="1" applyFont="1" applyBorder="1" applyAlignment="1">
      <alignment horizontal="center"/>
    </xf>
    <xf numFmtId="0" fontId="10" fillId="3" borderId="36" xfId="1" applyFont="1" applyFill="1" applyBorder="1" applyAlignment="1">
      <alignment horizontal="center" vertical="center" wrapText="1"/>
    </xf>
    <xf numFmtId="0" fontId="10" fillId="3" borderId="60" xfId="1" applyFont="1" applyFill="1" applyBorder="1" applyAlignment="1">
      <alignment horizontal="center" vertical="center"/>
    </xf>
    <xf numFmtId="0" fontId="10" fillId="5" borderId="0" xfId="1" applyFont="1" applyFill="1" applyBorder="1" applyAlignment="1">
      <alignment horizontal="center" vertical="center"/>
    </xf>
    <xf numFmtId="0" fontId="79" fillId="0" borderId="0" xfId="139" applyFont="1" applyFill="1"/>
    <xf numFmtId="0" fontId="56" fillId="0" borderId="0" xfId="139" applyFont="1" applyFill="1"/>
    <xf numFmtId="10" fontId="54" fillId="39" borderId="1" xfId="75" applyNumberFormat="1" applyFont="1" applyFill="1" applyBorder="1" applyProtection="1"/>
    <xf numFmtId="3" fontId="54" fillId="39" borderId="1" xfId="1" applyNumberFormat="1" applyFont="1" applyFill="1" applyBorder="1" applyProtection="1"/>
    <xf numFmtId="164" fontId="2" fillId="0" borderId="1" xfId="145" applyNumberFormat="1" applyFont="1" applyBorder="1" applyAlignment="1">
      <alignment horizontal="right"/>
    </xf>
    <xf numFmtId="164" fontId="2" fillId="0" borderId="17" xfId="145" applyNumberFormat="1" applyFont="1" applyBorder="1" applyAlignment="1">
      <alignment horizontal="right"/>
    </xf>
    <xf numFmtId="164" fontId="2" fillId="0" borderId="8" xfId="145" applyNumberFormat="1" applyFont="1" applyBorder="1" applyAlignment="1">
      <alignment horizontal="right"/>
    </xf>
    <xf numFmtId="164" fontId="2" fillId="0" borderId="9" xfId="145" applyNumberFormat="1" applyFont="1" applyBorder="1" applyAlignment="1">
      <alignment horizontal="right"/>
    </xf>
    <xf numFmtId="164" fontId="2" fillId="0" borderId="71" xfId="145" applyNumberFormat="1" applyFont="1" applyBorder="1" applyAlignment="1">
      <alignment horizontal="right"/>
    </xf>
    <xf numFmtId="0" fontId="2" fillId="37" borderId="0" xfId="146" applyFill="1"/>
    <xf numFmtId="10" fontId="2" fillId="37" borderId="0" xfId="75" applyNumberFormat="1" applyFill="1"/>
    <xf numFmtId="1" fontId="26" fillId="0" borderId="84" xfId="74" applyNumberFormat="1" applyFont="1" applyBorder="1" applyAlignment="1">
      <alignment horizontal="center"/>
    </xf>
    <xf numFmtId="38" fontId="2" fillId="37" borderId="0" xfId="146" applyNumberFormat="1" applyFill="1"/>
    <xf numFmtId="6" fontId="2" fillId="37" borderId="0" xfId="146" applyNumberFormat="1" applyFill="1"/>
    <xf numFmtId="10" fontId="26" fillId="0" borderId="11" xfId="75" applyNumberFormat="1" applyFont="1" applyBorder="1"/>
    <xf numFmtId="0" fontId="80" fillId="0" borderId="0" xfId="139" applyFont="1" applyFill="1"/>
    <xf numFmtId="0" fontId="81" fillId="0" borderId="0" xfId="1" applyFont="1" applyFill="1"/>
    <xf numFmtId="0" fontId="81" fillId="0" borderId="0" xfId="1" applyFont="1" applyFill="1" applyBorder="1"/>
    <xf numFmtId="0" fontId="81" fillId="0" borderId="0" xfId="1" applyFont="1" applyFill="1" applyAlignment="1">
      <alignment horizontal="right"/>
    </xf>
    <xf numFmtId="38" fontId="81" fillId="0" borderId="0" xfId="1" applyNumberFormat="1" applyFont="1" applyFill="1" applyBorder="1"/>
    <xf numFmtId="6" fontId="81" fillId="0" borderId="0" xfId="1" applyNumberFormat="1" applyFont="1"/>
    <xf numFmtId="166" fontId="15" fillId="0" borderId="17" xfId="1" applyNumberFormat="1" applyFont="1" applyFill="1" applyBorder="1" applyAlignment="1">
      <alignment horizontal="center"/>
    </xf>
    <xf numFmtId="166" fontId="21" fillId="6" borderId="8" xfId="1" applyNumberFormat="1" applyFont="1" applyFill="1" applyBorder="1" applyAlignment="1">
      <alignment horizontal="center"/>
    </xf>
    <xf numFmtId="166" fontId="2" fillId="0" borderId="9" xfId="1" applyNumberFormat="1" applyFont="1" applyFill="1" applyBorder="1" applyAlignment="1">
      <alignment horizontal="center"/>
    </xf>
    <xf numFmtId="166" fontId="2" fillId="0" borderId="1" xfId="1" applyNumberFormat="1" applyFont="1" applyFill="1" applyBorder="1" applyAlignment="1">
      <alignment horizontal="center"/>
    </xf>
    <xf numFmtId="17" fontId="8" fillId="0" borderId="70" xfId="1" applyNumberFormat="1" applyFont="1" applyFill="1" applyBorder="1" applyAlignment="1">
      <alignment horizontal="center"/>
    </xf>
    <xf numFmtId="17" fontId="2" fillId="0" borderId="9" xfId="1" applyNumberFormat="1" applyBorder="1" applyAlignment="1">
      <alignment horizontal="center"/>
    </xf>
    <xf numFmtId="6" fontId="2" fillId="4" borderId="17" xfId="1" applyNumberFormat="1" applyFill="1" applyBorder="1"/>
    <xf numFmtId="6" fontId="2" fillId="0" borderId="9" xfId="9" applyNumberFormat="1" applyFont="1" applyFill="1" applyBorder="1"/>
    <xf numFmtId="166" fontId="21" fillId="0" borderId="9" xfId="1" applyNumberFormat="1" applyFont="1" applyFill="1" applyBorder="1" applyAlignment="1">
      <alignment horizontal="center"/>
    </xf>
    <xf numFmtId="0" fontId="10" fillId="3" borderId="9" xfId="1" applyFont="1" applyFill="1" applyBorder="1" applyAlignment="1">
      <alignment horizontal="center" vertical="center" wrapText="1"/>
    </xf>
    <xf numFmtId="0" fontId="11" fillId="0" borderId="0" xfId="1" applyFont="1" applyAlignment="1">
      <alignment horizontal="center"/>
    </xf>
    <xf numFmtId="0" fontId="2" fillId="0" borderId="11" xfId="1" applyBorder="1"/>
    <xf numFmtId="6" fontId="2" fillId="40" borderId="10" xfId="9" applyNumberFormat="1" applyFont="1" applyFill="1" applyBorder="1"/>
    <xf numFmtId="6" fontId="2" fillId="2" borderId="90" xfId="1" applyNumberFormat="1" applyFill="1" applyBorder="1"/>
    <xf numFmtId="0" fontId="10" fillId="3" borderId="89" xfId="1" applyFont="1" applyFill="1" applyBorder="1" applyAlignment="1">
      <alignment horizontal="center" vertical="center" wrapText="1"/>
    </xf>
    <xf numFmtId="6" fontId="26" fillId="9" borderId="22" xfId="9" applyNumberFormat="1" applyFont="1" applyFill="1" applyBorder="1"/>
    <xf numFmtId="6" fontId="2" fillId="40" borderId="10" xfId="1" applyNumberFormat="1" applyFill="1" applyBorder="1"/>
    <xf numFmtId="6" fontId="2" fillId="40" borderId="71" xfId="1" applyNumberFormat="1" applyFill="1" applyBorder="1"/>
    <xf numFmtId="6" fontId="2" fillId="40" borderId="1" xfId="1" applyNumberFormat="1" applyFill="1" applyBorder="1"/>
    <xf numFmtId="1" fontId="26" fillId="0" borderId="92" xfId="1" applyNumberFormat="1" applyFont="1" applyBorder="1" applyAlignment="1">
      <alignment horizontal="center"/>
    </xf>
    <xf numFmtId="38" fontId="26" fillId="0" borderId="92" xfId="74" applyNumberFormat="1" applyFont="1" applyBorder="1" applyProtection="1">
      <protection locked="0"/>
    </xf>
    <xf numFmtId="0" fontId="21" fillId="0" borderId="9" xfId="1" applyFont="1" applyBorder="1" applyAlignment="1">
      <alignment horizontal="center"/>
    </xf>
    <xf numFmtId="6" fontId="21" fillId="0" borderId="1" xfId="145" applyNumberFormat="1" applyFont="1" applyBorder="1" applyAlignment="1">
      <alignment horizontal="right"/>
    </xf>
    <xf numFmtId="38" fontId="2" fillId="8" borderId="1" xfId="9" applyNumberFormat="1" applyFont="1" applyFill="1" applyBorder="1"/>
    <xf numFmtId="17" fontId="2" fillId="0" borderId="10" xfId="1" applyNumberFormat="1" applyBorder="1" applyAlignment="1">
      <alignment horizontal="center"/>
    </xf>
    <xf numFmtId="6" fontId="14" fillId="0" borderId="0" xfId="1" applyNumberFormat="1" applyFont="1"/>
    <xf numFmtId="6" fontId="83" fillId="0" borderId="0" xfId="139" applyNumberFormat="1" applyFont="1" applyFill="1"/>
    <xf numFmtId="0" fontId="15" fillId="0" borderId="0" xfId="1" applyFont="1"/>
    <xf numFmtId="10" fontId="84" fillId="0" borderId="0" xfId="139" applyNumberFormat="1" applyFont="1" applyFill="1"/>
    <xf numFmtId="0" fontId="21" fillId="0" borderId="71" xfId="1" applyFont="1" applyBorder="1" applyAlignment="1">
      <alignment horizontal="center"/>
    </xf>
    <xf numFmtId="6" fontId="2" fillId="6" borderId="90" xfId="1" applyNumberFormat="1" applyFill="1" applyBorder="1"/>
    <xf numFmtId="6" fontId="2" fillId="4" borderId="10" xfId="9" applyNumberFormat="1" applyFont="1" applyFill="1" applyBorder="1"/>
    <xf numFmtId="6" fontId="2" fillId="0" borderId="1" xfId="145" applyNumberFormat="1" applyFont="1" applyBorder="1" applyAlignment="1">
      <alignment horizontal="right"/>
    </xf>
    <xf numFmtId="3" fontId="26" fillId="0" borderId="92" xfId="74" applyNumberFormat="1" applyFont="1" applyBorder="1" applyAlignment="1">
      <alignment horizontal="right"/>
    </xf>
    <xf numFmtId="10" fontId="26" fillId="0" borderId="92" xfId="75" applyNumberFormat="1" applyFont="1" applyBorder="1"/>
    <xf numFmtId="6" fontId="2" fillId="40" borderId="1" xfId="9" applyNumberFormat="1" applyFont="1" applyFill="1" applyBorder="1"/>
    <xf numFmtId="0" fontId="83" fillId="0" borderId="0" xfId="139" applyFont="1" applyFill="1" applyAlignment="1"/>
    <xf numFmtId="17" fontId="2" fillId="0" borderId="71" xfId="1" applyNumberFormat="1" applyBorder="1" applyAlignment="1">
      <alignment horizontal="center"/>
    </xf>
    <xf numFmtId="6" fontId="2" fillId="0" borderId="92" xfId="1" applyNumberFormat="1" applyBorder="1"/>
    <xf numFmtId="6" fontId="2" fillId="0" borderId="10" xfId="9" applyNumberFormat="1" applyFont="1" applyBorder="1"/>
    <xf numFmtId="164" fontId="2" fillId="8" borderId="1" xfId="9" applyNumberFormat="1" applyFont="1" applyFill="1" applyBorder="1"/>
    <xf numFmtId="38" fontId="26" fillId="0" borderId="92" xfId="74" applyNumberFormat="1" applyFont="1" applyBorder="1" applyAlignment="1">
      <alignment horizontal="right"/>
    </xf>
    <xf numFmtId="0" fontId="18" fillId="0" borderId="92" xfId="1" applyFont="1" applyBorder="1" applyAlignment="1">
      <alignment horizontal="center"/>
    </xf>
    <xf numFmtId="6" fontId="2" fillId="40" borderId="9" xfId="1" applyNumberFormat="1" applyFill="1" applyBorder="1"/>
    <xf numFmtId="6" fontId="2" fillId="40" borderId="8" xfId="1" applyNumberFormat="1" applyFill="1" applyBorder="1"/>
    <xf numFmtId="10" fontId="2" fillId="9" borderId="1" xfId="5" applyNumberFormat="1" applyFont="1" applyFill="1" applyBorder="1"/>
    <xf numFmtId="6" fontId="15" fillId="0" borderId="1" xfId="1" applyNumberFormat="1" applyFont="1" applyBorder="1"/>
    <xf numFmtId="0" fontId="83" fillId="0" borderId="0" xfId="139" quotePrefix="1" applyFont="1" applyFill="1" applyAlignment="1"/>
    <xf numFmtId="0" fontId="18" fillId="0" borderId="92" xfId="146" applyFont="1" applyBorder="1" applyAlignment="1">
      <alignment horizontal="center"/>
    </xf>
    <xf numFmtId="6" fontId="8" fillId="7" borderId="1" xfId="9" applyNumberFormat="1" applyFont="1" applyFill="1" applyBorder="1"/>
    <xf numFmtId="0" fontId="21" fillId="0" borderId="1" xfId="0" applyFont="1" applyFill="1" applyBorder="1"/>
    <xf numFmtId="0" fontId="83" fillId="0" borderId="0" xfId="139" applyFont="1" applyFill="1"/>
    <xf numFmtId="10" fontId="83" fillId="0" borderId="0" xfId="195" applyNumberFormat="1" applyFont="1" applyFill="1"/>
    <xf numFmtId="0" fontId="2" fillId="0" borderId="71" xfId="0" applyFont="1" applyBorder="1"/>
    <xf numFmtId="0" fontId="2" fillId="0" borderId="9" xfId="1" applyBorder="1" applyAlignment="1">
      <alignment horizontal="center"/>
    </xf>
    <xf numFmtId="38" fontId="2" fillId="0" borderId="1" xfId="9" applyNumberFormat="1" applyFont="1" applyBorder="1"/>
    <xf numFmtId="38" fontId="2" fillId="0" borderId="1" xfId="145" applyNumberFormat="1" applyFont="1" applyBorder="1" applyAlignment="1">
      <alignment horizontal="right"/>
    </xf>
    <xf numFmtId="1" fontId="26" fillId="0" borderId="92" xfId="146" applyNumberFormat="1" applyFont="1" applyBorder="1" applyAlignment="1">
      <alignment horizontal="center"/>
    </xf>
    <xf numFmtId="6" fontId="2" fillId="40" borderId="9" xfId="9" applyNumberFormat="1" applyFont="1" applyFill="1" applyBorder="1"/>
    <xf numFmtId="6" fontId="2" fillId="40" borderId="71" xfId="9" applyNumberFormat="1" applyFont="1" applyFill="1" applyBorder="1"/>
    <xf numFmtId="6" fontId="2" fillId="40" borderId="8" xfId="9" applyNumberFormat="1" applyFont="1" applyFill="1" applyBorder="1"/>
    <xf numFmtId="38" fontId="84" fillId="0" borderId="0" xfId="139" applyNumberFormat="1" applyFont="1" applyFill="1"/>
    <xf numFmtId="38" fontId="83" fillId="0" borderId="0" xfId="139" applyNumberFormat="1" applyFont="1" applyFill="1"/>
    <xf numFmtId="6" fontId="8" fillId="0" borderId="10" xfId="9" applyNumberFormat="1" applyFont="1" applyFill="1" applyBorder="1"/>
    <xf numFmtId="6" fontId="76" fillId="0" borderId="0" xfId="1" applyNumberFormat="1" applyFont="1" applyAlignment="1">
      <alignment horizontal="center"/>
    </xf>
    <xf numFmtId="6" fontId="8" fillId="7" borderId="17" xfId="9" applyNumberFormat="1" applyFont="1" applyFill="1" applyBorder="1"/>
    <xf numFmtId="6" fontId="26" fillId="0" borderId="22" xfId="9" applyNumberFormat="1" applyFont="1" applyFill="1" applyBorder="1"/>
    <xf numFmtId="164" fontId="2" fillId="0" borderId="16" xfId="145" applyNumberFormat="1" applyFont="1" applyBorder="1" applyAlignment="1">
      <alignment horizontal="right"/>
    </xf>
    <xf numFmtId="6" fontId="2" fillId="4" borderId="16" xfId="9" applyNumberFormat="1" applyFont="1" applyFill="1" applyBorder="1"/>
    <xf numFmtId="6" fontId="2" fillId="8" borderId="16" xfId="9" applyNumberFormat="1" applyFont="1" applyFill="1" applyBorder="1"/>
    <xf numFmtId="17" fontId="8" fillId="0" borderId="7" xfId="1" applyNumberFormat="1" applyFont="1" applyFill="1" applyBorder="1" applyAlignment="1">
      <alignment horizontal="center"/>
    </xf>
    <xf numFmtId="6" fontId="14" fillId="41" borderId="0" xfId="1" applyNumberFormat="1" applyFont="1" applyFill="1"/>
    <xf numFmtId="6" fontId="5" fillId="0" borderId="1" xfId="1" applyNumberFormat="1" applyFont="1" applyBorder="1" applyAlignment="1">
      <alignment horizontal="right"/>
    </xf>
    <xf numFmtId="6" fontId="2" fillId="0" borderId="0" xfId="1" applyNumberFormat="1" applyFont="1" applyAlignment="1">
      <alignment horizontal="center"/>
    </xf>
    <xf numFmtId="6" fontId="2" fillId="0" borderId="1" xfId="180" applyNumberFormat="1" applyFont="1" applyFill="1" applyBorder="1"/>
    <xf numFmtId="6" fontId="86" fillId="0" borderId="1" xfId="180" applyNumberFormat="1" applyFont="1" applyFill="1" applyBorder="1"/>
    <xf numFmtId="6" fontId="86" fillId="0" borderId="1" xfId="1" applyNumberFormat="1" applyFont="1" applyBorder="1"/>
    <xf numFmtId="6" fontId="2" fillId="0" borderId="1" xfId="1" applyNumberFormat="1" applyFill="1" applyBorder="1"/>
    <xf numFmtId="6" fontId="5" fillId="0" borderId="1" xfId="1" applyNumberFormat="1" applyFont="1" applyFill="1" applyBorder="1" applyAlignment="1">
      <alignment horizontal="right"/>
    </xf>
    <xf numFmtId="6" fontId="32" fillId="0" borderId="0" xfId="1" applyNumberFormat="1" applyFont="1" applyFill="1"/>
    <xf numFmtId="0" fontId="11" fillId="0" borderId="0" xfId="1" applyFont="1" applyFill="1" applyBorder="1" applyAlignment="1">
      <alignment horizontal="center"/>
    </xf>
    <xf numFmtId="0" fontId="10"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26" xfId="1" applyFont="1" applyFill="1" applyBorder="1" applyAlignment="1">
      <alignment horizontal="center" vertical="center" wrapText="1"/>
    </xf>
    <xf numFmtId="0" fontId="10" fillId="3" borderId="36" xfId="1" applyFont="1" applyFill="1" applyBorder="1" applyAlignment="1">
      <alignment horizontal="center" vertical="center"/>
    </xf>
    <xf numFmtId="0" fontId="10" fillId="3" borderId="25" xfId="1" applyFont="1" applyFill="1" applyBorder="1" applyAlignment="1">
      <alignment horizontal="center" vertical="center"/>
    </xf>
    <xf numFmtId="0" fontId="10" fillId="3" borderId="36"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xf>
    <xf numFmtId="0" fontId="18" fillId="0" borderId="0" xfId="1" applyFont="1" applyBorder="1" applyAlignment="1">
      <alignment horizontal="center"/>
    </xf>
    <xf numFmtId="0" fontId="10" fillId="5" borderId="6" xfId="1" applyFont="1" applyFill="1" applyBorder="1" applyAlignment="1">
      <alignment horizontal="center" vertical="center"/>
    </xf>
    <xf numFmtId="0" fontId="10" fillId="5" borderId="13" xfId="1" applyFont="1" applyFill="1" applyBorder="1" applyAlignment="1">
      <alignment horizontal="center" vertical="center"/>
    </xf>
    <xf numFmtId="0" fontId="10" fillId="3" borderId="6" xfId="1" applyFont="1" applyFill="1" applyBorder="1" applyAlignment="1">
      <alignment horizontal="center"/>
    </xf>
    <xf numFmtId="0" fontId="10" fillId="3" borderId="13" xfId="1" applyFont="1" applyFill="1" applyBorder="1" applyAlignment="1">
      <alignment horizontal="center"/>
    </xf>
    <xf numFmtId="0" fontId="10" fillId="3" borderId="5" xfId="1" applyFont="1" applyFill="1" applyBorder="1" applyAlignment="1">
      <alignment horizontal="center"/>
    </xf>
    <xf numFmtId="0" fontId="10" fillId="5" borderId="6" xfId="1" applyFont="1" applyFill="1" applyBorder="1" applyAlignment="1">
      <alignment horizontal="center"/>
    </xf>
    <xf numFmtId="0" fontId="10" fillId="5" borderId="13" xfId="1" applyFont="1" applyFill="1" applyBorder="1" applyAlignment="1">
      <alignment horizontal="center"/>
    </xf>
    <xf numFmtId="0" fontId="10" fillId="5" borderId="5" xfId="1" applyFont="1" applyFill="1" applyBorder="1" applyAlignment="1">
      <alignment horizontal="center"/>
    </xf>
    <xf numFmtId="0" fontId="10" fillId="3" borderId="9" xfId="1" applyFont="1" applyFill="1" applyBorder="1" applyAlignment="1">
      <alignment horizontal="center" wrapText="1"/>
    </xf>
    <xf numFmtId="0" fontId="10" fillId="3" borderId="10" xfId="1" applyFont="1" applyFill="1" applyBorder="1" applyAlignment="1">
      <alignment horizontal="center" wrapText="1"/>
    </xf>
    <xf numFmtId="0" fontId="10" fillId="3" borderId="8" xfId="1" applyFont="1" applyFill="1" applyBorder="1" applyAlignment="1">
      <alignment horizontal="center" wrapTex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6" fillId="3" borderId="6" xfId="1" applyFont="1" applyFill="1" applyBorder="1" applyAlignment="1">
      <alignment horizontal="center"/>
    </xf>
    <xf numFmtId="0" fontId="16" fillId="3" borderId="13" xfId="1" applyFont="1" applyFill="1" applyBorder="1" applyAlignment="1">
      <alignment horizontal="center"/>
    </xf>
    <xf numFmtId="0" fontId="16" fillId="3" borderId="5" xfId="1" applyFont="1" applyFill="1" applyBorder="1" applyAlignment="1">
      <alignment horizontal="center"/>
    </xf>
    <xf numFmtId="0" fontId="10" fillId="3" borderId="12" xfId="1" applyFont="1" applyFill="1" applyBorder="1" applyAlignment="1">
      <alignment horizontal="center" wrapText="1"/>
    </xf>
    <xf numFmtId="0" fontId="10" fillId="3" borderId="11" xfId="1" applyFont="1" applyFill="1" applyBorder="1" applyAlignment="1">
      <alignment horizontal="center" wrapText="1"/>
    </xf>
    <xf numFmtId="0" fontId="10" fillId="3" borderId="7" xfId="1" applyFont="1" applyFill="1" applyBorder="1" applyAlignment="1">
      <alignment horizontal="center" wrapText="1"/>
    </xf>
    <xf numFmtId="0" fontId="11" fillId="0" borderId="0" xfId="1" applyFont="1" applyBorder="1" applyAlignment="1">
      <alignment horizontal="center"/>
    </xf>
    <xf numFmtId="17" fontId="5" fillId="8" borderId="3" xfId="14" applyNumberFormat="1" applyFont="1" applyFill="1" applyBorder="1" applyAlignment="1" applyProtection="1">
      <alignment horizontal="center"/>
    </xf>
    <xf numFmtId="0" fontId="5" fillId="8" borderId="3" xfId="14" applyFont="1" applyFill="1" applyBorder="1" applyAlignment="1" applyProtection="1">
      <alignment horizontal="center"/>
    </xf>
    <xf numFmtId="1" fontId="5" fillId="8" borderId="3" xfId="14" applyNumberFormat="1" applyFont="1" applyFill="1" applyBorder="1" applyAlignment="1" applyProtection="1">
      <alignment horizontal="center"/>
    </xf>
    <xf numFmtId="0" fontId="5" fillId="0" borderId="35" xfId="9" applyFont="1" applyFill="1" applyBorder="1" applyAlignment="1">
      <alignment horizontal="center"/>
    </xf>
    <xf numFmtId="0" fontId="5" fillId="0" borderId="34" xfId="9" applyFont="1" applyFill="1" applyBorder="1" applyAlignment="1">
      <alignment horizontal="center"/>
    </xf>
    <xf numFmtId="0" fontId="5" fillId="0" borderId="33" xfId="9" applyFont="1" applyFill="1" applyBorder="1" applyAlignment="1">
      <alignment horizontal="center"/>
    </xf>
    <xf numFmtId="0" fontId="5" fillId="0" borderId="32" xfId="9" applyFont="1" applyFill="1" applyBorder="1" applyAlignment="1">
      <alignment horizontal="center"/>
    </xf>
    <xf numFmtId="0" fontId="5" fillId="0" borderId="31" xfId="9" applyFont="1" applyFill="1" applyBorder="1" applyAlignment="1">
      <alignment horizontal="center"/>
    </xf>
    <xf numFmtId="0" fontId="5" fillId="0" borderId="28" xfId="9" applyFont="1" applyFill="1" applyBorder="1" applyAlignment="1">
      <alignment horizontal="center"/>
    </xf>
    <xf numFmtId="6" fontId="2" fillId="0" borderId="22" xfId="9" applyNumberFormat="1" applyFont="1" applyFill="1" applyBorder="1" applyAlignment="1">
      <alignment horizontal="center"/>
    </xf>
    <xf numFmtId="6" fontId="2" fillId="8" borderId="29" xfId="9" applyNumberFormat="1" applyFont="1" applyFill="1" applyBorder="1" applyAlignment="1">
      <alignment horizontal="center"/>
    </xf>
    <xf numFmtId="0" fontId="5" fillId="0" borderId="35" xfId="9" applyFont="1" applyFill="1" applyBorder="1" applyAlignment="1">
      <alignment horizontal="center" wrapText="1"/>
    </xf>
    <xf numFmtId="0" fontId="5" fillId="0" borderId="34" xfId="9" applyFont="1" applyFill="1" applyBorder="1" applyAlignment="1">
      <alignment horizontal="center" wrapText="1"/>
    </xf>
    <xf numFmtId="0" fontId="5" fillId="8" borderId="32" xfId="9" applyFont="1" applyFill="1" applyBorder="1" applyAlignment="1">
      <alignment horizontal="center"/>
    </xf>
    <xf numFmtId="0" fontId="5" fillId="8" borderId="31" xfId="9" applyFont="1" applyFill="1" applyBorder="1" applyAlignment="1">
      <alignment horizontal="center"/>
    </xf>
    <xf numFmtId="0" fontId="5" fillId="8" borderId="28" xfId="9" applyFont="1" applyFill="1" applyBorder="1" applyAlignment="1">
      <alignment horizontal="center"/>
    </xf>
    <xf numFmtId="6" fontId="2" fillId="8" borderId="26" xfId="9" applyNumberFormat="1" applyFont="1" applyFill="1" applyBorder="1" applyAlignment="1">
      <alignment horizontal="center"/>
    </xf>
    <xf numFmtId="6" fontId="2" fillId="8" borderId="25" xfId="9" applyNumberFormat="1" applyFont="1" applyFill="1" applyBorder="1" applyAlignment="1">
      <alignment horizontal="center"/>
    </xf>
    <xf numFmtId="0" fontId="77" fillId="0" borderId="35" xfId="9" applyFont="1" applyFill="1" applyBorder="1" applyAlignment="1">
      <alignment horizontal="center"/>
    </xf>
    <xf numFmtId="0" fontId="77" fillId="0" borderId="34" xfId="9" applyFont="1" applyFill="1" applyBorder="1" applyAlignment="1">
      <alignment horizontal="center"/>
    </xf>
    <xf numFmtId="0" fontId="77" fillId="0" borderId="33" xfId="9" applyFont="1" applyFill="1" applyBorder="1" applyAlignment="1">
      <alignment horizontal="center"/>
    </xf>
    <xf numFmtId="0" fontId="5" fillId="8" borderId="35" xfId="9" applyFont="1" applyFill="1" applyBorder="1" applyAlignment="1">
      <alignment horizontal="center"/>
    </xf>
    <xf numFmtId="0" fontId="2" fillId="8" borderId="34" xfId="139" applyFont="1" applyFill="1" applyBorder="1" applyAlignment="1">
      <alignment horizontal="center"/>
    </xf>
    <xf numFmtId="0" fontId="2" fillId="8" borderId="33" xfId="139" applyFont="1" applyFill="1" applyBorder="1" applyAlignment="1">
      <alignment horizontal="center"/>
    </xf>
    <xf numFmtId="6" fontId="2" fillId="8" borderId="17" xfId="9" applyNumberFormat="1" applyFont="1" applyFill="1" applyBorder="1" applyAlignment="1">
      <alignment horizontal="center"/>
    </xf>
    <xf numFmtId="6" fontId="85" fillId="4" borderId="18" xfId="9" applyNumberFormat="1" applyFont="1" applyFill="1" applyBorder="1" applyAlignment="1">
      <alignment horizontal="center" vertical="center" wrapText="1"/>
    </xf>
    <xf numFmtId="6" fontId="85" fillId="4" borderId="14" xfId="9" applyNumberFormat="1" applyFont="1" applyFill="1" applyBorder="1" applyAlignment="1">
      <alignment horizontal="center" vertical="center" wrapText="1"/>
    </xf>
    <xf numFmtId="6" fontId="85" fillId="4" borderId="12" xfId="9" applyNumberFormat="1" applyFont="1" applyFill="1" applyBorder="1" applyAlignment="1">
      <alignment horizontal="center" vertical="center" wrapText="1"/>
    </xf>
    <xf numFmtId="6" fontId="85" fillId="4" borderId="7" xfId="9" applyNumberFormat="1" applyFont="1" applyFill="1" applyBorder="1" applyAlignment="1">
      <alignment horizontal="center" vertical="center" wrapText="1"/>
    </xf>
    <xf numFmtId="6" fontId="85" fillId="4" borderId="0" xfId="9" applyNumberFormat="1" applyFont="1" applyFill="1" applyBorder="1" applyAlignment="1">
      <alignment horizontal="center" vertical="center" wrapText="1"/>
    </xf>
    <xf numFmtId="6" fontId="85" fillId="4" borderId="11" xfId="9" applyNumberFormat="1" applyFont="1" applyFill="1" applyBorder="1" applyAlignment="1">
      <alignment horizontal="center" vertical="center" wrapText="1"/>
    </xf>
    <xf numFmtId="6" fontId="85" fillId="4" borderId="90" xfId="9" applyNumberFormat="1" applyFont="1" applyFill="1" applyBorder="1" applyAlignment="1">
      <alignment horizontal="center" vertical="center" wrapText="1"/>
    </xf>
    <xf numFmtId="6" fontId="85" fillId="4" borderId="91" xfId="9" applyNumberFormat="1" applyFont="1" applyFill="1" applyBorder="1" applyAlignment="1">
      <alignment horizontal="center" vertical="center" wrapText="1"/>
    </xf>
    <xf numFmtId="6" fontId="85" fillId="4" borderId="92" xfId="9" applyNumberFormat="1" applyFont="1" applyFill="1" applyBorder="1" applyAlignment="1">
      <alignment horizontal="center" vertical="center" wrapText="1"/>
    </xf>
    <xf numFmtId="0" fontId="84" fillId="0" borderId="0" xfId="139" applyFont="1" applyFill="1" applyAlignment="1">
      <alignment horizontal="right" wrapText="1"/>
    </xf>
    <xf numFmtId="6" fontId="26" fillId="0" borderId="29" xfId="9" applyNumberFormat="1" applyFont="1" applyFill="1" applyBorder="1" applyAlignment="1">
      <alignment horizontal="center"/>
    </xf>
    <xf numFmtId="0" fontId="18" fillId="0" borderId="3" xfId="14" applyFont="1" applyFill="1" applyBorder="1" applyAlignment="1" applyProtection="1">
      <alignment horizontal="center"/>
    </xf>
    <xf numFmtId="17" fontId="18" fillId="0" borderId="3" xfId="14" applyNumberFormat="1" applyFont="1" applyFill="1" applyBorder="1" applyAlignment="1" applyProtection="1">
      <alignment horizontal="center"/>
    </xf>
    <xf numFmtId="1" fontId="18" fillId="0" borderId="3" xfId="14" applyNumberFormat="1" applyFont="1" applyFill="1" applyBorder="1" applyAlignment="1" applyProtection="1">
      <alignment horizontal="center"/>
    </xf>
    <xf numFmtId="0" fontId="18" fillId="0" borderId="35" xfId="9" applyFont="1" applyFill="1" applyBorder="1" applyAlignment="1">
      <alignment horizontal="center"/>
    </xf>
    <xf numFmtId="0" fontId="18" fillId="0" borderId="34" xfId="9" applyFont="1" applyFill="1" applyBorder="1" applyAlignment="1">
      <alignment horizontal="center"/>
    </xf>
    <xf numFmtId="0" fontId="18" fillId="0" borderId="33" xfId="9" applyFont="1" applyFill="1" applyBorder="1" applyAlignment="1">
      <alignment horizontal="center"/>
    </xf>
    <xf numFmtId="0" fontId="18" fillId="0" borderId="32" xfId="9" applyFont="1" applyFill="1" applyBorder="1" applyAlignment="1">
      <alignment horizontal="center"/>
    </xf>
    <xf numFmtId="0" fontId="18" fillId="0" borderId="31" xfId="9" applyFont="1" applyFill="1" applyBorder="1" applyAlignment="1">
      <alignment horizontal="center"/>
    </xf>
    <xf numFmtId="0" fontId="18" fillId="0" borderId="28" xfId="9" applyFont="1" applyFill="1" applyBorder="1" applyAlignment="1">
      <alignment horizontal="center"/>
    </xf>
    <xf numFmtId="6" fontId="26" fillId="0" borderId="22" xfId="9" applyNumberFormat="1" applyFont="1" applyFill="1" applyBorder="1" applyAlignment="1">
      <alignment horizontal="center"/>
    </xf>
    <xf numFmtId="0" fontId="18" fillId="0" borderId="35" xfId="9" applyFont="1" applyFill="1" applyBorder="1" applyAlignment="1">
      <alignment horizontal="center" wrapText="1"/>
    </xf>
    <xf numFmtId="0" fontId="18" fillId="0" borderId="34" xfId="9" applyFont="1" applyFill="1" applyBorder="1" applyAlignment="1">
      <alignment horizontal="center" wrapText="1"/>
    </xf>
    <xf numFmtId="0" fontId="18" fillId="0" borderId="33" xfId="9" applyFont="1" applyFill="1" applyBorder="1" applyAlignment="1">
      <alignment horizontal="center" wrapText="1"/>
    </xf>
    <xf numFmtId="0" fontId="11" fillId="0" borderId="0" xfId="1" applyFont="1" applyAlignment="1">
      <alignment horizontal="center"/>
    </xf>
    <xf numFmtId="38" fontId="26" fillId="0" borderId="90" xfId="1" applyNumberFormat="1" applyFont="1" applyBorder="1" applyAlignment="1" applyProtection="1">
      <alignment horizontal="center"/>
      <protection locked="0"/>
    </xf>
    <xf numFmtId="38" fontId="26" fillId="0" borderId="92" xfId="1" applyNumberFormat="1" applyFont="1" applyBorder="1" applyAlignment="1" applyProtection="1">
      <alignment horizontal="center"/>
      <protection locked="0"/>
    </xf>
    <xf numFmtId="38" fontId="26" fillId="0" borderId="90" xfId="146" applyNumberFormat="1" applyFont="1" applyBorder="1" applyAlignment="1" applyProtection="1">
      <alignment horizontal="center"/>
      <protection locked="0"/>
    </xf>
    <xf numFmtId="38" fontId="26" fillId="0" borderId="92" xfId="146" applyNumberFormat="1" applyFont="1" applyBorder="1" applyAlignment="1" applyProtection="1">
      <alignment horizontal="center"/>
      <protection locked="0"/>
    </xf>
    <xf numFmtId="0" fontId="26" fillId="37" borderId="93" xfId="146" applyFont="1" applyFill="1" applyBorder="1" applyAlignment="1">
      <alignment horizontal="center"/>
    </xf>
    <xf numFmtId="38" fontId="26" fillId="7" borderId="17" xfId="9" applyNumberFormat="1" applyFont="1" applyFill="1" applyBorder="1" applyAlignment="1">
      <alignment horizontal="center"/>
    </xf>
    <xf numFmtId="0" fontId="11" fillId="8" borderId="91" xfId="72" applyFont="1" applyFill="1" applyBorder="1" applyAlignment="1" applyProtection="1">
      <alignment horizontal="center"/>
      <protection locked="0"/>
    </xf>
    <xf numFmtId="0" fontId="5" fillId="8" borderId="91" xfId="72" applyFont="1" applyFill="1" applyBorder="1" applyAlignment="1" applyProtection="1">
      <alignment horizontal="center"/>
      <protection locked="0"/>
    </xf>
    <xf numFmtId="17" fontId="11" fillId="8" borderId="91" xfId="72" applyNumberFormat="1" applyFont="1" applyFill="1" applyBorder="1" applyAlignment="1" applyProtection="1">
      <alignment horizontal="center"/>
      <protection locked="0"/>
    </xf>
    <xf numFmtId="1" fontId="18" fillId="7" borderId="91" xfId="14" applyNumberFormat="1" applyFont="1" applyFill="1" applyBorder="1" applyAlignment="1">
      <alignment horizontal="center"/>
    </xf>
    <xf numFmtId="0" fontId="18" fillId="4" borderId="35" xfId="9" applyFont="1" applyFill="1" applyBorder="1" applyAlignment="1">
      <alignment horizontal="center"/>
    </xf>
    <xf numFmtId="0" fontId="18" fillId="4" borderId="34" xfId="9" applyFont="1" applyFill="1" applyBorder="1" applyAlignment="1">
      <alignment horizontal="center"/>
    </xf>
    <xf numFmtId="0" fontId="18" fillId="4" borderId="33" xfId="9" applyFont="1" applyFill="1" applyBorder="1" applyAlignment="1">
      <alignment horizontal="center"/>
    </xf>
    <xf numFmtId="0" fontId="18" fillId="4" borderId="32" xfId="9" applyFont="1" applyFill="1" applyBorder="1" applyAlignment="1">
      <alignment horizontal="center"/>
    </xf>
    <xf numFmtId="0" fontId="18" fillId="4" borderId="31" xfId="9" applyFont="1" applyFill="1" applyBorder="1" applyAlignment="1">
      <alignment horizontal="center"/>
    </xf>
    <xf numFmtId="0" fontId="18" fillId="4" borderId="28" xfId="9" applyFont="1" applyFill="1" applyBorder="1" applyAlignment="1">
      <alignment horizontal="center"/>
    </xf>
    <xf numFmtId="0" fontId="55" fillId="33" borderId="6" xfId="16" applyFont="1" applyFill="1" applyBorder="1" applyAlignment="1">
      <alignment horizontal="center" vertical="center" wrapText="1"/>
    </xf>
    <xf numFmtId="0" fontId="55" fillId="33" borderId="5" xfId="16" applyFont="1" applyFill="1" applyBorder="1" applyAlignment="1">
      <alignment horizontal="center" vertical="center" wrapText="1"/>
    </xf>
    <xf numFmtId="0" fontId="55" fillId="34" borderId="6" xfId="16" applyFont="1" applyFill="1" applyBorder="1" applyAlignment="1">
      <alignment horizontal="center" vertical="center" wrapText="1"/>
    </xf>
    <xf numFmtId="0" fontId="55" fillId="34" borderId="5" xfId="16" applyFont="1" applyFill="1" applyBorder="1" applyAlignment="1">
      <alignment horizontal="center" vertical="center"/>
    </xf>
    <xf numFmtId="0" fontId="53" fillId="33" borderId="6" xfId="0" applyFont="1" applyFill="1" applyBorder="1" applyAlignment="1">
      <alignment horizontal="center"/>
    </xf>
    <xf numFmtId="0" fontId="53" fillId="33" borderId="5" xfId="0" applyFont="1" applyFill="1" applyBorder="1" applyAlignment="1">
      <alignment horizontal="center"/>
    </xf>
    <xf numFmtId="10" fontId="59" fillId="0" borderId="6" xfId="0" applyNumberFormat="1" applyFont="1" applyBorder="1" applyAlignment="1">
      <alignment horizontal="center"/>
    </xf>
    <xf numFmtId="0" fontId="59" fillId="0" borderId="5" xfId="0" applyFont="1" applyBorder="1" applyAlignment="1">
      <alignment horizontal="center"/>
    </xf>
    <xf numFmtId="0" fontId="71" fillId="34" borderId="6" xfId="16" applyFont="1" applyFill="1" applyBorder="1" applyAlignment="1">
      <alignment horizontal="center" vertical="center" wrapText="1"/>
    </xf>
    <xf numFmtId="0" fontId="71" fillId="34" borderId="5" xfId="16" applyFont="1" applyFill="1" applyBorder="1" applyAlignment="1">
      <alignment horizontal="center" vertical="center"/>
    </xf>
  </cellXfs>
  <cellStyles count="208">
    <cellStyle name="20% - Accent1 2" xfId="103" xr:uid="{00000000-0005-0000-0000-000000000000}"/>
    <cellStyle name="20% - Accent1 3" xfId="25" xr:uid="{00000000-0005-0000-0000-000001000000}"/>
    <cellStyle name="20% - Accent2 2" xfId="102" xr:uid="{00000000-0005-0000-0000-000002000000}"/>
    <cellStyle name="20% - Accent2 3" xfId="26" xr:uid="{00000000-0005-0000-0000-000003000000}"/>
    <cellStyle name="20% - Accent3 2" xfId="101" xr:uid="{00000000-0005-0000-0000-000004000000}"/>
    <cellStyle name="20% - Accent3 3" xfId="27" xr:uid="{00000000-0005-0000-0000-000005000000}"/>
    <cellStyle name="20% - Accent4 2" xfId="100" xr:uid="{00000000-0005-0000-0000-000006000000}"/>
    <cellStyle name="20% - Accent4 3" xfId="28" xr:uid="{00000000-0005-0000-0000-000007000000}"/>
    <cellStyle name="20% - Accent5 2" xfId="99" xr:uid="{00000000-0005-0000-0000-000008000000}"/>
    <cellStyle name="20% - Accent5 3" xfId="29" xr:uid="{00000000-0005-0000-0000-000009000000}"/>
    <cellStyle name="20% - Accent6 2" xfId="98" xr:uid="{00000000-0005-0000-0000-00000A000000}"/>
    <cellStyle name="20% - Accent6 3" xfId="30" xr:uid="{00000000-0005-0000-0000-00000B000000}"/>
    <cellStyle name="40% - Accent1 2" xfId="97" xr:uid="{00000000-0005-0000-0000-00000C000000}"/>
    <cellStyle name="40% - Accent1 3" xfId="31" xr:uid="{00000000-0005-0000-0000-00000D000000}"/>
    <cellStyle name="40% - Accent2 2" xfId="96" xr:uid="{00000000-0005-0000-0000-00000E000000}"/>
    <cellStyle name="40% - Accent2 3" xfId="32" xr:uid="{00000000-0005-0000-0000-00000F000000}"/>
    <cellStyle name="40% - Accent3 2" xfId="95" xr:uid="{00000000-0005-0000-0000-000010000000}"/>
    <cellStyle name="40% - Accent3 3" xfId="33" xr:uid="{00000000-0005-0000-0000-000011000000}"/>
    <cellStyle name="40% - Accent4 2" xfId="94" xr:uid="{00000000-0005-0000-0000-000012000000}"/>
    <cellStyle name="40% - Accent4 3" xfId="34" xr:uid="{00000000-0005-0000-0000-000013000000}"/>
    <cellStyle name="40% - Accent5 2" xfId="93" xr:uid="{00000000-0005-0000-0000-000014000000}"/>
    <cellStyle name="40% - Accent5 3" xfId="35" xr:uid="{00000000-0005-0000-0000-000015000000}"/>
    <cellStyle name="40% - Accent6 2" xfId="92" xr:uid="{00000000-0005-0000-0000-000016000000}"/>
    <cellStyle name="40% - Accent6 3" xfId="36" xr:uid="{00000000-0005-0000-0000-000017000000}"/>
    <cellStyle name="60% - Accent1 2" xfId="91" xr:uid="{00000000-0005-0000-0000-000018000000}"/>
    <cellStyle name="60% - Accent1 3" xfId="37" xr:uid="{00000000-0005-0000-0000-000019000000}"/>
    <cellStyle name="60% - Accent2 2" xfId="90" xr:uid="{00000000-0005-0000-0000-00001A000000}"/>
    <cellStyle name="60% - Accent2 3" xfId="38" xr:uid="{00000000-0005-0000-0000-00001B000000}"/>
    <cellStyle name="60% - Accent3 2" xfId="89" xr:uid="{00000000-0005-0000-0000-00001C000000}"/>
    <cellStyle name="60% - Accent3 3" xfId="39" xr:uid="{00000000-0005-0000-0000-00001D000000}"/>
    <cellStyle name="60% - Accent4 2" xfId="88" xr:uid="{00000000-0005-0000-0000-00001E000000}"/>
    <cellStyle name="60% - Accent4 3" xfId="40" xr:uid="{00000000-0005-0000-0000-00001F000000}"/>
    <cellStyle name="60% - Accent5 2" xfId="87" xr:uid="{00000000-0005-0000-0000-000020000000}"/>
    <cellStyle name="60% - Accent5 3" xfId="41" xr:uid="{00000000-0005-0000-0000-000021000000}"/>
    <cellStyle name="60% - Accent6 2" xfId="86" xr:uid="{00000000-0005-0000-0000-000022000000}"/>
    <cellStyle name="60% - Accent6 3" xfId="42" xr:uid="{00000000-0005-0000-0000-000023000000}"/>
    <cellStyle name="Accent1 2" xfId="85" xr:uid="{00000000-0005-0000-0000-000024000000}"/>
    <cellStyle name="Accent1 3" xfId="43" xr:uid="{00000000-0005-0000-0000-000025000000}"/>
    <cellStyle name="Accent2 2" xfId="84" xr:uid="{00000000-0005-0000-0000-000026000000}"/>
    <cellStyle name="Accent2 3" xfId="44" xr:uid="{00000000-0005-0000-0000-000027000000}"/>
    <cellStyle name="Accent3 2" xfId="83" xr:uid="{00000000-0005-0000-0000-000028000000}"/>
    <cellStyle name="Accent3 3" xfId="45" xr:uid="{00000000-0005-0000-0000-000029000000}"/>
    <cellStyle name="Accent4 2" xfId="82" xr:uid="{00000000-0005-0000-0000-00002A000000}"/>
    <cellStyle name="Accent4 3" xfId="46" xr:uid="{00000000-0005-0000-0000-00002B000000}"/>
    <cellStyle name="Accent5 2" xfId="81" xr:uid="{00000000-0005-0000-0000-00002C000000}"/>
    <cellStyle name="Accent5 3" xfId="47" xr:uid="{00000000-0005-0000-0000-00002D000000}"/>
    <cellStyle name="Accent6 2" xfId="80" xr:uid="{00000000-0005-0000-0000-00002E000000}"/>
    <cellStyle name="Accent6 3" xfId="48" xr:uid="{00000000-0005-0000-0000-00002F000000}"/>
    <cellStyle name="Bad 2" xfId="79" xr:uid="{00000000-0005-0000-0000-000030000000}"/>
    <cellStyle name="Bad 3" xfId="49" xr:uid="{00000000-0005-0000-0000-000031000000}"/>
    <cellStyle name="Calculation 2" xfId="116" xr:uid="{00000000-0005-0000-0000-000032000000}"/>
    <cellStyle name="Calculation 2 2" xfId="190" xr:uid="{D8E6B8E0-8E01-4E55-A467-4C70A917450B}"/>
    <cellStyle name="Calculation 2 3" xfId="202" xr:uid="{DA195D62-4504-4DFE-B214-A6E688E2EB8D}"/>
    <cellStyle name="Calculation 3" xfId="50" xr:uid="{00000000-0005-0000-0000-000033000000}"/>
    <cellStyle name="Calculation 3 2" xfId="183" xr:uid="{E612F2C0-B22A-49DE-A1E8-FD2C8F61DBAC}"/>
    <cellStyle name="Calculation 3 3" xfId="197" xr:uid="{9993C0E1-CA95-4970-8DA6-218A1DCF851C}"/>
    <cellStyle name="Check Cell 2" xfId="117" xr:uid="{00000000-0005-0000-0000-000034000000}"/>
    <cellStyle name="Check Cell 3" xfId="51" xr:uid="{00000000-0005-0000-0000-000035000000}"/>
    <cellStyle name="Comma 10" xfId="13" xr:uid="{00000000-0005-0000-0000-000036000000}"/>
    <cellStyle name="Comma 10 2" xfId="177" xr:uid="{00000000-0005-0000-0000-000037000000}"/>
    <cellStyle name="Comma 2" xfId="68" xr:uid="{00000000-0005-0000-0000-000038000000}"/>
    <cellStyle name="Comma 2 2" xfId="74" xr:uid="{00000000-0005-0000-0000-000039000000}"/>
    <cellStyle name="Comma 2 2 2" xfId="167" xr:uid="{00000000-0005-0000-0000-00003A000000}"/>
    <cellStyle name="Comma 2 2 3" xfId="171" xr:uid="{00000000-0005-0000-0000-00003B000000}"/>
    <cellStyle name="Comma 2 2 4" xfId="163" xr:uid="{00000000-0005-0000-0000-00003C000000}"/>
    <cellStyle name="Comma 2 2 5" xfId="159" xr:uid="{00000000-0005-0000-0000-00003D000000}"/>
    <cellStyle name="Comma 2 2 6" xfId="155" xr:uid="{00000000-0005-0000-0000-00003E000000}"/>
    <cellStyle name="Comma 2 3" xfId="166" xr:uid="{00000000-0005-0000-0000-00003F000000}"/>
    <cellStyle name="Comma 2 4" xfId="170" xr:uid="{00000000-0005-0000-0000-000040000000}"/>
    <cellStyle name="Comma 2 5" xfId="162" xr:uid="{00000000-0005-0000-0000-000041000000}"/>
    <cellStyle name="Comma 2 6" xfId="158" xr:uid="{00000000-0005-0000-0000-000042000000}"/>
    <cellStyle name="Comma 2 7" xfId="154" xr:uid="{00000000-0005-0000-0000-000043000000}"/>
    <cellStyle name="Comma 3" xfId="113" xr:uid="{00000000-0005-0000-0000-000044000000}"/>
    <cellStyle name="Comma 3 2" xfId="147" xr:uid="{00000000-0005-0000-0000-000045000000}"/>
    <cellStyle name="Comma 3 2 2" xfId="151" xr:uid="{00000000-0005-0000-0000-000046000000}"/>
    <cellStyle name="Comma 4" xfId="24" xr:uid="{00000000-0005-0000-0000-000047000000}"/>
    <cellStyle name="Comma0" xfId="108" xr:uid="{00000000-0005-0000-0000-000048000000}"/>
    <cellStyle name="Comma0 2" xfId="104" xr:uid="{00000000-0005-0000-0000-000049000000}"/>
    <cellStyle name="Currency" xfId="145" builtinId="4"/>
    <cellStyle name="Currency 10" xfId="4" xr:uid="{00000000-0005-0000-0000-00004B000000}"/>
    <cellStyle name="Currency 10 2" xfId="181" xr:uid="{E1F19F02-7115-42DB-88BC-E257757D8375}"/>
    <cellStyle name="Currency 2" xfId="78" xr:uid="{00000000-0005-0000-0000-00004C000000}"/>
    <cellStyle name="Currency 2 2" xfId="168" xr:uid="{00000000-0005-0000-0000-00004D000000}"/>
    <cellStyle name="Currency 2 3" xfId="172" xr:uid="{00000000-0005-0000-0000-00004E000000}"/>
    <cellStyle name="Currency 2 4" xfId="164" xr:uid="{00000000-0005-0000-0000-00004F000000}"/>
    <cellStyle name="Currency 2 5" xfId="160" xr:uid="{00000000-0005-0000-0000-000050000000}"/>
    <cellStyle name="Currency 2 6" xfId="156" xr:uid="{00000000-0005-0000-0000-000051000000}"/>
    <cellStyle name="Currency 3" xfId="77" xr:uid="{00000000-0005-0000-0000-000052000000}"/>
    <cellStyle name="Currency0" xfId="115" xr:uid="{00000000-0005-0000-0000-000053000000}"/>
    <cellStyle name="Currency0 2" xfId="109" xr:uid="{00000000-0005-0000-0000-000054000000}"/>
    <cellStyle name="Date" xfId="106" xr:uid="{00000000-0005-0000-0000-000055000000}"/>
    <cellStyle name="Date 2" xfId="111" xr:uid="{00000000-0005-0000-0000-000056000000}"/>
    <cellStyle name="Explanatory Text 2" xfId="118" xr:uid="{00000000-0005-0000-0000-000057000000}"/>
    <cellStyle name="Explanatory Text 3" xfId="52" xr:uid="{00000000-0005-0000-0000-000058000000}"/>
    <cellStyle name="Fixed" xfId="105" xr:uid="{00000000-0005-0000-0000-000059000000}"/>
    <cellStyle name="Fixed 2" xfId="110" xr:uid="{00000000-0005-0000-0000-00005A000000}"/>
    <cellStyle name="Good 2" xfId="119" xr:uid="{00000000-0005-0000-0000-00005B000000}"/>
    <cellStyle name="Good 3" xfId="53" xr:uid="{00000000-0005-0000-0000-00005C000000}"/>
    <cellStyle name="Heading 1 2" xfId="120" xr:uid="{00000000-0005-0000-0000-00005D000000}"/>
    <cellStyle name="Heading 1 3" xfId="54" xr:uid="{00000000-0005-0000-0000-00005E000000}"/>
    <cellStyle name="Heading 2 2" xfId="121" xr:uid="{00000000-0005-0000-0000-00005F000000}"/>
    <cellStyle name="Heading 2 3" xfId="55" xr:uid="{00000000-0005-0000-0000-000060000000}"/>
    <cellStyle name="Heading 3 2" xfId="122" xr:uid="{00000000-0005-0000-0000-000061000000}"/>
    <cellStyle name="Heading 3 3" xfId="56" xr:uid="{00000000-0005-0000-0000-000062000000}"/>
    <cellStyle name="Heading 4 2" xfId="123" xr:uid="{00000000-0005-0000-0000-000063000000}"/>
    <cellStyle name="Heading 4 3" xfId="57" xr:uid="{00000000-0005-0000-0000-000064000000}"/>
    <cellStyle name="Hyperlink" xfId="148" builtinId="8" customBuiltin="1"/>
    <cellStyle name="Hyperlink 2" xfId="107" xr:uid="{00000000-0005-0000-0000-000066000000}"/>
    <cellStyle name="Hyperlink 3" xfId="149" xr:uid="{00000000-0005-0000-0000-000067000000}"/>
    <cellStyle name="Hyperlink 4" xfId="153" xr:uid="{00000000-0005-0000-0000-000068000000}"/>
    <cellStyle name="Input 2" xfId="124" xr:uid="{00000000-0005-0000-0000-000069000000}"/>
    <cellStyle name="Input 2 2" xfId="191" xr:uid="{EB3335CE-C4AC-4510-A4D0-8F6CBD7F7F3A}"/>
    <cellStyle name="Input 2 3" xfId="203" xr:uid="{B95EA777-6A40-4CA7-8941-7AF42E5A2064}"/>
    <cellStyle name="Input 3" xfId="58" xr:uid="{00000000-0005-0000-0000-00006A000000}"/>
    <cellStyle name="Input 3 2" xfId="184" xr:uid="{4AB24A8E-1281-483C-AE06-502BFDCA4E8A}"/>
    <cellStyle name="Input 3 3" xfId="198" xr:uid="{1D2BAECE-820F-4F0C-A3EA-1BF832C18FDC}"/>
    <cellStyle name="Linked Cell 2" xfId="125" xr:uid="{00000000-0005-0000-0000-00006B000000}"/>
    <cellStyle name="Linked Cell 3" xfId="59" xr:uid="{00000000-0005-0000-0000-00006C000000}"/>
    <cellStyle name="Neutral 2" xfId="126" xr:uid="{00000000-0005-0000-0000-00006D000000}"/>
    <cellStyle name="Neutral 3" xfId="60" xr:uid="{00000000-0005-0000-0000-00006E000000}"/>
    <cellStyle name="Normal" xfId="0" builtinId="0"/>
    <cellStyle name="Normal - Style1 2" xfId="17" xr:uid="{00000000-0005-0000-0000-000070000000}"/>
    <cellStyle name="Normal - Style1 2 2" xfId="176" xr:uid="{00000000-0005-0000-0000-000071000000}"/>
    <cellStyle name="Normal 10" xfId="139" xr:uid="{00000000-0005-0000-0000-000072000000}"/>
    <cellStyle name="Normal 11" xfId="141" xr:uid="{00000000-0005-0000-0000-000073000000}"/>
    <cellStyle name="Normal 1121 2" xfId="21" xr:uid="{00000000-0005-0000-0000-000074000000}"/>
    <cellStyle name="Normal 1127" xfId="15" xr:uid="{00000000-0005-0000-0000-000075000000}"/>
    <cellStyle name="Normal 12" xfId="142" xr:uid="{00000000-0005-0000-0000-000076000000}"/>
    <cellStyle name="Normal 13" xfId="140" xr:uid="{00000000-0005-0000-0000-000077000000}"/>
    <cellStyle name="Normal 14" xfId="143" xr:uid="{00000000-0005-0000-0000-000078000000}"/>
    <cellStyle name="Normal 15" xfId="144" xr:uid="{00000000-0005-0000-0000-000079000000}"/>
    <cellStyle name="Normal 16" xfId="146" xr:uid="{00000000-0005-0000-0000-00007A000000}"/>
    <cellStyle name="Normal 16 2" xfId="175" xr:uid="{00000000-0005-0000-0000-00007B000000}"/>
    <cellStyle name="Normal 163 3 2" xfId="16" xr:uid="{00000000-0005-0000-0000-00007C000000}"/>
    <cellStyle name="Normal 17" xfId="182" xr:uid="{AF12CA9F-94FD-43DF-A495-F4ECD7FCD6CF}"/>
    <cellStyle name="Normal 18" xfId="188" xr:uid="{6EAAA2E2-7E3E-4F70-944C-C964F838D28E}"/>
    <cellStyle name="Normal 180" xfId="10" xr:uid="{00000000-0005-0000-0000-00007D000000}"/>
    <cellStyle name="Normal 19" xfId="189" xr:uid="{45485382-C425-4DAA-A0FC-AFA11732E957}"/>
    <cellStyle name="Normal 192" xfId="8" xr:uid="{00000000-0005-0000-0000-00007E000000}"/>
    <cellStyle name="Normal 192 2" xfId="174" xr:uid="{00000000-0005-0000-0000-00007F000000}"/>
    <cellStyle name="Normal 2" xfId="1" xr:uid="{00000000-0005-0000-0000-000080000000}"/>
    <cellStyle name="Normal 2 10" xfId="12" xr:uid="{00000000-0005-0000-0000-000081000000}"/>
    <cellStyle name="Normal 2 2" xfId="3" xr:uid="{00000000-0005-0000-0000-000082000000}"/>
    <cellStyle name="Normal 2 2 2" xfId="72" xr:uid="{00000000-0005-0000-0000-000083000000}"/>
    <cellStyle name="Normal 2 3" xfId="112" xr:uid="{00000000-0005-0000-0000-000084000000}"/>
    <cellStyle name="Normal 2 4" xfId="114" xr:uid="{00000000-0005-0000-0000-000085000000}"/>
    <cellStyle name="Normal 20" xfId="196" xr:uid="{872EF798-EDF9-4FD0-8329-BF164CFCEF5B}"/>
    <cellStyle name="Normal 200" xfId="18" xr:uid="{00000000-0005-0000-0000-000086000000}"/>
    <cellStyle name="Normal 21" xfId="207" xr:uid="{969CAE10-66DC-46BD-B935-A803E0F55758}"/>
    <cellStyle name="Normal 3" xfId="69" xr:uid="{00000000-0005-0000-0000-000087000000}"/>
    <cellStyle name="Normal 4" xfId="66" xr:uid="{00000000-0005-0000-0000-000088000000}"/>
    <cellStyle name="Normal 5" xfId="133" xr:uid="{00000000-0005-0000-0000-000089000000}"/>
    <cellStyle name="Normal 5 2" xfId="135" xr:uid="{00000000-0005-0000-0000-00008A000000}"/>
    <cellStyle name="Normal 58" xfId="136" xr:uid="{00000000-0005-0000-0000-00008B000000}"/>
    <cellStyle name="Normal 6" xfId="23" xr:uid="{00000000-0005-0000-0000-00008C000000}"/>
    <cellStyle name="Normal 7" xfId="71" xr:uid="{00000000-0005-0000-0000-00008D000000}"/>
    <cellStyle name="Normal 701" xfId="11" xr:uid="{00000000-0005-0000-0000-00008E000000}"/>
    <cellStyle name="Normal 8" xfId="137" xr:uid="{00000000-0005-0000-0000-00008F000000}"/>
    <cellStyle name="Normal 9" xfId="138" xr:uid="{00000000-0005-0000-0000-000090000000}"/>
    <cellStyle name="Normal_C-IV Implementation Claim Form-Revised 2" xfId="14" xr:uid="{00000000-0005-0000-0000-000091000000}"/>
    <cellStyle name="Normal_Copy of SFY 07-08 M&amp;O CAP Updated w06-07 Persons Counts v3" xfId="9" xr:uid="{00000000-0005-0000-0000-000092000000}"/>
    <cellStyle name="Normal_Costall5-98" xfId="2" xr:uid="{00000000-0005-0000-0000-000093000000}"/>
    <cellStyle name="Normal_Costall5-98 2" xfId="178" xr:uid="{00000000-0005-0000-0000-000094000000}"/>
    <cellStyle name="Note 2" xfId="127" xr:uid="{00000000-0005-0000-0000-000095000000}"/>
    <cellStyle name="Note 2 2" xfId="192" xr:uid="{5612F924-6BBC-471B-9EA0-B98BB15335D1}"/>
    <cellStyle name="Note 2 3" xfId="204" xr:uid="{3D8ED929-D400-486A-9D23-089C9958E0EF}"/>
    <cellStyle name="Note 3" xfId="61" xr:uid="{00000000-0005-0000-0000-000096000000}"/>
    <cellStyle name="Note 3 2" xfId="185" xr:uid="{7FB5DAB7-9676-4D00-82DF-36DCC3562D3F}"/>
    <cellStyle name="Note 3 3" xfId="199" xr:uid="{47B0B328-2E45-4776-8B39-7E428FA7FCF2}"/>
    <cellStyle name="Output 2" xfId="128" xr:uid="{00000000-0005-0000-0000-000097000000}"/>
    <cellStyle name="Output 2 2" xfId="193" xr:uid="{B063219C-8836-4F46-A63F-4208F2C2C5F3}"/>
    <cellStyle name="Output 2 3" xfId="205" xr:uid="{F5B4669F-7871-4109-AAAD-35F75B04E2B7}"/>
    <cellStyle name="Output 3" xfId="62" xr:uid="{00000000-0005-0000-0000-000098000000}"/>
    <cellStyle name="Output 3 2" xfId="186" xr:uid="{EEE6E8E2-2202-4280-AF19-8CB3C03118C8}"/>
    <cellStyle name="Output 3 3" xfId="200" xr:uid="{FFBD79AE-8F2E-450B-AEEE-65C4CDC2E364}"/>
    <cellStyle name="Percent" xfId="195" builtinId="5"/>
    <cellStyle name="Percent 10" xfId="179" xr:uid="{00000000-0005-0000-0000-000099000000}"/>
    <cellStyle name="Percent 2" xfId="5" xr:uid="{00000000-0005-0000-0000-00009A000000}"/>
    <cellStyle name="Percent 2 12" xfId="7" xr:uid="{00000000-0005-0000-0000-00009B000000}"/>
    <cellStyle name="Percent 2 12 2" xfId="180" xr:uid="{AC78CD49-7453-4A2D-9609-9A3AE0AD8DC9}"/>
    <cellStyle name="Percent 2 2" xfId="75" xr:uid="{00000000-0005-0000-0000-00009C000000}"/>
    <cellStyle name="Percent 2 2 2" xfId="152" xr:uid="{00000000-0005-0000-0000-00009D000000}"/>
    <cellStyle name="Percent 2 3" xfId="70" xr:uid="{00000000-0005-0000-0000-00009E000000}"/>
    <cellStyle name="Percent 3" xfId="22" xr:uid="{00000000-0005-0000-0000-00009F000000}"/>
    <cellStyle name="Percent 3 2" xfId="169" xr:uid="{00000000-0005-0000-0000-0000A0000000}"/>
    <cellStyle name="Percent 3 3" xfId="173" xr:uid="{00000000-0005-0000-0000-0000A1000000}"/>
    <cellStyle name="Percent 3 4" xfId="165" xr:uid="{00000000-0005-0000-0000-0000A2000000}"/>
    <cellStyle name="Percent 3 5" xfId="161" xr:uid="{00000000-0005-0000-0000-0000A3000000}"/>
    <cellStyle name="Percent 3 6" xfId="157" xr:uid="{00000000-0005-0000-0000-0000A4000000}"/>
    <cellStyle name="Percent 4" xfId="19" xr:uid="{00000000-0005-0000-0000-0000A5000000}"/>
    <cellStyle name="Percent 4 2" xfId="76" xr:uid="{00000000-0005-0000-0000-0000A6000000}"/>
    <cellStyle name="Percent 4 3" xfId="73" xr:uid="{00000000-0005-0000-0000-0000A7000000}"/>
    <cellStyle name="Percent 5" xfId="132" xr:uid="{00000000-0005-0000-0000-0000A8000000}"/>
    <cellStyle name="Percent 54 2" xfId="6" xr:uid="{00000000-0005-0000-0000-0000A9000000}"/>
    <cellStyle name="Percent 6" xfId="134" xr:uid="{00000000-0005-0000-0000-0000AA000000}"/>
    <cellStyle name="Percent 77 2" xfId="20" xr:uid="{00000000-0005-0000-0000-0000AB000000}"/>
    <cellStyle name="remit address" xfId="150" xr:uid="{00000000-0005-0000-0000-0000AC000000}"/>
    <cellStyle name="Style 1" xfId="67" xr:uid="{00000000-0005-0000-0000-0000AD000000}"/>
    <cellStyle name="Title 2" xfId="129" xr:uid="{00000000-0005-0000-0000-0000AE000000}"/>
    <cellStyle name="Title 3" xfId="63" xr:uid="{00000000-0005-0000-0000-0000AF000000}"/>
    <cellStyle name="Total 2" xfId="130" xr:uid="{00000000-0005-0000-0000-0000B0000000}"/>
    <cellStyle name="Total 2 2" xfId="194" xr:uid="{9A232FFB-9CFB-43B4-A8FB-131544794DAB}"/>
    <cellStyle name="Total 2 3" xfId="206" xr:uid="{0E128C5C-5D03-429F-8B8B-C834E45A5C78}"/>
    <cellStyle name="Total 3" xfId="64" xr:uid="{00000000-0005-0000-0000-0000B1000000}"/>
    <cellStyle name="Total 3 2" xfId="187" xr:uid="{B3D73C47-5F82-4D8A-BA72-8C66A129C80D}"/>
    <cellStyle name="Total 3 3" xfId="201" xr:uid="{64E147DB-7150-4531-9AE8-95EBF428C85D}"/>
    <cellStyle name="Warning Text 2" xfId="131" xr:uid="{00000000-0005-0000-0000-0000B2000000}"/>
    <cellStyle name="Warning Text 3" xfId="65" xr:uid="{00000000-0005-0000-0000-0000B3000000}"/>
  </cellStyles>
  <dxfs count="38">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strike val="0"/>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D0EB2"/>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sharedStrings" Target="sharedString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10" Type="http://schemas.openxmlformats.org/officeDocument/2006/relationships/worksheet" Target="worksheets/sheet10.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781050</xdr:colOff>
          <xdr:row>3</xdr:row>
          <xdr:rowOff>76200</xdr:rowOff>
        </xdr:from>
        <xdr:to>
          <xdr:col>5</xdr:col>
          <xdr:colOff>266700</xdr:colOff>
          <xdr:row>5</xdr:row>
          <xdr:rowOff>57150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A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793750</xdr:colOff>
          <xdr:row>2</xdr:row>
          <xdr:rowOff>88900</xdr:rowOff>
        </xdr:from>
        <xdr:to>
          <xdr:col>5</xdr:col>
          <xdr:colOff>165100</xdr:colOff>
          <xdr:row>4</xdr:row>
          <xdr:rowOff>69850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C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793750</xdr:colOff>
          <xdr:row>2</xdr:row>
          <xdr:rowOff>76200</xdr:rowOff>
        </xdr:from>
        <xdr:to>
          <xdr:col>5</xdr:col>
          <xdr:colOff>247650</xdr:colOff>
          <xdr:row>4</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E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622300</xdr:colOff>
          <xdr:row>0</xdr:row>
          <xdr:rowOff>0</xdr:rowOff>
        </xdr:from>
        <xdr:to>
          <xdr:col>5</xdr:col>
          <xdr:colOff>628650</xdr:colOff>
          <xdr:row>1</xdr:row>
          <xdr:rowOff>69850</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17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0</xdr:row>
          <xdr:rowOff>0</xdr:rowOff>
        </xdr:from>
        <xdr:to>
          <xdr:col>5</xdr:col>
          <xdr:colOff>628650</xdr:colOff>
          <xdr:row>1</xdr:row>
          <xdr:rowOff>76200</xdr:rowOff>
        </xdr:to>
        <xdr:sp macro="" textlink="">
          <xdr:nvSpPr>
            <xdr:cNvPr id="125954" name="Check Box 2" hidden="1">
              <a:extLst>
                <a:ext uri="{63B3BB69-23CF-44E3-9099-C40C66FF867C}">
                  <a14:compatExt spid="_x0000_s125954"/>
                </a:ext>
                <a:ext uri="{FF2B5EF4-FFF2-40B4-BE49-F238E27FC236}">
                  <a16:creationId xmlns:a16="http://schemas.microsoft.com/office/drawing/2014/main" id="{00000000-0008-0000-17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0</xdr:row>
          <xdr:rowOff>0</xdr:rowOff>
        </xdr:from>
        <xdr:to>
          <xdr:col>5</xdr:col>
          <xdr:colOff>628650</xdr:colOff>
          <xdr:row>1</xdr:row>
          <xdr:rowOff>69850</xdr:rowOff>
        </xdr:to>
        <xdr:sp macro="" textlink="">
          <xdr:nvSpPr>
            <xdr:cNvPr id="125955" name="Check Box 3" hidden="1">
              <a:extLst>
                <a:ext uri="{63B3BB69-23CF-44E3-9099-C40C66FF867C}">
                  <a14:compatExt spid="_x0000_s125955"/>
                </a:ext>
                <a:ext uri="{FF2B5EF4-FFF2-40B4-BE49-F238E27FC236}">
                  <a16:creationId xmlns:a16="http://schemas.microsoft.com/office/drawing/2014/main" id="{00000000-0008-0000-17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2</xdr:row>
          <xdr:rowOff>88900</xdr:rowOff>
        </xdr:from>
        <xdr:to>
          <xdr:col>5</xdr:col>
          <xdr:colOff>819150</xdr:colOff>
          <xdr:row>4</xdr:row>
          <xdr:rowOff>0</xdr:rowOff>
        </xdr:to>
        <xdr:sp macro="" textlink="">
          <xdr:nvSpPr>
            <xdr:cNvPr id="125956" name="Check Box 4" hidden="1">
              <a:extLst>
                <a:ext uri="{63B3BB69-23CF-44E3-9099-C40C66FF867C}">
                  <a14:compatExt spid="_x0000_s125956"/>
                </a:ext>
                <a:ext uri="{FF2B5EF4-FFF2-40B4-BE49-F238E27FC236}">
                  <a16:creationId xmlns:a16="http://schemas.microsoft.com/office/drawing/2014/main" id="{00000000-0008-0000-17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0</xdr:row>
          <xdr:rowOff>0</xdr:rowOff>
        </xdr:from>
        <xdr:to>
          <xdr:col>4</xdr:col>
          <xdr:colOff>628650</xdr:colOff>
          <xdr:row>2</xdr:row>
          <xdr:rowOff>19050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18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0</xdr:row>
          <xdr:rowOff>0</xdr:rowOff>
        </xdr:from>
        <xdr:to>
          <xdr:col>4</xdr:col>
          <xdr:colOff>628650</xdr:colOff>
          <xdr:row>1</xdr:row>
          <xdr:rowOff>127000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1800-000003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0</xdr:row>
          <xdr:rowOff>0</xdr:rowOff>
        </xdr:from>
        <xdr:to>
          <xdr:col>4</xdr:col>
          <xdr:colOff>666750</xdr:colOff>
          <xdr:row>2</xdr:row>
          <xdr:rowOff>19050</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18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0</xdr:row>
          <xdr:rowOff>0</xdr:rowOff>
        </xdr:from>
        <xdr:to>
          <xdr:col>4</xdr:col>
          <xdr:colOff>628650</xdr:colOff>
          <xdr:row>1</xdr:row>
          <xdr:rowOff>127000</xdr:rowOff>
        </xdr:to>
        <xdr:sp macro="" textlink="">
          <xdr:nvSpPr>
            <xdr:cNvPr id="118789" name="Check Box 5" hidden="1">
              <a:extLst>
                <a:ext uri="{63B3BB69-23CF-44E3-9099-C40C66FF867C}">
                  <a14:compatExt spid="_x0000_s118789"/>
                </a:ext>
                <a:ext uri="{FF2B5EF4-FFF2-40B4-BE49-F238E27FC236}">
                  <a16:creationId xmlns:a16="http://schemas.microsoft.com/office/drawing/2014/main" id="{00000000-0008-0000-18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0</xdr:row>
          <xdr:rowOff>0</xdr:rowOff>
        </xdr:from>
        <xdr:to>
          <xdr:col>4</xdr:col>
          <xdr:colOff>628650</xdr:colOff>
          <xdr:row>1</xdr:row>
          <xdr:rowOff>57150</xdr:rowOff>
        </xdr:to>
        <xdr:sp macro="" textlink="">
          <xdr:nvSpPr>
            <xdr:cNvPr id="118790" name="Check Box 6" hidden="1">
              <a:extLst>
                <a:ext uri="{63B3BB69-23CF-44E3-9099-C40C66FF867C}">
                  <a14:compatExt spid="_x0000_s118790"/>
                </a:ext>
                <a:ext uri="{FF2B5EF4-FFF2-40B4-BE49-F238E27FC236}">
                  <a16:creationId xmlns:a16="http://schemas.microsoft.com/office/drawing/2014/main" id="{00000000-0008-0000-18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0</xdr:row>
          <xdr:rowOff>0</xdr:rowOff>
        </xdr:from>
        <xdr:to>
          <xdr:col>4</xdr:col>
          <xdr:colOff>628650</xdr:colOff>
          <xdr:row>1</xdr:row>
          <xdr:rowOff>57150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1800-000008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3</xdr:row>
          <xdr:rowOff>12700</xdr:rowOff>
        </xdr:from>
        <xdr:to>
          <xdr:col>4</xdr:col>
          <xdr:colOff>628650</xdr:colOff>
          <xdr:row>3</xdr:row>
          <xdr:rowOff>222250</xdr:rowOff>
        </xdr:to>
        <xdr:sp macro="" textlink="">
          <xdr:nvSpPr>
            <xdr:cNvPr id="118793" name="Check Box 9" hidden="1">
              <a:extLst>
                <a:ext uri="{63B3BB69-23CF-44E3-9099-C40C66FF867C}">
                  <a14:compatExt spid="_x0000_s118793"/>
                </a:ext>
                <a:ext uri="{FF2B5EF4-FFF2-40B4-BE49-F238E27FC236}">
                  <a16:creationId xmlns:a16="http://schemas.microsoft.com/office/drawing/2014/main" id="{00000000-0008-0000-1800-000009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xdr:row>
          <xdr:rowOff>31750</xdr:rowOff>
        </xdr:from>
        <xdr:to>
          <xdr:col>5</xdr:col>
          <xdr:colOff>88900</xdr:colOff>
          <xdr:row>3</xdr:row>
          <xdr:rowOff>76200</xdr:rowOff>
        </xdr:to>
        <xdr:sp macro="" textlink="">
          <xdr:nvSpPr>
            <xdr:cNvPr id="118794" name="Check Box 10" hidden="1">
              <a:extLst>
                <a:ext uri="{63B3BB69-23CF-44E3-9099-C40C66FF867C}">
                  <a14:compatExt spid="_x0000_s118794"/>
                </a:ext>
                <a:ext uri="{FF2B5EF4-FFF2-40B4-BE49-F238E27FC236}">
                  <a16:creationId xmlns:a16="http://schemas.microsoft.com/office/drawing/2014/main" id="{00000000-0008-0000-1800-00000A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rants%20Proposals%20and%20Premise%20Requests\State%20Premise%20Requests\2012\XX-2012%20CW%20Reform\2012-10-16-%20CW%20Reform%20Estimate_For%20AP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alacesorg.sharepoint.com/Users/BegicS/AppData/Local/Microsoft/Windows/Temporary%20Internet%20Files/OLK174A/CMIPS%20II%20and%20IHSS%20SOC%20Estimates%20-%2009-23-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FDFS01\Govconnect%20Archive\Users\BegicS\AppData\Local\Microsoft\Windows\Temporary%20Internet%20Files\OLK174A\CMIPS%20II%20and%20IHSS%20SOC%20Estimates%20-%2009-23-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hdmurphy\Local%20Settings\Temporary%20Internet%20Files\OLKB\C-IV%20MO%20Solomon%20Master%204-28-09%20WC.xls"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file:///\\ADFDFS01\Govconnect%20Archive\WINNT\Profiles\elinse\Temporary%20Internet%20Files\OLK7\JACOBI\PeopleSoft\Higher%20Ed\Projects\Vanderbilt\Work%20Plan\JACOBI\Higher%20Ed\Projects\Vanderbilt\AC%20Input\Financials%20WP\FINANCE\PHASE3A\PROJMGT\PH4EST\BUESTOS2.XLS?774E6358" TargetMode="External"/><Relationship Id="rId1" Type="http://schemas.openxmlformats.org/officeDocument/2006/relationships/externalLinkPath" Target="file:///\\774E6358\BUESTOS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FDFS01\Data2\Accenture\ISAWS%20Planning\SOW\Estimating%20Template\Estimating%20Template%20SOW%2012-14-2006%20v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FDFS01\GovConnect%20Archive\Accenture\Contracts\Change%20Orders\M&amp;O\CO-047%20Del%20Norte%20POP%20model%20change\05-19-2009%20For%20JPA\Marin-Napa%20CPOP%20v4-client-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fdfs01\Data2\DOCUME~1\IslePA\LOCALS~1\Temp\Pricing%20Schedul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mlap\c\DOCUME~1\lundybx\LOCALS~1\Temp\Development%20Cos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fdfs01\Data2\WINDOWS\TEMP\1.0%20Cost%20Schedules-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alacesorg.sharepoint.com/Projects/CalWin/Updated%20Documents/CalWin%20102301%20BO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lacesorg.sharepoint.com/Accenture/Contracts/Change%20Orders/M&amp;O/CO-040%20Legacy%20Data%20Solution/01-29-2009%20For%20Consortium%20Review/CO-040%20-%20LDS%20-%20v3%20with%202011-1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48.92.48.19\CalwinData\Projects\CalWin\Updated%20Documents\CalWin%20102301%20BO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FDFS01\Govconnect%20Archive\Projects\CalWin\Updated%20Documents\CalWin%20102301%20BO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FDFS01\Data2\Accenture\ISAWS%20Planning\SOW\Estimating%20Template\01-10-2007%20Sent%20to%20CTS%20group%20OPTIONS\Estimating%20Template%20SOW%2012-14-2006%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mail.govconnect.com/Program%20Files/FDGS%20Budgets/PriceBook/pricebook.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alacesorg.sharepoint.com/Accenture/Contracts/Change%20Orders/M&amp;O/XXX%20-%20EBT%20Host%20to%20Host/CO-XXX%20-EBT%20Host%20to%20Host%20Interface%20v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FDFS01\Govconnect%20Archive\Accenture\Contracts\Change%20Orders\M&amp;O\XXX%20-%20EBT%20Host%20to%20Host\CO-XXX%20-EBT%20Host%20to%20Host%20Interface%20v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calacesorg.sharepoint.com/Accenture/Contracts/Implementation%20Agreement/Amendments/Amendment%20No.%205/02-09-2010%20Final%20for%20JPA/Accenture%20BAFO%20Cost%20Schedules%20Amendment%20No.%20FIVE.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FDFS01\Govconnect%20Archive\Accenture\Contracts\Implementation%20Agreement\Amendments\Amendment%20No.%205\02-09-2010%20Final%20for%20JPA\Accenture%20BAFO%20Cost%20Schedules%20Amendment%20No.%20FIV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calacesorg.sharepoint.com/Users/lisa.a.salas/Documents/Docs%20to%20Synch/C-IV%20Migration/2013%20SWAG/Migration%20Estimates%20C-IV%20Modernization%20v3%20LA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DFDFS01\Govconnect%20Archive\Users\lisa.a.salas\Documents\Docs%20to%20Synch\C-IV%20Migration\2013%20SWAG\Migration%20Estimates%20C-IV%20Modernization%20v3%20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FDFS01\Govconnect%20Archive\Accenture\Contracts\Change%20Orders\M&amp;O\CO-040%20Legacy%20Data%20Solution\01-29-2009%20For%20Consortium%20Review\CO-040%20-%20LDS%20-%20v3%20with%202011-1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calacesorg.sharepoint.com/Documents%20and%20Settings/ryan.b.wickham/Local%20Settings/Temporary%20Internet%20Files/OLK55/OMX%20financials%20-%20v3%203%20(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DFDFS01\Govconnect%20Archive\Documents%20and%20Settings\ryan.b.wickham\Local%20Settings\Temporary%20Internet%20Files\OLK55\OMX%20financials%20-%20v3%203%2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alacesorg.sharepoint.com/Documents%20and%20Settings/GnesdaJ/Local%20Settings/Temporary%20Internet%20Files/OLK1F3F/07-31-2007%20From%20JG/Be%20Vu%20Estimate%20072607%20from%20J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DFDFS01\Govconnect%20Archive\Documents%20and%20Settings\GnesdaJ\Local%20Settings\Temporary%20Internet%20Files\OLK1F3F\07-31-2007%20From%20JG\Be%20Vu%20Estimate%20072607%20from%20J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lacesorg.sharepoint.com/Users/lisa.a.salas/Documents/Docs%20to%20Synch/APD/June%202010/03-12-2010%20Facilities%20Input%20file/Extension%20Cost%20Pricing%20Schedule%20Amendment%205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FDFS01\Govconnect%20Archive\Users\lisa.a.salas\Documents\Docs%20to%20Synch\APD\June%202010\03-12-2010%20Facilities%20Input%20file\Extension%20Cost%20Pricing%20Schedule%20Amendment%205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alacesorg.sharepoint.com/Documents%20and%20Settings/MastersK/Local%20Settings/Temporary%20Internet%20Files/OLK1AC/CMIPS%20II%20and%20IHSS%20SOC%20Estimates%20v5.1%20-%20working%20cop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FDFS01\Govconnect%20Archive\Documents%20and%20Settings\MastersK\Local%20Settings\Temporary%20Internet%20Files\OLK1AC\CMIPS%20II%20and%20IHSS%20SOC%20Estimates%20v5.1%20-%20working%20cop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alacesorg.sharepoint.com/Users/teresa.c.sifre/Desktop/Copy%20of%20Copy%20of%20OH_IE_Staffing_Model_Negotiations_v0%202%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FDFS01\Govconnect%20Archive\Users\teresa.c.sifre\Desktop\Copy%20of%20Copy%20of%20OH_IE_Staffing_Model_Negotiations_v0%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earn"/>
      <sheetName val="Child Only Annual Reporting"/>
      <sheetName val="24 Month Time Clock"/>
      <sheetName val="EID"/>
      <sheetName val="HW_SW"/>
      <sheetName val="Cost Summary"/>
      <sheetName val="APD"/>
      <sheetName val="ETC 01-2012"/>
      <sheetName val="Sheet3"/>
      <sheetName val="Data Lists"/>
    </sheetNames>
    <sheetDataSet>
      <sheetData sheetId="0"/>
      <sheetData sheetId="1"/>
      <sheetData sheetId="2"/>
      <sheetData sheetId="3"/>
      <sheetData sheetId="4"/>
      <sheetData sheetId="5">
        <row r="3">
          <cell r="O3">
            <v>0.90909090909090906</v>
          </cell>
        </row>
        <row r="11">
          <cell r="M11">
            <v>211</v>
          </cell>
        </row>
        <row r="12">
          <cell r="M12">
            <v>135</v>
          </cell>
        </row>
      </sheetData>
      <sheetData sheetId="6"/>
      <sheetData sheetId="7"/>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Overview"/>
      <sheetName val="2.  Timeline"/>
      <sheetName val="2.  Timeline w staff"/>
      <sheetName val="2.  Timeline Summary by staff "/>
      <sheetName val="3. Cost Summary "/>
      <sheetName val="4. Staffing Services"/>
      <sheetName val="D-5 Rates"/>
      <sheetName val="5. Tasks"/>
      <sheetName val="6. Assumptions"/>
      <sheetName val="7.  Detailed Estimate"/>
      <sheetName val="8. HW_SW"/>
      <sheetName val="9. D-2 (B) Costs"/>
    </sheetNames>
    <sheetDataSet>
      <sheetData sheetId="0"/>
      <sheetData sheetId="1"/>
      <sheetData sheetId="2"/>
      <sheetData sheetId="3"/>
      <sheetData sheetId="4"/>
      <sheetData sheetId="5"/>
      <sheetData sheetId="6"/>
      <sheetData sheetId="7"/>
      <sheetData sheetId="8">
        <row r="36">
          <cell r="H36">
            <v>188.21817271614904</v>
          </cell>
        </row>
      </sheetData>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Overview"/>
      <sheetName val="2.  Timeline"/>
      <sheetName val="2.  Timeline w staff"/>
      <sheetName val="2.  Timeline Summary by staff "/>
      <sheetName val="3. Cost Summary "/>
      <sheetName val="4. Staffing Services"/>
      <sheetName val="D-5 Rates"/>
      <sheetName val="5. Tasks"/>
      <sheetName val="6. Assumptions"/>
      <sheetName val="7.  Detailed Estimate"/>
      <sheetName val="8. HW_SW"/>
      <sheetName val="9. D-2 (B) Costs"/>
    </sheetNames>
    <sheetDataSet>
      <sheetData sheetId="0"/>
      <sheetData sheetId="1"/>
      <sheetData sheetId="2"/>
      <sheetData sheetId="3"/>
      <sheetData sheetId="4"/>
      <sheetData sheetId="5"/>
      <sheetData sheetId="6"/>
      <sheetData sheetId="7"/>
      <sheetData sheetId="8">
        <row r="36">
          <cell r="H36">
            <v>188.21817271614904</v>
          </cell>
        </row>
      </sheetData>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 Sheet (Proj Info)"/>
      <sheetName val="Change Log"/>
      <sheetName val="Comparison Summary"/>
      <sheetName val="Solomon forecast"/>
      <sheetName val="Solomon update"/>
      <sheetName val="2007"/>
      <sheetName val="2008"/>
      <sheetName val="2009"/>
      <sheetName val="2010"/>
      <sheetName val="2011"/>
      <sheetName val="Standard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&lt;Class&gt;</v>
          </cell>
        </row>
        <row r="2">
          <cell r="B2" t="str">
            <v>A</v>
          </cell>
        </row>
        <row r="3">
          <cell r="B3" t="str">
            <v>AA3</v>
          </cell>
        </row>
        <row r="4">
          <cell r="B4" t="str">
            <v>C1</v>
          </cell>
        </row>
        <row r="5">
          <cell r="B5" t="str">
            <v>C2</v>
          </cell>
        </row>
        <row r="6">
          <cell r="B6" t="str">
            <v>C3</v>
          </cell>
        </row>
        <row r="7">
          <cell r="B7" t="str">
            <v>C4</v>
          </cell>
        </row>
        <row r="8">
          <cell r="B8" t="str">
            <v>CSR</v>
          </cell>
        </row>
        <row r="9">
          <cell r="B9" t="str">
            <v>H</v>
          </cell>
        </row>
        <row r="10">
          <cell r="B10" t="str">
            <v>IC</v>
          </cell>
        </row>
        <row r="11">
          <cell r="B11" t="str">
            <v>M1</v>
          </cell>
        </row>
        <row r="12">
          <cell r="B12" t="str">
            <v>M2</v>
          </cell>
        </row>
        <row r="13">
          <cell r="B13" t="str">
            <v>M3</v>
          </cell>
        </row>
        <row r="14">
          <cell r="B14" t="str">
            <v>SE</v>
          </cell>
        </row>
        <row r="15">
          <cell r="B15" t="str">
            <v>S</v>
          </cell>
        </row>
        <row r="16">
          <cell r="B16" t="str">
            <v>VP</v>
          </cell>
        </row>
        <row r="18">
          <cell r="B18" t="str">
            <v>&lt;Class&gt;</v>
          </cell>
        </row>
        <row r="19">
          <cell r="B19" t="str">
            <v>A</v>
          </cell>
        </row>
        <row r="20">
          <cell r="B20" t="str">
            <v>AA3</v>
          </cell>
        </row>
        <row r="21">
          <cell r="B21" t="str">
            <v>C1</v>
          </cell>
        </row>
        <row r="22">
          <cell r="B22" t="str">
            <v>C2</v>
          </cell>
        </row>
        <row r="23">
          <cell r="B23" t="str">
            <v>C3</v>
          </cell>
        </row>
        <row r="24">
          <cell r="B24" t="str">
            <v>C4</v>
          </cell>
        </row>
        <row r="25">
          <cell r="B25" t="str">
            <v>CSR</v>
          </cell>
        </row>
        <row r="26">
          <cell r="B26" t="str">
            <v>H</v>
          </cell>
        </row>
        <row r="27">
          <cell r="B27" t="str">
            <v>IC</v>
          </cell>
        </row>
        <row r="28">
          <cell r="B28" t="str">
            <v>M1</v>
          </cell>
        </row>
        <row r="29">
          <cell r="B29" t="str">
            <v>M2</v>
          </cell>
        </row>
        <row r="30">
          <cell r="B30" t="str">
            <v>M3</v>
          </cell>
        </row>
        <row r="31">
          <cell r="B31" t="str">
            <v>SE</v>
          </cell>
        </row>
        <row r="32">
          <cell r="B32" t="str">
            <v>S</v>
          </cell>
        </row>
        <row r="33">
          <cell r="B33" t="str">
            <v>VP</v>
          </cell>
        </row>
        <row r="35">
          <cell r="B35" t="str">
            <v>&lt;Class&gt;</v>
          </cell>
        </row>
        <row r="36">
          <cell r="B36" t="str">
            <v>A</v>
          </cell>
        </row>
        <row r="37">
          <cell r="B37" t="str">
            <v>AA3</v>
          </cell>
        </row>
        <row r="38">
          <cell r="B38" t="str">
            <v>C1</v>
          </cell>
        </row>
        <row r="39">
          <cell r="B39" t="str">
            <v>C2</v>
          </cell>
        </row>
        <row r="40">
          <cell r="B40" t="str">
            <v>C3</v>
          </cell>
        </row>
        <row r="41">
          <cell r="B41" t="str">
            <v>C4</v>
          </cell>
        </row>
        <row r="42">
          <cell r="B42" t="str">
            <v>CSR</v>
          </cell>
        </row>
        <row r="43">
          <cell r="B43" t="str">
            <v>H</v>
          </cell>
        </row>
        <row r="44">
          <cell r="B44" t="str">
            <v>IC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 List"/>
      <sheetName val="Year over Year $"/>
      <sheetName val="Year over Year $ (Prior)"/>
      <sheetName val="Cost All Sep 01"/>
      <sheetName val="IP_Control"/>
      <sheetName val="IP_Costs"/>
    </sheetNames>
    <sheetDataSet>
      <sheetData sheetId="0"/>
      <sheetData sheetId="1"/>
      <sheetData sheetId="2"/>
      <sheetData sheetId="3"/>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Table of Contents"/>
      <sheetName val="Migration Timeline"/>
      <sheetName val="Deliverables"/>
      <sheetName val="Deliverables -1-04"/>
      <sheetName val="Holdback Schedule"/>
      <sheetName val="Deliverables 01-09-2007"/>
      <sheetName val="Development Timeline"/>
      <sheetName val="Implementation Timeline"/>
      <sheetName val="Cost Summary "/>
      <sheetName val="2. Staffing Services"/>
      <sheetName val="M&amp;O Timeline"/>
      <sheetName val="Effort Comparison"/>
      <sheetName val="Effort Summary"/>
      <sheetName val="Effort 24 month Dev"/>
      <sheetName val="Effort 16 month Imp Phase"/>
      <sheetName val="Touch Points by Phase"/>
      <sheetName val="Effort Ongoing (M&amp;O)"/>
      <sheetName val="HW_SW Summary"/>
      <sheetName val="HW SW Detail"/>
      <sheetName val="Production Operations"/>
      <sheetName val="Facilities Summary"/>
      <sheetName val="Facilities Detail"/>
      <sheetName val="Assumptions"/>
      <sheetName val="Allocation-PY"/>
      <sheetName val="Allocation-Resource"/>
      <sheetName val="Option Batch Scheduler"/>
      <sheetName val="Option Remote UAT"/>
      <sheetName val="Option Crystal Reports"/>
      <sheetName val="Option IVR"/>
      <sheetName val="Option Imaging"/>
      <sheetName val="Option Application Maintenance"/>
      <sheetName val="Other Vendor Touchpoints"/>
      <sheetName val="Option Post DSD System Ch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0">
          <cell r="D10">
            <v>160</v>
          </cell>
        </row>
        <row r="12">
          <cell r="D12">
            <v>24</v>
          </cell>
        </row>
        <row r="13">
          <cell r="D13">
            <v>16</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E"/>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ummary"/>
      <sheetName val="A-1 Costs by Month"/>
      <sheetName val="B Tasks and Deliv's"/>
      <sheetName val="B-1 Rates"/>
      <sheetName val="B-2 Staffing by Task"/>
      <sheetName val="B-3 Staffing by Person"/>
      <sheetName val="C1 HW Summary"/>
      <sheetName val="C2 SW Summary"/>
      <sheetName val="C3 Dev HW"/>
      <sheetName val="C4 Dev SW"/>
      <sheetName val="C5 Central HW"/>
      <sheetName val="C6 Central SW"/>
      <sheetName val="C7 Local HW"/>
      <sheetName val="C8 Local SW"/>
      <sheetName val="C9 Add HW"/>
      <sheetName val="C10 Add SW"/>
      <sheetName val="D1 FMO Summ"/>
      <sheetName val="D-2 (A) FMO"/>
      <sheetName val="D2 (B) Prod Ops Costs"/>
      <sheetName val="D-3 (A) FMO"/>
      <sheetName val="D-3 (B) Prod Ops Costs"/>
      <sheetName val="D-4 (A) FMO"/>
      <sheetName val="D-4 (B) Prod Ops Costs"/>
      <sheetName val="D-5 Rates"/>
      <sheetName val="E Facilities"/>
      <sheetName val="O-3 M&amp;O Staff"/>
      <sheetName val="O-1D Total Refresh"/>
      <sheetName val="O -1D (A) Development Refresh"/>
      <sheetName val="O-1D (B) Central Refresh"/>
      <sheetName val="O-1D (C)  Local Refresh"/>
      <sheetName val="O-1A Optional Equip IVR"/>
      <sheetName val="O-1B Optional Equip Imaging"/>
      <sheetName val="O-1C Optional Equip Router"/>
      <sheetName val="O-2B  Letter of Credit"/>
      <sheetName val="O-1E  Optional Equip Train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Detail"/>
      <sheetName val="Summary by SFY"/>
      <sheetName val="Summary by FFY"/>
      <sheetName val="Director's Cut by SFY"/>
      <sheetName val="New Start Dates"/>
    </sheetNames>
    <sheetDataSet>
      <sheetData sheetId="0"/>
      <sheetData sheetId="1"/>
      <sheetData sheetId="2"/>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Cost Schedules-2"/>
      <sheetName val="Sheet3"/>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ch B"/>
      <sheetName val="New Servers"/>
      <sheetName val="New Rack Servers"/>
      <sheetName val="Server Rack"/>
    </sheetNames>
    <sheetDataSet>
      <sheetData sheetId="0"/>
      <sheetData sheetId="1">
        <row r="1">
          <cell r="I1">
            <v>0.63</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D"/>
      <sheetName val="1. Cost Summary "/>
      <sheetName val="2. Staffing Services"/>
      <sheetName val="Hours by resource"/>
      <sheetName val="4. HW_SW"/>
      <sheetName val="5. D-2 (B) Costs"/>
      <sheetName val="6. E Costs"/>
      <sheetName val="Allocation-PY"/>
      <sheetName val="Allocation-Resource"/>
      <sheetName val="MAPPER Devt &amp; Deploy"/>
      <sheetName val="MAPPER Annual Cost Summary"/>
      <sheetName val="WTW Devt &amp; Deploy"/>
      <sheetName val="WTW Annual Cost Summary"/>
      <sheetName val="D-5 Rates"/>
    </sheetNames>
    <sheetDataSet>
      <sheetData sheetId="0"/>
      <sheetData sheetId="1"/>
      <sheetData sheetId="2"/>
      <sheetData sheetId="3">
        <row r="7">
          <cell r="D7">
            <v>0</v>
          </cell>
        </row>
      </sheetData>
      <sheetData sheetId="4"/>
      <sheetData sheetId="5"/>
      <sheetData sheetId="6"/>
      <sheetData sheetId="7"/>
      <sheetData sheetId="8">
        <row r="3">
          <cell r="C3" t="str">
            <v>1.0</v>
          </cell>
          <cell r="D3" t="str">
            <v>2.0</v>
          </cell>
          <cell r="E3" t="str">
            <v>3.0</v>
          </cell>
        </row>
        <row r="4">
          <cell r="A4">
            <v>1</v>
          </cell>
          <cell r="B4" t="str">
            <v>Project Director / Quality Assurance Partner</v>
          </cell>
          <cell r="C4">
            <v>0</v>
          </cell>
          <cell r="D4">
            <v>0</v>
          </cell>
          <cell r="E4">
            <v>0</v>
          </cell>
        </row>
        <row r="5">
          <cell r="A5">
            <v>2</v>
          </cell>
          <cell r="B5" t="str">
            <v>Project Manager</v>
          </cell>
          <cell r="C5">
            <v>0</v>
          </cell>
          <cell r="D5">
            <v>0</v>
          </cell>
          <cell r="E5">
            <v>0</v>
          </cell>
        </row>
        <row r="6">
          <cell r="A6">
            <v>3</v>
          </cell>
          <cell r="B6" t="str">
            <v>Development Team Managers</v>
          </cell>
          <cell r="C6">
            <v>0</v>
          </cell>
          <cell r="D6">
            <v>0</v>
          </cell>
          <cell r="E6">
            <v>0</v>
          </cell>
        </row>
        <row r="7">
          <cell r="A7">
            <v>4</v>
          </cell>
          <cell r="B7" t="str">
            <v>Development Group Leads</v>
          </cell>
          <cell r="C7">
            <v>0</v>
          </cell>
          <cell r="D7">
            <v>0</v>
          </cell>
          <cell r="E7">
            <v>0</v>
          </cell>
        </row>
        <row r="8">
          <cell r="A8">
            <v>5</v>
          </cell>
          <cell r="B8" t="str">
            <v>Development Functional /Technical Analysts</v>
          </cell>
          <cell r="C8">
            <v>0</v>
          </cell>
          <cell r="D8">
            <v>0</v>
          </cell>
          <cell r="E8">
            <v>0</v>
          </cell>
        </row>
        <row r="9">
          <cell r="A9">
            <v>6</v>
          </cell>
          <cell r="B9" t="str">
            <v>Development Programmer/ Analysts</v>
          </cell>
          <cell r="C9">
            <v>0</v>
          </cell>
          <cell r="D9">
            <v>0</v>
          </cell>
          <cell r="E9">
            <v>0</v>
          </cell>
        </row>
        <row r="10">
          <cell r="A10">
            <v>7</v>
          </cell>
          <cell r="B10" t="str">
            <v>Applications Maintenance Team Leader</v>
          </cell>
          <cell r="C10">
            <v>0</v>
          </cell>
          <cell r="D10">
            <v>0</v>
          </cell>
          <cell r="E10">
            <v>0</v>
          </cell>
        </row>
        <row r="11">
          <cell r="A11">
            <v>8</v>
          </cell>
          <cell r="B11" t="str">
            <v>Sr. Programmer - Intranet On-Line</v>
          </cell>
          <cell r="C11">
            <v>0</v>
          </cell>
          <cell r="D11">
            <v>0</v>
          </cell>
          <cell r="E11">
            <v>0</v>
          </cell>
        </row>
        <row r="12">
          <cell r="A12">
            <v>9</v>
          </cell>
          <cell r="B12" t="str">
            <v>Programmer/Analyst - Intranet Online</v>
          </cell>
          <cell r="C12">
            <v>0</v>
          </cell>
          <cell r="D12">
            <v>0</v>
          </cell>
          <cell r="E12">
            <v>0</v>
          </cell>
        </row>
        <row r="13">
          <cell r="A13">
            <v>10</v>
          </cell>
          <cell r="B13" t="str">
            <v>Sr. Programmer - Expert Systems</v>
          </cell>
          <cell r="C13">
            <v>0</v>
          </cell>
          <cell r="D13">
            <v>0</v>
          </cell>
          <cell r="E13">
            <v>0</v>
          </cell>
        </row>
        <row r="14">
          <cell r="A14">
            <v>11</v>
          </cell>
          <cell r="B14" t="str">
            <v>Programmer/Analyst - Expert Systems</v>
          </cell>
          <cell r="C14">
            <v>0</v>
          </cell>
          <cell r="D14">
            <v>0</v>
          </cell>
          <cell r="E14">
            <v>0</v>
          </cell>
        </row>
        <row r="15">
          <cell r="A15">
            <v>12</v>
          </cell>
          <cell r="B15" t="str">
            <v>Sr. Programmer - Batch Maintenanace</v>
          </cell>
          <cell r="C15">
            <v>0</v>
          </cell>
          <cell r="D15">
            <v>0</v>
          </cell>
          <cell r="E15">
            <v>0</v>
          </cell>
        </row>
        <row r="16">
          <cell r="A16">
            <v>13</v>
          </cell>
          <cell r="B16" t="str">
            <v>Programmer/Analyst - Batch Maintenance</v>
          </cell>
          <cell r="C16">
            <v>0</v>
          </cell>
          <cell r="D16">
            <v>0</v>
          </cell>
          <cell r="E16">
            <v>0</v>
          </cell>
        </row>
        <row r="17">
          <cell r="A17">
            <v>14</v>
          </cell>
          <cell r="B17" t="str">
            <v>Sr. Data Base Administrator - Oracle</v>
          </cell>
          <cell r="C17">
            <v>0</v>
          </cell>
          <cell r="D17">
            <v>0</v>
          </cell>
          <cell r="E17">
            <v>0</v>
          </cell>
        </row>
        <row r="18">
          <cell r="A18">
            <v>15</v>
          </cell>
          <cell r="B18" t="str">
            <v>Data Base Administrator - Oracle</v>
          </cell>
          <cell r="C18">
            <v>0</v>
          </cell>
          <cell r="D18">
            <v>0</v>
          </cell>
          <cell r="E18">
            <v>0</v>
          </cell>
        </row>
        <row r="19">
          <cell r="A19">
            <v>16</v>
          </cell>
          <cell r="B19" t="str">
            <v>System Software Specialist</v>
          </cell>
          <cell r="C19">
            <v>0</v>
          </cell>
          <cell r="D19">
            <v>0</v>
          </cell>
          <cell r="E19">
            <v>0</v>
          </cell>
        </row>
      </sheetData>
      <sheetData sheetId="9"/>
      <sheetData sheetId="10"/>
      <sheetData sheetId="11"/>
      <sheetData sheetId="12"/>
      <sheetData sheetId="13">
        <row r="5">
          <cell r="B5" t="str">
            <v>Staff Description</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ch B"/>
      <sheetName val="New Servers"/>
      <sheetName val="New Rack Servers"/>
      <sheetName val="Server Rack"/>
      <sheetName val="Change FY1920"/>
      <sheetName val="County Direct FY1920"/>
      <sheetName val="Summary FY1920"/>
      <sheetName val="Credits FY1920"/>
      <sheetName val="Credits Summary FY1920"/>
      <sheetName val="County Direct Credit Balances"/>
    </sheetNames>
    <sheetDataSet>
      <sheetData sheetId="0"/>
      <sheetData sheetId="1">
        <row r="1">
          <cell r="I1">
            <v>0.63</v>
          </cell>
        </row>
      </sheetData>
      <sheetData sheetId="2"/>
      <sheetData sheetId="3"/>
      <sheetData sheetId="4"/>
      <sheetData sheetId="5"/>
      <sheetData sheetId="6"/>
      <sheetData sheetId="7">
        <row r="1">
          <cell r="I1" t="str">
            <v>Total Cost</v>
          </cell>
        </row>
      </sheetData>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ch B"/>
      <sheetName val="New Servers"/>
      <sheetName val="New Rack Servers"/>
      <sheetName val="Server Rack"/>
    </sheetNames>
    <sheetDataSet>
      <sheetData sheetId="0"/>
      <sheetData sheetId="1">
        <row r="1">
          <cell r="I1">
            <v>0.63</v>
          </cell>
        </row>
      </sheetData>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Table of Contents"/>
      <sheetName val="Migration Timeline"/>
      <sheetName val="Deliverables"/>
      <sheetName val="Deliverables -1-04"/>
      <sheetName val="Holdback Schedule"/>
      <sheetName val="Deliverables 01-09-2007"/>
      <sheetName val="Development Timeline"/>
      <sheetName val="Implementation Timeline"/>
      <sheetName val="Cost Summary "/>
      <sheetName val="2. Staffing Services"/>
      <sheetName val="M&amp;O Timeline"/>
      <sheetName val="Effort Comparison"/>
      <sheetName val="Effort Summary"/>
      <sheetName val="Effort 24 month Dev"/>
      <sheetName val="Effort 16 month Imp Phase"/>
      <sheetName val="Touch Points by Phase"/>
      <sheetName val="Effort Ongoing (M&amp;O)"/>
      <sheetName val="HW_SW Summary"/>
      <sheetName val="HW SW Detail"/>
      <sheetName val="Production Operations"/>
      <sheetName val="Facilities Summary"/>
      <sheetName val="Facilities Detail"/>
      <sheetName val="Assumptions"/>
      <sheetName val="Allocation-PY"/>
      <sheetName val="Allocation-Resource"/>
      <sheetName val="Option Batch Scheduler"/>
      <sheetName val="Option Remote UAT"/>
      <sheetName val="Option Crystal Reports"/>
      <sheetName val="Option IVR"/>
      <sheetName val="Option Imaging"/>
      <sheetName val="Option Application Maintenance"/>
      <sheetName val="Other Vendor Touchpoints"/>
      <sheetName val="Option Post DSD System Ch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
          <cell r="D11">
            <v>6850</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bk"/>
      <sheetName val="KITS"/>
      <sheetName val="Version"/>
    </sheetNames>
    <sheetDataSet>
      <sheetData sheetId="0">
        <row r="1">
          <cell r="A1" t="str">
            <v>Product</v>
          </cell>
          <cell r="D1" t="str">
            <v>List</v>
          </cell>
        </row>
        <row r="2">
          <cell r="D2" t="str">
            <v>Price</v>
          </cell>
        </row>
        <row r="6">
          <cell r="D6">
            <v>10000</v>
          </cell>
        </row>
        <row r="7">
          <cell r="D7">
            <v>15000</v>
          </cell>
        </row>
        <row r="8">
          <cell r="D8">
            <v>5000</v>
          </cell>
        </row>
        <row r="9">
          <cell r="D9">
            <v>5000</v>
          </cell>
        </row>
        <row r="10">
          <cell r="D10">
            <v>1000</v>
          </cell>
        </row>
        <row r="11">
          <cell r="D11">
            <v>5000</v>
          </cell>
        </row>
        <row r="12">
          <cell r="D12">
            <v>5000</v>
          </cell>
        </row>
        <row r="15">
          <cell r="D15">
            <v>200</v>
          </cell>
        </row>
        <row r="16">
          <cell r="D16">
            <v>200</v>
          </cell>
        </row>
        <row r="17">
          <cell r="D17">
            <v>7500</v>
          </cell>
        </row>
        <row r="20">
          <cell r="D20">
            <v>3000</v>
          </cell>
        </row>
        <row r="21">
          <cell r="D21">
            <v>3000</v>
          </cell>
        </row>
        <row r="22">
          <cell r="D22">
            <v>3000</v>
          </cell>
        </row>
        <row r="25">
          <cell r="D25">
            <v>3500</v>
          </cell>
        </row>
        <row r="26">
          <cell r="D26">
            <v>8750</v>
          </cell>
        </row>
        <row r="27">
          <cell r="D27">
            <v>3500</v>
          </cell>
        </row>
        <row r="30">
          <cell r="D30">
            <v>25000.008750000001</v>
          </cell>
        </row>
        <row r="33">
          <cell r="D33">
            <v>10</v>
          </cell>
        </row>
        <row r="37">
          <cell r="D37">
            <v>7239.8499999999995</v>
          </cell>
        </row>
        <row r="38">
          <cell r="D38">
            <v>7239.8499999999995</v>
          </cell>
        </row>
        <row r="39">
          <cell r="D39">
            <v>7773.45</v>
          </cell>
        </row>
        <row r="40">
          <cell r="D40">
            <v>10440</v>
          </cell>
        </row>
        <row r="41">
          <cell r="D41">
            <v>7773.45</v>
          </cell>
        </row>
        <row r="42">
          <cell r="D42">
            <v>7239.8499999999995</v>
          </cell>
        </row>
        <row r="43">
          <cell r="D43">
            <v>7773.45</v>
          </cell>
        </row>
        <row r="44">
          <cell r="D44">
            <v>7773.45</v>
          </cell>
        </row>
        <row r="45">
          <cell r="D45">
            <v>7239.8499999999995</v>
          </cell>
        </row>
        <row r="46">
          <cell r="D46">
            <v>7239.8499999999995</v>
          </cell>
        </row>
        <row r="47">
          <cell r="D47">
            <v>9132.1</v>
          </cell>
        </row>
        <row r="48">
          <cell r="D48">
            <v>7239.8499999999995</v>
          </cell>
        </row>
        <row r="49">
          <cell r="D49">
            <v>9132.1</v>
          </cell>
        </row>
        <row r="51">
          <cell r="D51">
            <v>6424.95</v>
          </cell>
        </row>
        <row r="52">
          <cell r="D52">
            <v>8312.85</v>
          </cell>
        </row>
        <row r="53">
          <cell r="D53">
            <v>6424.95</v>
          </cell>
        </row>
        <row r="54">
          <cell r="D54">
            <v>22005.200000000001</v>
          </cell>
        </row>
        <row r="55">
          <cell r="D55">
            <v>26079.7</v>
          </cell>
        </row>
        <row r="56">
          <cell r="D56">
            <v>7029.5999999999995</v>
          </cell>
        </row>
        <row r="57">
          <cell r="D57">
            <v>9696.15</v>
          </cell>
        </row>
        <row r="58">
          <cell r="D58">
            <v>7029.5999999999995</v>
          </cell>
        </row>
        <row r="59">
          <cell r="D59">
            <v>9696.15</v>
          </cell>
        </row>
        <row r="60">
          <cell r="D60">
            <v>6424.95</v>
          </cell>
        </row>
        <row r="61">
          <cell r="D61">
            <v>6961.45</v>
          </cell>
        </row>
        <row r="62">
          <cell r="D62">
            <v>7029.5999999999995</v>
          </cell>
        </row>
        <row r="63">
          <cell r="D63">
            <v>7029.5999999999995</v>
          </cell>
        </row>
        <row r="64">
          <cell r="D64">
            <v>6500.3499999999995</v>
          </cell>
        </row>
        <row r="65">
          <cell r="D65">
            <v>6500.3499999999995</v>
          </cell>
        </row>
        <row r="66">
          <cell r="D66">
            <v>8398.4</v>
          </cell>
        </row>
        <row r="67">
          <cell r="D67">
            <v>6426.4</v>
          </cell>
        </row>
        <row r="68">
          <cell r="D68">
            <v>8312.85</v>
          </cell>
        </row>
        <row r="71">
          <cell r="D71">
            <v>325.07499999999999</v>
          </cell>
        </row>
        <row r="72">
          <cell r="D72">
            <v>374.375</v>
          </cell>
        </row>
        <row r="75">
          <cell r="D75">
            <v>433.55</v>
          </cell>
        </row>
        <row r="76">
          <cell r="D76">
            <v>723.55</v>
          </cell>
        </row>
        <row r="77">
          <cell r="D77">
            <v>1539.0875000000001</v>
          </cell>
        </row>
        <row r="78">
          <cell r="D78">
            <v>1539.0875000000001</v>
          </cell>
        </row>
        <row r="81">
          <cell r="D81">
            <v>362.5</v>
          </cell>
        </row>
        <row r="82">
          <cell r="D82">
            <v>1015</v>
          </cell>
        </row>
        <row r="85">
          <cell r="D85">
            <v>361.05</v>
          </cell>
        </row>
        <row r="86">
          <cell r="D86">
            <v>361.05</v>
          </cell>
        </row>
        <row r="89">
          <cell r="D89">
            <v>1013.55</v>
          </cell>
        </row>
        <row r="90">
          <cell r="D90">
            <v>7577.7</v>
          </cell>
        </row>
        <row r="91">
          <cell r="D91">
            <v>2391.0499999999997</v>
          </cell>
        </row>
        <row r="92">
          <cell r="D92">
            <v>5612.95</v>
          </cell>
        </row>
        <row r="93">
          <cell r="B93" t="str">
            <v>Dell</v>
          </cell>
          <cell r="D93">
            <v>9791.85</v>
          </cell>
        </row>
        <row r="96">
          <cell r="B96" t="str">
            <v>CCIT</v>
          </cell>
          <cell r="D96">
            <v>40041.75</v>
          </cell>
        </row>
        <row r="97">
          <cell r="B97" t="str">
            <v>CCIT</v>
          </cell>
          <cell r="D97">
            <v>7490.7</v>
          </cell>
        </row>
        <row r="98">
          <cell r="B98" t="str">
            <v>CCIT</v>
          </cell>
          <cell r="D98">
            <v>8965.35</v>
          </cell>
        </row>
        <row r="101">
          <cell r="B101" t="str">
            <v>CCIT</v>
          </cell>
          <cell r="D101">
            <v>4901</v>
          </cell>
        </row>
        <row r="102">
          <cell r="B102" t="str">
            <v>CDW</v>
          </cell>
          <cell r="D102">
            <v>317.55</v>
          </cell>
        </row>
        <row r="103">
          <cell r="B103" t="str">
            <v>CDW</v>
          </cell>
          <cell r="D103">
            <v>26.099999999999998</v>
          </cell>
        </row>
        <row r="106">
          <cell r="B106" t="str">
            <v>CCIT</v>
          </cell>
          <cell r="D106">
            <v>30645.75</v>
          </cell>
        </row>
        <row r="107">
          <cell r="B107" t="str">
            <v>CCIT</v>
          </cell>
          <cell r="D107">
            <v>26495.85</v>
          </cell>
        </row>
        <row r="108">
          <cell r="B108" t="str">
            <v>CCIT</v>
          </cell>
          <cell r="D108">
            <v>18361.349999999999</v>
          </cell>
        </row>
        <row r="109">
          <cell r="B109" t="str">
            <v>CCIT</v>
          </cell>
          <cell r="D109">
            <v>9958.6</v>
          </cell>
        </row>
        <row r="114">
          <cell r="B114" t="str">
            <v>Alliance Systems</v>
          </cell>
          <cell r="D114">
            <v>17915.924999999999</v>
          </cell>
        </row>
        <row r="115">
          <cell r="B115" t="str">
            <v>Alliance Systems</v>
          </cell>
          <cell r="D115">
            <v>49175.299999999996</v>
          </cell>
        </row>
        <row r="118">
          <cell r="B118" t="str">
            <v>Alliance Systems</v>
          </cell>
          <cell r="D118">
            <v>6925.1125000000002</v>
          </cell>
        </row>
        <row r="122">
          <cell r="B122" t="str">
            <v>Dell</v>
          </cell>
          <cell r="D122">
            <v>1822.6499999999999</v>
          </cell>
        </row>
        <row r="123">
          <cell r="B123" t="str">
            <v>Dell</v>
          </cell>
          <cell r="D123">
            <v>2032.8999999999999</v>
          </cell>
        </row>
        <row r="124">
          <cell r="B124" t="str">
            <v>Dell</v>
          </cell>
          <cell r="D124">
            <v>740.94999999999993</v>
          </cell>
        </row>
        <row r="127">
          <cell r="B127" t="str">
            <v>FDGS</v>
          </cell>
          <cell r="D127">
            <v>1567.45</v>
          </cell>
        </row>
        <row r="128">
          <cell r="B128" t="str">
            <v>FDGS</v>
          </cell>
          <cell r="D128">
            <v>52015.487499999996</v>
          </cell>
        </row>
        <row r="129">
          <cell r="B129" t="str">
            <v>FDGS</v>
          </cell>
          <cell r="D129">
            <v>82030.487500000003</v>
          </cell>
        </row>
        <row r="130">
          <cell r="B130" t="str">
            <v>FDGS</v>
          </cell>
          <cell r="D130">
            <v>1567.45</v>
          </cell>
        </row>
        <row r="131">
          <cell r="B131" t="str">
            <v>FDGS</v>
          </cell>
          <cell r="D131">
            <v>12692.2125</v>
          </cell>
        </row>
        <row r="132">
          <cell r="B132" t="str">
            <v>FDGS</v>
          </cell>
          <cell r="D132">
            <v>19462.262500000001</v>
          </cell>
        </row>
        <row r="133">
          <cell r="B133" t="str">
            <v>FDGS</v>
          </cell>
          <cell r="D133">
            <v>2517.1999999999998</v>
          </cell>
        </row>
        <row r="134">
          <cell r="B134" t="str">
            <v>FDGS</v>
          </cell>
          <cell r="D134">
            <v>1712.45</v>
          </cell>
        </row>
        <row r="135">
          <cell r="B135" t="str">
            <v>FDGS</v>
          </cell>
          <cell r="D135">
            <v>1712.45</v>
          </cell>
        </row>
        <row r="136">
          <cell r="B136" t="str">
            <v>FDGS</v>
          </cell>
          <cell r="D136">
            <v>1567.45</v>
          </cell>
        </row>
        <row r="137">
          <cell r="B137" t="str">
            <v>FDGS</v>
          </cell>
          <cell r="D137">
            <v>1567.45</v>
          </cell>
        </row>
        <row r="138">
          <cell r="B138" t="str">
            <v>FDGS</v>
          </cell>
          <cell r="D138">
            <v>3683</v>
          </cell>
        </row>
        <row r="139">
          <cell r="B139" t="str">
            <v>FDGS</v>
          </cell>
          <cell r="D139">
            <v>2711.5</v>
          </cell>
        </row>
        <row r="140">
          <cell r="B140" t="str">
            <v>FDGS</v>
          </cell>
          <cell r="D140">
            <v>4938.7</v>
          </cell>
        </row>
        <row r="141">
          <cell r="B141" t="str">
            <v>FDGS</v>
          </cell>
          <cell r="D141">
            <v>10911.25</v>
          </cell>
        </row>
        <row r="142">
          <cell r="B142" t="str">
            <v>FDGS</v>
          </cell>
          <cell r="D142">
            <v>3422</v>
          </cell>
        </row>
        <row r="143">
          <cell r="B143" t="str">
            <v>FDGS</v>
          </cell>
          <cell r="D143">
            <v>18101.8</v>
          </cell>
        </row>
        <row r="144">
          <cell r="B144" t="str">
            <v>FDGS</v>
          </cell>
          <cell r="D144">
            <v>3667.0499999999997</v>
          </cell>
        </row>
        <row r="145">
          <cell r="B145" t="str">
            <v>FDGS</v>
          </cell>
          <cell r="D145">
            <v>1712.45</v>
          </cell>
        </row>
        <row r="146">
          <cell r="B146" t="str">
            <v>FDGS</v>
          </cell>
          <cell r="D146">
            <v>1323.85</v>
          </cell>
        </row>
        <row r="149">
          <cell r="B149" t="str">
            <v>FDGS</v>
          </cell>
          <cell r="D149">
            <v>813.44999999999993</v>
          </cell>
        </row>
        <row r="150">
          <cell r="B150" t="str">
            <v>FDGS</v>
          </cell>
          <cell r="D150">
            <v>81.2</v>
          </cell>
        </row>
        <row r="151">
          <cell r="B151" t="str">
            <v>FDGS</v>
          </cell>
          <cell r="D151">
            <v>81.2</v>
          </cell>
        </row>
        <row r="152">
          <cell r="B152" t="str">
            <v>FDGS</v>
          </cell>
          <cell r="D152">
            <v>40.6</v>
          </cell>
        </row>
        <row r="153">
          <cell r="B153" t="str">
            <v>FDGS</v>
          </cell>
          <cell r="D153">
            <v>40.6</v>
          </cell>
        </row>
        <row r="154">
          <cell r="B154" t="str">
            <v>FDGS</v>
          </cell>
          <cell r="D154">
            <v>40.6</v>
          </cell>
        </row>
        <row r="155">
          <cell r="B155" t="str">
            <v>FDGS</v>
          </cell>
          <cell r="D155">
            <v>40.6</v>
          </cell>
        </row>
        <row r="156">
          <cell r="B156" t="str">
            <v>FDGS</v>
          </cell>
          <cell r="D156">
            <v>40.6</v>
          </cell>
        </row>
        <row r="157">
          <cell r="B157" t="str">
            <v>FDGS</v>
          </cell>
          <cell r="D157">
            <v>40.6</v>
          </cell>
        </row>
        <row r="158">
          <cell r="B158" t="str">
            <v>FDGS</v>
          </cell>
          <cell r="D158">
            <v>40.6</v>
          </cell>
        </row>
        <row r="159">
          <cell r="B159" t="str">
            <v>FDGS</v>
          </cell>
          <cell r="D159">
            <v>40.6</v>
          </cell>
        </row>
        <row r="160">
          <cell r="B160" t="str">
            <v>FDGS</v>
          </cell>
          <cell r="D160">
            <v>2156.15</v>
          </cell>
        </row>
        <row r="161">
          <cell r="B161" t="str">
            <v>FDGS</v>
          </cell>
          <cell r="D161">
            <v>40.6</v>
          </cell>
        </row>
        <row r="162">
          <cell r="B162" t="str">
            <v>FDGS</v>
          </cell>
          <cell r="D162">
            <v>40.6</v>
          </cell>
        </row>
        <row r="163">
          <cell r="B163" t="str">
            <v>FDGS</v>
          </cell>
          <cell r="D163">
            <v>40.6</v>
          </cell>
        </row>
        <row r="164">
          <cell r="B164" t="str">
            <v>FDGS</v>
          </cell>
          <cell r="D164">
            <v>40.6</v>
          </cell>
        </row>
        <row r="165">
          <cell r="B165" t="str">
            <v>FDGS</v>
          </cell>
          <cell r="D165">
            <v>40.6</v>
          </cell>
        </row>
        <row r="166">
          <cell r="B166" t="str">
            <v>FDGS</v>
          </cell>
          <cell r="D166">
            <v>40.6</v>
          </cell>
        </row>
        <row r="170">
          <cell r="B170" t="str">
            <v>NXI Communications Christine Jennings christine@nextalk.com (801) 274-6001 x1018</v>
          </cell>
          <cell r="D170">
            <v>252.29999999999998</v>
          </cell>
        </row>
        <row r="171">
          <cell r="B171" t="str">
            <v>NXI Communications Christine Jennings christine@nextalk.com (801) 274-6001 x1018</v>
          </cell>
          <cell r="D171">
            <v>295.8</v>
          </cell>
        </row>
        <row r="172">
          <cell r="B172" t="str">
            <v>NXI Communications Christine Jennings christine@nextalk.com (801) 274-6001 x1018</v>
          </cell>
          <cell r="D172">
            <v>200.1</v>
          </cell>
        </row>
        <row r="176">
          <cell r="B176" t="str">
            <v>CCIT</v>
          </cell>
          <cell r="D176">
            <v>413.25</v>
          </cell>
        </row>
        <row r="177">
          <cell r="B177" t="str">
            <v>CCIT</v>
          </cell>
          <cell r="D177">
            <v>4342.75</v>
          </cell>
        </row>
        <row r="181">
          <cell r="B181" t="str">
            <v>Alliance</v>
          </cell>
          <cell r="D181">
            <v>10658</v>
          </cell>
        </row>
        <row r="182">
          <cell r="B182" t="str">
            <v>Alliance</v>
          </cell>
          <cell r="D182">
            <v>7250</v>
          </cell>
        </row>
        <row r="183">
          <cell r="B183" t="str">
            <v>Alliance</v>
          </cell>
          <cell r="D183">
            <v>8557.375</v>
          </cell>
        </row>
        <row r="184">
          <cell r="B184" t="str">
            <v>Alliance</v>
          </cell>
          <cell r="D184">
            <v>3870</v>
          </cell>
        </row>
        <row r="185">
          <cell r="B185" t="str">
            <v>Alliance</v>
          </cell>
          <cell r="D185">
            <v>428</v>
          </cell>
        </row>
        <row r="186">
          <cell r="B186" t="str">
            <v>Alliance</v>
          </cell>
          <cell r="D186">
            <v>1540</v>
          </cell>
        </row>
        <row r="187">
          <cell r="B187" t="str">
            <v>Arrow</v>
          </cell>
          <cell r="D187">
            <v>178</v>
          </cell>
        </row>
        <row r="188">
          <cell r="B188" t="str">
            <v>Alliance</v>
          </cell>
          <cell r="D188">
            <v>248</v>
          </cell>
        </row>
        <row r="189">
          <cell r="B189" t="str">
            <v>Alliance</v>
          </cell>
          <cell r="D189">
            <v>4860</v>
          </cell>
        </row>
        <row r="193">
          <cell r="B193" t="str">
            <v>Alliance Systems</v>
          </cell>
          <cell r="D193">
            <v>9950</v>
          </cell>
        </row>
        <row r="194">
          <cell r="B194" t="str">
            <v>Alliance Systems</v>
          </cell>
          <cell r="D194">
            <v>6830</v>
          </cell>
        </row>
        <row r="195">
          <cell r="B195" t="str">
            <v>Bell Industries</v>
          </cell>
          <cell r="D195">
            <v>3716.625</v>
          </cell>
        </row>
        <row r="196">
          <cell r="B196" t="str">
            <v>Alliance Systems</v>
          </cell>
          <cell r="D196">
            <v>800</v>
          </cell>
        </row>
        <row r="197">
          <cell r="B197" t="str">
            <v>Bell Industries</v>
          </cell>
          <cell r="D197">
            <v>4768.5</v>
          </cell>
        </row>
        <row r="200">
          <cell r="B200" t="str">
            <v>Alliance</v>
          </cell>
          <cell r="D200">
            <v>9420.125</v>
          </cell>
        </row>
        <row r="201">
          <cell r="B201" t="str">
            <v>Alliance</v>
          </cell>
          <cell r="D201">
            <v>6802.125</v>
          </cell>
        </row>
        <row r="204">
          <cell r="B204" t="str">
            <v>Alliance</v>
          </cell>
          <cell r="D204">
            <v>3472.75</v>
          </cell>
        </row>
        <row r="205">
          <cell r="B205" t="str">
            <v>Alliance</v>
          </cell>
          <cell r="D205">
            <v>4632.75</v>
          </cell>
        </row>
        <row r="206">
          <cell r="B206" t="str">
            <v>Alliance</v>
          </cell>
          <cell r="D206">
            <v>297.25</v>
          </cell>
        </row>
        <row r="209">
          <cell r="B209" t="str">
            <v>Alliance</v>
          </cell>
          <cell r="D209">
            <v>6480</v>
          </cell>
        </row>
        <row r="210">
          <cell r="B210" t="str">
            <v>Alliance</v>
          </cell>
          <cell r="D210">
            <v>11040</v>
          </cell>
        </row>
        <row r="211">
          <cell r="B211" t="str">
            <v>Alliance</v>
          </cell>
          <cell r="D211">
            <v>18240</v>
          </cell>
        </row>
        <row r="214">
          <cell r="B214" t="str">
            <v>Alliance</v>
          </cell>
          <cell r="D214">
            <v>4636</v>
          </cell>
        </row>
        <row r="215">
          <cell r="B215" t="str">
            <v>Alliance</v>
          </cell>
          <cell r="D215">
            <v>5192</v>
          </cell>
        </row>
        <row r="216">
          <cell r="B216" t="str">
            <v>Alliance</v>
          </cell>
          <cell r="D216">
            <v>6670</v>
          </cell>
        </row>
        <row r="217">
          <cell r="B217" t="str">
            <v>Alliance</v>
          </cell>
          <cell r="D217">
            <v>430</v>
          </cell>
        </row>
        <row r="218">
          <cell r="B218" t="str">
            <v>Alliance</v>
          </cell>
          <cell r="D218">
            <v>29569.375</v>
          </cell>
        </row>
        <row r="219">
          <cell r="B219" t="str">
            <v>Alliance</v>
          </cell>
          <cell r="D219">
            <v>26190</v>
          </cell>
        </row>
        <row r="220">
          <cell r="B220" t="str">
            <v>CygCom</v>
          </cell>
          <cell r="D220">
            <v>84</v>
          </cell>
        </row>
        <row r="221">
          <cell r="B221" t="str">
            <v>Alliance</v>
          </cell>
          <cell r="D221">
            <v>455.8125</v>
          </cell>
        </row>
        <row r="224">
          <cell r="B224" t="str">
            <v>Alliance</v>
          </cell>
          <cell r="D224">
            <v>3490</v>
          </cell>
        </row>
        <row r="225">
          <cell r="B225" t="str">
            <v>Alliance</v>
          </cell>
          <cell r="D225">
            <v>6280</v>
          </cell>
        </row>
        <row r="228">
          <cell r="B228" t="str">
            <v>Alliance</v>
          </cell>
          <cell r="D228">
            <v>16430</v>
          </cell>
        </row>
        <row r="231">
          <cell r="B231" t="str">
            <v>Alliance</v>
          </cell>
          <cell r="D231">
            <v>3100</v>
          </cell>
        </row>
        <row r="232">
          <cell r="B232" t="str">
            <v>Alliance</v>
          </cell>
          <cell r="D232">
            <v>0</v>
          </cell>
        </row>
        <row r="233">
          <cell r="B233" t="str">
            <v>Alliance</v>
          </cell>
          <cell r="D233">
            <v>970</v>
          </cell>
        </row>
        <row r="234">
          <cell r="B234" t="str">
            <v>Alliance</v>
          </cell>
          <cell r="D234">
            <v>360</v>
          </cell>
        </row>
        <row r="235">
          <cell r="B235" t="str">
            <v>Alliance</v>
          </cell>
          <cell r="D235">
            <v>360</v>
          </cell>
        </row>
        <row r="236">
          <cell r="A236" t="str">
            <v>DAT0180</v>
          </cell>
          <cell r="B236" t="str">
            <v>Alliance</v>
          </cell>
          <cell r="D236">
            <v>1390</v>
          </cell>
        </row>
        <row r="237">
          <cell r="A237" t="str">
            <v>DAT0150</v>
          </cell>
          <cell r="B237" t="str">
            <v>Alliance</v>
          </cell>
          <cell r="D237">
            <v>790</v>
          </cell>
        </row>
        <row r="238">
          <cell r="A238" t="str">
            <v>CAB8110</v>
          </cell>
          <cell r="B238" t="str">
            <v>Alliance</v>
          </cell>
          <cell r="D238">
            <v>40</v>
          </cell>
        </row>
        <row r="239">
          <cell r="A239" t="str">
            <v>CAB8108</v>
          </cell>
          <cell r="B239" t="str">
            <v>Alliance</v>
          </cell>
          <cell r="D239">
            <v>40</v>
          </cell>
        </row>
        <row r="240">
          <cell r="A240" t="str">
            <v>CAB8107</v>
          </cell>
          <cell r="B240" t="str">
            <v>Alliance</v>
          </cell>
          <cell r="D240">
            <v>20</v>
          </cell>
        </row>
        <row r="241">
          <cell r="A241" t="str">
            <v>CAB8105</v>
          </cell>
          <cell r="B241" t="str">
            <v>Alliance</v>
          </cell>
          <cell r="D241">
            <v>60</v>
          </cell>
        </row>
        <row r="242">
          <cell r="A242" t="str">
            <v>CAB8103</v>
          </cell>
          <cell r="B242" t="str">
            <v>Alliance</v>
          </cell>
          <cell r="D242">
            <v>110</v>
          </cell>
        </row>
        <row r="243">
          <cell r="A243" t="str">
            <v>CAB8102</v>
          </cell>
          <cell r="B243" t="str">
            <v>Alliance</v>
          </cell>
          <cell r="D243">
            <v>60</v>
          </cell>
        </row>
        <row r="244">
          <cell r="A244" t="str">
            <v>CAB0395</v>
          </cell>
          <cell r="B244" t="str">
            <v>Alliance</v>
          </cell>
          <cell r="D244">
            <v>20</v>
          </cell>
        </row>
        <row r="246">
          <cell r="A246" t="str">
            <v>Intel / Dialogic NetMerge (CTConnect)</v>
          </cell>
        </row>
        <row r="247">
          <cell r="A247" t="str">
            <v>CTCONNECT-L</v>
          </cell>
          <cell r="B247" t="str">
            <v>Paracon</v>
          </cell>
          <cell r="D247">
            <v>4750</v>
          </cell>
        </row>
        <row r="248">
          <cell r="A248" t="str">
            <v>CTCONNECT-H</v>
          </cell>
          <cell r="B248" t="str">
            <v>Paracon</v>
          </cell>
          <cell r="D248">
            <v>14230</v>
          </cell>
        </row>
        <row r="249">
          <cell r="A249" t="str">
            <v>CTCONNECT-E</v>
          </cell>
          <cell r="B249" t="str">
            <v>Paracon</v>
          </cell>
          <cell r="D249">
            <v>28450</v>
          </cell>
        </row>
        <row r="250">
          <cell r="A250" t="str">
            <v>CTCONNECT-U</v>
          </cell>
          <cell r="B250" t="str">
            <v>Paracon</v>
          </cell>
          <cell r="D250">
            <v>2578</v>
          </cell>
        </row>
        <row r="251">
          <cell r="A251" t="str">
            <v>CTCONNECT-U-P</v>
          </cell>
          <cell r="B251" t="str">
            <v>Paracon</v>
          </cell>
          <cell r="D251">
            <v>182</v>
          </cell>
        </row>
        <row r="252">
          <cell r="A252" t="str">
            <v xml:space="preserve">TELEVANTAGE </v>
          </cell>
        </row>
        <row r="253">
          <cell r="A253" t="str">
            <v>TeleVantage Servers</v>
          </cell>
        </row>
        <row r="254">
          <cell r="A254" t="str">
            <v>SERVER-TV-750</v>
          </cell>
          <cell r="B254" t="str">
            <v>Cygcom</v>
          </cell>
          <cell r="D254">
            <v>1788.053928</v>
          </cell>
        </row>
        <row r="255">
          <cell r="A255" t="str">
            <v>TV-MEM-1GB</v>
          </cell>
          <cell r="B255" t="str">
            <v>Cygcom</v>
          </cell>
          <cell r="D255">
            <v>265.12523759999999</v>
          </cell>
        </row>
        <row r="256">
          <cell r="A256" t="str">
            <v>TV-DRIVE</v>
          </cell>
          <cell r="B256" t="str">
            <v>Cygcom</v>
          </cell>
          <cell r="D256">
            <v>121.7726382</v>
          </cell>
        </row>
        <row r="257">
          <cell r="A257" t="str">
            <v>TV-RAID</v>
          </cell>
          <cell r="B257" t="str">
            <v>Cygcom</v>
          </cell>
          <cell r="D257">
            <v>115.60693500000001</v>
          </cell>
        </row>
        <row r="258">
          <cell r="A258" t="str">
            <v>TV-PS</v>
          </cell>
          <cell r="B258" t="str">
            <v>Cygcom</v>
          </cell>
          <cell r="D258">
            <v>406.93641120000001</v>
          </cell>
        </row>
        <row r="259">
          <cell r="A259" t="str">
            <v>TV-MODEM</v>
          </cell>
          <cell r="B259" t="str">
            <v>Cygcom</v>
          </cell>
          <cell r="D259">
            <v>106.3583802</v>
          </cell>
        </row>
        <row r="260">
          <cell r="A260" t="str">
            <v>TV-WIN2003-5</v>
          </cell>
          <cell r="B260" t="str">
            <v>Cygcom</v>
          </cell>
          <cell r="D260">
            <v>1185.3564402</v>
          </cell>
        </row>
        <row r="262">
          <cell r="A262" t="str">
            <v>TeleVantage Software Licenses</v>
          </cell>
        </row>
        <row r="263">
          <cell r="A263" t="str">
            <v>TV Server Software Licenses</v>
          </cell>
        </row>
        <row r="264">
          <cell r="A264" t="str">
            <v>TV-SL</v>
          </cell>
          <cell r="B264" t="str">
            <v>Cygcom</v>
          </cell>
          <cell r="D264">
            <v>184.97109600000002</v>
          </cell>
        </row>
        <row r="265">
          <cell r="A265" t="str">
            <v>TV-SMK</v>
          </cell>
          <cell r="B265" t="str">
            <v>Cygcom</v>
          </cell>
          <cell r="D265">
            <v>75.529864200000006</v>
          </cell>
        </row>
        <row r="266">
          <cell r="A266" t="str">
            <v>TV-MCD</v>
          </cell>
          <cell r="B266" t="str">
            <v>Cygcom</v>
          </cell>
          <cell r="D266">
            <v>15.414258</v>
          </cell>
        </row>
        <row r="267">
          <cell r="A267" t="str">
            <v>TV-PPDKO</v>
          </cell>
          <cell r="B267" t="str">
            <v>Cygcom</v>
          </cell>
          <cell r="D267">
            <v>73.988438400000007</v>
          </cell>
        </row>
        <row r="268">
          <cell r="A268" t="str">
            <v>TV-USB-P</v>
          </cell>
          <cell r="B268" t="str">
            <v>Cygcom</v>
          </cell>
          <cell r="D268">
            <v>73.988438400000007</v>
          </cell>
        </row>
        <row r="269">
          <cell r="A269" t="str">
            <v>TV Telephone Network Trunk Licenses</v>
          </cell>
        </row>
        <row r="270">
          <cell r="A270" t="str">
            <v>TV-T-1</v>
          </cell>
          <cell r="B270" t="str">
            <v>Cygcom</v>
          </cell>
          <cell r="D270">
            <v>188.5</v>
          </cell>
        </row>
        <row r="271">
          <cell r="A271" t="str">
            <v>TV-T-4</v>
          </cell>
          <cell r="B271" t="str">
            <v>Cygcom</v>
          </cell>
          <cell r="D271">
            <v>752.55</v>
          </cell>
        </row>
        <row r="272">
          <cell r="B272" t="str">
            <v>Cygcom</v>
          </cell>
          <cell r="D272">
            <v>1505.1</v>
          </cell>
        </row>
        <row r="273">
          <cell r="B273" t="str">
            <v>Cygcom</v>
          </cell>
          <cell r="D273">
            <v>4326.8</v>
          </cell>
        </row>
        <row r="274">
          <cell r="B274" t="str">
            <v>Cygcom</v>
          </cell>
          <cell r="D274">
            <v>5643.4</v>
          </cell>
        </row>
        <row r="276">
          <cell r="B276" t="str">
            <v>Cygcom</v>
          </cell>
          <cell r="D276">
            <v>236.35</v>
          </cell>
        </row>
        <row r="277">
          <cell r="B277" t="str">
            <v>Cygcom</v>
          </cell>
          <cell r="D277">
            <v>941.05</v>
          </cell>
        </row>
        <row r="278">
          <cell r="B278" t="str">
            <v>Cygcom</v>
          </cell>
          <cell r="D278">
            <v>3527.85</v>
          </cell>
        </row>
        <row r="280">
          <cell r="B280" t="str">
            <v>Cygcom</v>
          </cell>
          <cell r="D280">
            <v>94.25</v>
          </cell>
        </row>
        <row r="281">
          <cell r="B281" t="str">
            <v>Cygcom</v>
          </cell>
          <cell r="D281">
            <v>752.55</v>
          </cell>
        </row>
        <row r="282">
          <cell r="B282" t="str">
            <v>Cygcom</v>
          </cell>
          <cell r="D282">
            <v>2257.65</v>
          </cell>
        </row>
        <row r="284">
          <cell r="B284" t="str">
            <v>Cygcom</v>
          </cell>
          <cell r="D284">
            <v>94.25</v>
          </cell>
        </row>
        <row r="285">
          <cell r="B285" t="str">
            <v>Cygcom</v>
          </cell>
          <cell r="D285">
            <v>752.55</v>
          </cell>
        </row>
        <row r="286">
          <cell r="B286" t="str">
            <v>Cygcom</v>
          </cell>
          <cell r="D286">
            <v>2257.65</v>
          </cell>
        </row>
        <row r="288">
          <cell r="B288" t="str">
            <v>Cygcom</v>
          </cell>
          <cell r="D288">
            <v>236.35</v>
          </cell>
        </row>
        <row r="289">
          <cell r="B289" t="str">
            <v>Cygcom</v>
          </cell>
          <cell r="D289">
            <v>941.05</v>
          </cell>
        </row>
        <row r="290">
          <cell r="B290" t="str">
            <v>Cygcom</v>
          </cell>
          <cell r="D290">
            <v>4703.8</v>
          </cell>
        </row>
        <row r="291">
          <cell r="B291" t="str">
            <v>Cygcom</v>
          </cell>
          <cell r="D291">
            <v>941.05</v>
          </cell>
        </row>
        <row r="293">
          <cell r="B293" t="str">
            <v>Cygcom</v>
          </cell>
          <cell r="D293">
            <v>1647.2</v>
          </cell>
        </row>
        <row r="294">
          <cell r="B294" t="str">
            <v>Cygcom</v>
          </cell>
          <cell r="D294">
            <v>2351.9</v>
          </cell>
        </row>
        <row r="295">
          <cell r="B295" t="str">
            <v>Cygcom</v>
          </cell>
          <cell r="D295">
            <v>706.15</v>
          </cell>
        </row>
        <row r="296">
          <cell r="B296" t="str">
            <v>Cygcom</v>
          </cell>
          <cell r="D296">
            <v>941.05</v>
          </cell>
        </row>
        <row r="297">
          <cell r="B297" t="str">
            <v>Cygcom</v>
          </cell>
          <cell r="D297">
            <v>2351.9</v>
          </cell>
        </row>
        <row r="299">
          <cell r="B299" t="str">
            <v>Cygcom</v>
          </cell>
          <cell r="D299">
            <v>739.5</v>
          </cell>
        </row>
        <row r="300">
          <cell r="B300" t="str">
            <v>Cygcom</v>
          </cell>
          <cell r="D300">
            <v>121.8</v>
          </cell>
        </row>
        <row r="301">
          <cell r="B301" t="str">
            <v>Cygcom</v>
          </cell>
          <cell r="D301">
            <v>24.65</v>
          </cell>
        </row>
        <row r="305">
          <cell r="B305" t="str">
            <v>Nuance</v>
          </cell>
          <cell r="D305">
            <v>2200</v>
          </cell>
        </row>
        <row r="306">
          <cell r="B306" t="str">
            <v>Nuance</v>
          </cell>
          <cell r="D306">
            <v>4840</v>
          </cell>
        </row>
        <row r="307">
          <cell r="B307" t="str">
            <v>Nuance</v>
          </cell>
          <cell r="D307">
            <v>9350</v>
          </cell>
        </row>
        <row r="308">
          <cell r="B308" t="str">
            <v>Nuance</v>
          </cell>
          <cell r="D308">
            <v>14520.000000000002</v>
          </cell>
        </row>
        <row r="309">
          <cell r="B309" t="str">
            <v>Nuance</v>
          </cell>
          <cell r="D309">
            <v>440</v>
          </cell>
        </row>
        <row r="310">
          <cell r="B310" t="str">
            <v>Nuance</v>
          </cell>
          <cell r="D310">
            <v>968</v>
          </cell>
        </row>
        <row r="311">
          <cell r="B311" t="str">
            <v>Nuance</v>
          </cell>
          <cell r="D311">
            <v>1870</v>
          </cell>
        </row>
        <row r="312">
          <cell r="B312" t="str">
            <v>Nuance</v>
          </cell>
          <cell r="D312">
            <v>2904.0000000000005</v>
          </cell>
        </row>
        <row r="313">
          <cell r="B313" t="str">
            <v>Nuance</v>
          </cell>
          <cell r="D313">
            <v>1500</v>
          </cell>
        </row>
        <row r="316">
          <cell r="B316" t="str">
            <v>Nuance</v>
          </cell>
          <cell r="D316">
            <v>1700</v>
          </cell>
        </row>
        <row r="317">
          <cell r="B317" t="str">
            <v>Nuance</v>
          </cell>
          <cell r="D317">
            <v>4250</v>
          </cell>
        </row>
        <row r="318">
          <cell r="B318" t="str">
            <v>Nuance</v>
          </cell>
          <cell r="D318">
            <v>9350</v>
          </cell>
        </row>
        <row r="319">
          <cell r="B319" t="str">
            <v>Nuance</v>
          </cell>
          <cell r="D319">
            <v>13600</v>
          </cell>
        </row>
        <row r="320">
          <cell r="B320" t="str">
            <v>Nuance</v>
          </cell>
          <cell r="D320">
            <v>340</v>
          </cell>
        </row>
        <row r="321">
          <cell r="B321" t="str">
            <v>Nuance</v>
          </cell>
          <cell r="D321">
            <v>850</v>
          </cell>
        </row>
        <row r="322">
          <cell r="B322" t="str">
            <v>Nuance</v>
          </cell>
          <cell r="D322">
            <v>1870</v>
          </cell>
        </row>
        <row r="323">
          <cell r="B323" t="str">
            <v>Nuance</v>
          </cell>
          <cell r="D323">
            <v>2720</v>
          </cell>
        </row>
        <row r="324">
          <cell r="B324" t="str">
            <v>Nuance</v>
          </cell>
          <cell r="D324">
            <v>680</v>
          </cell>
        </row>
        <row r="325">
          <cell r="B325" t="str">
            <v>Nuance</v>
          </cell>
          <cell r="D325">
            <v>1700</v>
          </cell>
        </row>
        <row r="326">
          <cell r="B326" t="str">
            <v>Nuance</v>
          </cell>
          <cell r="D326">
            <v>3740</v>
          </cell>
        </row>
        <row r="327">
          <cell r="B327" t="str">
            <v>Nuance</v>
          </cell>
          <cell r="D327">
            <v>5440</v>
          </cell>
        </row>
        <row r="328">
          <cell r="B328" t="str">
            <v>Nuance</v>
          </cell>
          <cell r="D328">
            <v>300</v>
          </cell>
        </row>
        <row r="330">
          <cell r="D330" t="str">
            <v>*****ALL VOICE REC AND TTS PRICING NEEDS TO BE VERIFIED WITH FLOYD BEFORE QUOTING&gt; PRICING IS IN FLUX WITH NUANCE?GENESYS AND FDC</v>
          </cell>
        </row>
        <row r="331">
          <cell r="B331" t="str">
            <v>Scan Soft / Nuance</v>
          </cell>
          <cell r="D331">
            <v>500</v>
          </cell>
        </row>
        <row r="332">
          <cell r="B332" t="str">
            <v>Scan Soft / Nuance</v>
          </cell>
          <cell r="D332">
            <v>1100</v>
          </cell>
        </row>
        <row r="333">
          <cell r="B333" t="str">
            <v>Scan Soft / Nuance</v>
          </cell>
          <cell r="D333">
            <v>1600</v>
          </cell>
        </row>
        <row r="334">
          <cell r="B334" t="str">
            <v>Scan Soft / Nuance</v>
          </cell>
          <cell r="D334">
            <v>2000</v>
          </cell>
        </row>
        <row r="336">
          <cell r="B336" t="str">
            <v>Scan Soft / Nuance</v>
          </cell>
          <cell r="D336">
            <v>100</v>
          </cell>
        </row>
        <row r="337">
          <cell r="B337" t="str">
            <v>Scan Soft / Nuance</v>
          </cell>
          <cell r="D337">
            <v>220</v>
          </cell>
        </row>
        <row r="338">
          <cell r="B338" t="str">
            <v>Scan Soft / Nuance</v>
          </cell>
          <cell r="D338">
            <v>320</v>
          </cell>
        </row>
        <row r="339">
          <cell r="B339" t="str">
            <v>Scan Soft / Nuance</v>
          </cell>
          <cell r="D339">
            <v>400</v>
          </cell>
        </row>
        <row r="341">
          <cell r="B341" t="str">
            <v>Scan Soft / Nuance</v>
          </cell>
          <cell r="D341">
            <v>995</v>
          </cell>
        </row>
        <row r="344">
          <cell r="B344" t="str">
            <v>Scan Soft / Nuance</v>
          </cell>
          <cell r="D344">
            <v>375</v>
          </cell>
        </row>
        <row r="345">
          <cell r="B345" t="str">
            <v>Scan Soft / Nuance</v>
          </cell>
          <cell r="D345">
            <v>825</v>
          </cell>
        </row>
        <row r="346">
          <cell r="B346" t="str">
            <v>Scan Soft / Nuance</v>
          </cell>
          <cell r="D346">
            <v>1200</v>
          </cell>
        </row>
        <row r="347">
          <cell r="B347" t="str">
            <v>Scan Soft / Nuance</v>
          </cell>
          <cell r="D347">
            <v>1500</v>
          </cell>
        </row>
        <row r="349">
          <cell r="B349" t="str">
            <v>Scan Soft / Nuance</v>
          </cell>
          <cell r="D349">
            <v>75</v>
          </cell>
        </row>
        <row r="350">
          <cell r="B350" t="str">
            <v>Scan Soft / Nuance</v>
          </cell>
          <cell r="D350">
            <v>165</v>
          </cell>
        </row>
        <row r="351">
          <cell r="B351" t="str">
            <v>Scan Soft / Nuance</v>
          </cell>
          <cell r="D351">
            <v>240</v>
          </cell>
        </row>
        <row r="352">
          <cell r="B352" t="str">
            <v>Scan Soft / Nuance</v>
          </cell>
          <cell r="D352">
            <v>300</v>
          </cell>
        </row>
        <row r="354">
          <cell r="B354" t="str">
            <v>Scan Soft / Nuance</v>
          </cell>
          <cell r="D354">
            <v>746.25</v>
          </cell>
        </row>
        <row r="357">
          <cell r="B357" t="str">
            <v>Fonix</v>
          </cell>
          <cell r="D357">
            <v>1800</v>
          </cell>
        </row>
        <row r="358">
          <cell r="B358" t="str">
            <v>Fonix</v>
          </cell>
          <cell r="D358">
            <v>5400</v>
          </cell>
        </row>
        <row r="361">
          <cell r="B361" t="str">
            <v>ScanSoft</v>
          </cell>
          <cell r="D361">
            <v>650</v>
          </cell>
        </row>
        <row r="363">
          <cell r="B363" t="str">
            <v>ScanSoft</v>
          </cell>
          <cell r="D363">
            <v>130</v>
          </cell>
        </row>
        <row r="366">
          <cell r="B366" t="str">
            <v>ScanSoft</v>
          </cell>
          <cell r="D366">
            <v>487.5</v>
          </cell>
        </row>
        <row r="368">
          <cell r="B368" t="str">
            <v>ScanSoft</v>
          </cell>
          <cell r="D368">
            <v>97.5</v>
          </cell>
        </row>
        <row r="371">
          <cell r="B371" t="str">
            <v>CCIT</v>
          </cell>
          <cell r="D371">
            <v>371.2</v>
          </cell>
        </row>
        <row r="372">
          <cell r="B372" t="str">
            <v>CCIT</v>
          </cell>
          <cell r="D372">
            <v>598.85</v>
          </cell>
        </row>
        <row r="373">
          <cell r="B373" t="str">
            <v>Polycom</v>
          </cell>
          <cell r="D373">
            <v>181.25</v>
          </cell>
        </row>
        <row r="374">
          <cell r="B374" t="str">
            <v>Polycom</v>
          </cell>
          <cell r="D374">
            <v>334.95</v>
          </cell>
        </row>
        <row r="375">
          <cell r="B375" t="str">
            <v>CCIT</v>
          </cell>
          <cell r="D375">
            <v>57.274999999999999</v>
          </cell>
        </row>
        <row r="376">
          <cell r="B376" t="str">
            <v>Comark</v>
          </cell>
          <cell r="D376">
            <v>188.5</v>
          </cell>
        </row>
        <row r="377">
          <cell r="D377">
            <v>185.6</v>
          </cell>
        </row>
        <row r="378">
          <cell r="D378">
            <v>108.75</v>
          </cell>
        </row>
        <row r="379">
          <cell r="B379" t="str">
            <v>Skutch Electronics</v>
          </cell>
          <cell r="D379">
            <v>71.05</v>
          </cell>
        </row>
        <row r="382">
          <cell r="B382" t="str">
            <v>Cygcom</v>
          </cell>
          <cell r="D382">
            <v>565.5</v>
          </cell>
        </row>
        <row r="383">
          <cell r="B383" t="str">
            <v>Cygcom</v>
          </cell>
          <cell r="D383">
            <v>159.5</v>
          </cell>
        </row>
        <row r="384">
          <cell r="B384" t="str">
            <v>Attachmate</v>
          </cell>
          <cell r="D384">
            <v>34.799999999999997</v>
          </cell>
        </row>
        <row r="385">
          <cell r="B385" t="str">
            <v>Attachmate</v>
          </cell>
          <cell r="D385">
            <v>263.89999999999998</v>
          </cell>
        </row>
        <row r="386">
          <cell r="B386" t="str">
            <v>Attachmate</v>
          </cell>
          <cell r="D386">
            <v>237.79999999999998</v>
          </cell>
        </row>
        <row r="387">
          <cell r="B387" t="str">
            <v>Attachmate</v>
          </cell>
          <cell r="D387">
            <v>197.2</v>
          </cell>
        </row>
        <row r="388">
          <cell r="B388" t="str">
            <v>Attachmate</v>
          </cell>
          <cell r="D388">
            <v>558.25</v>
          </cell>
        </row>
        <row r="389">
          <cell r="B389" t="str">
            <v>Attachmate</v>
          </cell>
          <cell r="D389">
            <v>580</v>
          </cell>
        </row>
        <row r="392">
          <cell r="B392" t="str">
            <v>Attachmate</v>
          </cell>
          <cell r="D392">
            <v>3115.5499999999997</v>
          </cell>
        </row>
        <row r="393">
          <cell r="B393" t="str">
            <v>Attachmate</v>
          </cell>
          <cell r="D393">
            <v>4024.7</v>
          </cell>
        </row>
        <row r="394">
          <cell r="B394" t="str">
            <v>Attachmate</v>
          </cell>
          <cell r="D394">
            <v>4024.7</v>
          </cell>
        </row>
        <row r="395">
          <cell r="B395" t="str">
            <v>Attachmate</v>
          </cell>
          <cell r="D395">
            <v>4024.7</v>
          </cell>
        </row>
        <row r="398">
          <cell r="B398" t="str">
            <v>CCIT</v>
          </cell>
          <cell r="D398">
            <v>506.05</v>
          </cell>
        </row>
        <row r="399">
          <cell r="B399" t="str">
            <v>CCIT</v>
          </cell>
          <cell r="D399">
            <v>336.4</v>
          </cell>
        </row>
        <row r="400">
          <cell r="B400" t="str">
            <v>CCIT</v>
          </cell>
          <cell r="D400">
            <v>336.4</v>
          </cell>
        </row>
        <row r="401">
          <cell r="D401">
            <v>717.75</v>
          </cell>
        </row>
        <row r="402">
          <cell r="D402">
            <v>624.94999999999993</v>
          </cell>
        </row>
        <row r="403">
          <cell r="D403">
            <v>604.65</v>
          </cell>
        </row>
        <row r="404">
          <cell r="D404">
            <v>296.43799999999999</v>
          </cell>
        </row>
        <row r="407">
          <cell r="D407">
            <v>3115.5499999999997</v>
          </cell>
        </row>
        <row r="408">
          <cell r="D408">
            <v>7536.9230769230762</v>
          </cell>
        </row>
        <row r="410">
          <cell r="D410">
            <v>1160</v>
          </cell>
        </row>
        <row r="413">
          <cell r="D413">
            <v>1639.95</v>
          </cell>
        </row>
        <row r="416">
          <cell r="D416">
            <v>1434</v>
          </cell>
        </row>
        <row r="417">
          <cell r="D417">
            <v>545</v>
          </cell>
        </row>
        <row r="418">
          <cell r="D418">
            <v>545</v>
          </cell>
        </row>
        <row r="419">
          <cell r="D419">
            <v>820</v>
          </cell>
        </row>
        <row r="421">
          <cell r="D421">
            <v>109</v>
          </cell>
        </row>
        <row r="423">
          <cell r="D423">
            <v>27187.5</v>
          </cell>
        </row>
        <row r="424">
          <cell r="D424">
            <v>9062.5</v>
          </cell>
        </row>
        <row r="425">
          <cell r="D425">
            <v>4531.25</v>
          </cell>
        </row>
        <row r="426">
          <cell r="D426">
            <v>6038.3509999999997</v>
          </cell>
        </row>
        <row r="427">
          <cell r="D427">
            <v>6517.75</v>
          </cell>
        </row>
        <row r="428">
          <cell r="D428">
            <v>1445</v>
          </cell>
        </row>
        <row r="429">
          <cell r="D429">
            <v>150</v>
          </cell>
        </row>
        <row r="430">
          <cell r="D430">
            <v>250</v>
          </cell>
        </row>
        <row r="431">
          <cell r="D431">
            <v>183</v>
          </cell>
        </row>
        <row r="432">
          <cell r="D432">
            <v>2500</v>
          </cell>
        </row>
        <row r="435">
          <cell r="D435">
            <v>2681.0499999999997</v>
          </cell>
        </row>
        <row r="436">
          <cell r="D436">
            <v>8260.6749999999993</v>
          </cell>
        </row>
        <row r="437">
          <cell r="D437">
            <v>2674.5249999999996</v>
          </cell>
        </row>
        <row r="440">
          <cell r="D440">
            <v>15.4125</v>
          </cell>
        </row>
        <row r="441">
          <cell r="D441">
            <v>8.6999999999999993</v>
          </cell>
        </row>
        <row r="442">
          <cell r="D442">
            <v>100.05</v>
          </cell>
        </row>
        <row r="443">
          <cell r="D443">
            <v>742.4</v>
          </cell>
        </row>
        <row r="444">
          <cell r="D444">
            <v>566.94999999999993</v>
          </cell>
        </row>
        <row r="445">
          <cell r="D445">
            <v>826.5</v>
          </cell>
        </row>
        <row r="446">
          <cell r="D446">
            <v>14753.75</v>
          </cell>
        </row>
        <row r="447">
          <cell r="D447">
            <v>9664.25</v>
          </cell>
        </row>
        <row r="448">
          <cell r="D448">
            <v>18632.5</v>
          </cell>
        </row>
        <row r="449">
          <cell r="D449">
            <v>210.25</v>
          </cell>
        </row>
        <row r="450">
          <cell r="D450">
            <v>44165.549999999996</v>
          </cell>
        </row>
        <row r="451">
          <cell r="D451">
            <v>3227.7</v>
          </cell>
        </row>
        <row r="452">
          <cell r="D452">
            <v>21014.85</v>
          </cell>
        </row>
        <row r="453">
          <cell r="D453">
            <v>4956.0999999999995</v>
          </cell>
        </row>
        <row r="454">
          <cell r="D454">
            <v>2472.25</v>
          </cell>
        </row>
        <row r="455">
          <cell r="D455">
            <v>3023.25</v>
          </cell>
        </row>
        <row r="456">
          <cell r="D456">
            <v>5046</v>
          </cell>
        </row>
        <row r="457">
          <cell r="D457">
            <v>253.75</v>
          </cell>
        </row>
        <row r="458">
          <cell r="D458">
            <v>2921.75</v>
          </cell>
        </row>
        <row r="461">
          <cell r="D461">
            <v>543.75</v>
          </cell>
        </row>
        <row r="462">
          <cell r="D462">
            <v>548.1</v>
          </cell>
        </row>
        <row r="463">
          <cell r="D463">
            <v>1013.55</v>
          </cell>
        </row>
        <row r="464">
          <cell r="D464">
            <v>2898.5499999999997</v>
          </cell>
        </row>
        <row r="465">
          <cell r="D465">
            <v>2275.0499999999997</v>
          </cell>
        </row>
        <row r="466">
          <cell r="D466">
            <v>18.849999999999998</v>
          </cell>
        </row>
        <row r="467">
          <cell r="D467">
            <v>36.25</v>
          </cell>
        </row>
        <row r="470">
          <cell r="D470">
            <v>134.85</v>
          </cell>
        </row>
        <row r="471">
          <cell r="D471">
            <v>510.4</v>
          </cell>
        </row>
        <row r="472">
          <cell r="D472">
            <v>597.4</v>
          </cell>
        </row>
        <row r="473">
          <cell r="D473">
            <v>2414.25</v>
          </cell>
        </row>
        <row r="474">
          <cell r="D474">
            <v>2521.5499999999997</v>
          </cell>
        </row>
        <row r="475">
          <cell r="D475">
            <v>1305</v>
          </cell>
        </row>
        <row r="476">
          <cell r="D476">
            <v>1771.8999999999999</v>
          </cell>
        </row>
        <row r="477">
          <cell r="D477">
            <v>988.9</v>
          </cell>
        </row>
        <row r="478">
          <cell r="D478">
            <v>2424.4</v>
          </cell>
        </row>
        <row r="479">
          <cell r="D479">
            <v>2842</v>
          </cell>
        </row>
        <row r="480">
          <cell r="D480">
            <v>4264.45</v>
          </cell>
        </row>
        <row r="483">
          <cell r="D483">
            <v>137.75</v>
          </cell>
        </row>
        <row r="486">
          <cell r="D486">
            <v>427.75</v>
          </cell>
        </row>
        <row r="487">
          <cell r="D487">
            <v>5243.2</v>
          </cell>
        </row>
        <row r="488">
          <cell r="D488">
            <v>1522.5</v>
          </cell>
        </row>
        <row r="489">
          <cell r="D489">
            <v>87.971500000000006</v>
          </cell>
        </row>
        <row r="490">
          <cell r="D490">
            <v>36250</v>
          </cell>
        </row>
        <row r="491">
          <cell r="D491">
            <v>772.85</v>
          </cell>
        </row>
        <row r="492">
          <cell r="D492">
            <v>772.85</v>
          </cell>
        </row>
        <row r="493">
          <cell r="D493">
            <v>11890</v>
          </cell>
        </row>
        <row r="494">
          <cell r="D494">
            <v>900.44999999999993</v>
          </cell>
        </row>
        <row r="495">
          <cell r="D495">
            <v>1663.1499999999999</v>
          </cell>
        </row>
        <row r="496">
          <cell r="D496">
            <v>2811.6374999999998</v>
          </cell>
        </row>
        <row r="497">
          <cell r="D497">
            <v>1302.0999999999999</v>
          </cell>
        </row>
        <row r="498">
          <cell r="D498">
            <v>124.7</v>
          </cell>
        </row>
        <row r="499">
          <cell r="D499">
            <v>34.799999999999997</v>
          </cell>
        </row>
        <row r="500">
          <cell r="D500">
            <v>885</v>
          </cell>
        </row>
        <row r="501">
          <cell r="D501">
            <v>578.54999999999995</v>
          </cell>
        </row>
        <row r="502">
          <cell r="D502">
            <v>311.75</v>
          </cell>
        </row>
        <row r="503">
          <cell r="D503">
            <v>723.55</v>
          </cell>
        </row>
        <row r="504">
          <cell r="D504">
            <v>166.75</v>
          </cell>
        </row>
        <row r="505">
          <cell r="D505">
            <v>1149.8499999999999</v>
          </cell>
        </row>
        <row r="506">
          <cell r="D506">
            <v>21.75</v>
          </cell>
        </row>
        <row r="507">
          <cell r="D507">
            <v>507.5</v>
          </cell>
        </row>
        <row r="508">
          <cell r="D508">
            <v>630.75</v>
          </cell>
        </row>
        <row r="509">
          <cell r="D509">
            <v>2463.5499999999997</v>
          </cell>
        </row>
        <row r="510">
          <cell r="D510">
            <v>25.375</v>
          </cell>
        </row>
        <row r="511">
          <cell r="D511">
            <v>282.75</v>
          </cell>
        </row>
        <row r="512">
          <cell r="D512">
            <v>1305</v>
          </cell>
        </row>
        <row r="513">
          <cell r="D513">
            <v>751.1</v>
          </cell>
        </row>
        <row r="514">
          <cell r="D514">
            <v>555.35</v>
          </cell>
        </row>
        <row r="515">
          <cell r="D515">
            <v>2233</v>
          </cell>
        </row>
        <row r="516">
          <cell r="D516">
            <v>1370.25</v>
          </cell>
        </row>
        <row r="517">
          <cell r="D517">
            <v>69.599999999999994</v>
          </cell>
        </row>
        <row r="518">
          <cell r="D518">
            <v>572.75</v>
          </cell>
        </row>
        <row r="519">
          <cell r="D519">
            <v>1421</v>
          </cell>
        </row>
        <row r="520">
          <cell r="D520">
            <v>2291</v>
          </cell>
        </row>
        <row r="521">
          <cell r="D521">
            <v>5655</v>
          </cell>
        </row>
        <row r="522">
          <cell r="D522">
            <v>1378.8625</v>
          </cell>
        </row>
        <row r="523">
          <cell r="D523">
            <v>572.75</v>
          </cell>
        </row>
        <row r="524">
          <cell r="D524">
            <v>2251.85</v>
          </cell>
        </row>
        <row r="525">
          <cell r="D525">
            <v>129.04999999999998</v>
          </cell>
        </row>
        <row r="528">
          <cell r="D528">
            <v>443.7</v>
          </cell>
        </row>
        <row r="529">
          <cell r="D529">
            <v>23.5625</v>
          </cell>
        </row>
        <row r="530">
          <cell r="D530">
            <v>55.1</v>
          </cell>
        </row>
        <row r="531">
          <cell r="D531">
            <v>655.4</v>
          </cell>
        </row>
        <row r="532">
          <cell r="D532">
            <v>630.11249999999995</v>
          </cell>
        </row>
        <row r="533">
          <cell r="D533">
            <v>187.04999999999998</v>
          </cell>
        </row>
        <row r="534">
          <cell r="D534">
            <v>1261.7749999999999</v>
          </cell>
        </row>
        <row r="535">
          <cell r="D535">
            <v>520.54999999999995</v>
          </cell>
        </row>
        <row r="536">
          <cell r="D536">
            <v>2714.4</v>
          </cell>
        </row>
        <row r="537">
          <cell r="D537">
            <v>1109.25</v>
          </cell>
        </row>
        <row r="538">
          <cell r="D538">
            <v>7190.55</v>
          </cell>
        </row>
        <row r="539">
          <cell r="D539">
            <v>203</v>
          </cell>
        </row>
        <row r="540">
          <cell r="D540">
            <v>34.799999999999997</v>
          </cell>
        </row>
        <row r="541">
          <cell r="D541">
            <v>10653.15</v>
          </cell>
        </row>
        <row r="542">
          <cell r="D542">
            <v>30015</v>
          </cell>
        </row>
        <row r="543">
          <cell r="D543">
            <v>34.4375</v>
          </cell>
        </row>
        <row r="544">
          <cell r="D544">
            <v>118.89999999999999</v>
          </cell>
        </row>
        <row r="545">
          <cell r="D545">
            <v>8.6999999999999993</v>
          </cell>
        </row>
        <row r="546">
          <cell r="D546">
            <v>252.29999999999998</v>
          </cell>
        </row>
        <row r="547">
          <cell r="D547">
            <v>53.65</v>
          </cell>
        </row>
        <row r="548">
          <cell r="D548">
            <v>87</v>
          </cell>
        </row>
        <row r="549">
          <cell r="D549">
            <v>40.6</v>
          </cell>
        </row>
        <row r="550">
          <cell r="D550">
            <v>874.35</v>
          </cell>
        </row>
        <row r="551">
          <cell r="D551">
            <v>2843.45</v>
          </cell>
        </row>
        <row r="552">
          <cell r="D552">
            <v>36.25</v>
          </cell>
        </row>
        <row r="553">
          <cell r="D553">
            <v>34.799999999999997</v>
          </cell>
        </row>
        <row r="554">
          <cell r="D554">
            <v>37.699999999999996</v>
          </cell>
        </row>
        <row r="555">
          <cell r="D555">
            <v>34.4375</v>
          </cell>
        </row>
        <row r="556">
          <cell r="D556">
            <v>2543.6624999999999</v>
          </cell>
        </row>
        <row r="557">
          <cell r="D557">
            <v>1044.55</v>
          </cell>
        </row>
        <row r="559">
          <cell r="D559">
            <v>926.55</v>
          </cell>
        </row>
        <row r="560">
          <cell r="D560">
            <v>39.15</v>
          </cell>
        </row>
        <row r="561">
          <cell r="D561">
            <v>34.4375</v>
          </cell>
        </row>
        <row r="565">
          <cell r="D565">
            <v>17992.400000000001</v>
          </cell>
        </row>
        <row r="566">
          <cell r="D566">
            <v>19880.300000000003</v>
          </cell>
        </row>
        <row r="567">
          <cell r="D567">
            <v>22992.400000000001</v>
          </cell>
        </row>
        <row r="568">
          <cell r="D568">
            <v>113095.1875</v>
          </cell>
        </row>
        <row r="569">
          <cell r="D569">
            <v>141078.73749999999</v>
          </cell>
        </row>
        <row r="570">
          <cell r="D570" t="str">
            <v xml:space="preserve"> </v>
          </cell>
        </row>
        <row r="571">
          <cell r="D571">
            <v>39721.8125</v>
          </cell>
        </row>
        <row r="572">
          <cell r="D572">
            <v>24546.799999999999</v>
          </cell>
        </row>
        <row r="573">
          <cell r="D573">
            <v>42388.362500000003</v>
          </cell>
        </row>
        <row r="574">
          <cell r="D574">
            <v>27213.35</v>
          </cell>
        </row>
        <row r="575">
          <cell r="D575">
            <v>10597.05</v>
          </cell>
        </row>
        <row r="576">
          <cell r="D576">
            <v>13263.6</v>
          </cell>
        </row>
        <row r="577">
          <cell r="D577" t="e">
            <v>#N/A</v>
          </cell>
        </row>
        <row r="578">
          <cell r="D578">
            <v>14672.95</v>
          </cell>
        </row>
        <row r="579">
          <cell r="D579">
            <v>20968.3</v>
          </cell>
        </row>
        <row r="580">
          <cell r="D580">
            <v>22940.85</v>
          </cell>
        </row>
        <row r="581">
          <cell r="D581">
            <v>32797.949999999997</v>
          </cell>
        </row>
        <row r="582">
          <cell r="D582">
            <v>55167.408750000002</v>
          </cell>
        </row>
        <row r="583">
          <cell r="D583">
            <v>16410.8</v>
          </cell>
        </row>
        <row r="584">
          <cell r="D584">
            <v>18308.849999999999</v>
          </cell>
        </row>
        <row r="585">
          <cell r="D585">
            <v>34470.800000000003</v>
          </cell>
        </row>
        <row r="586">
          <cell r="D586">
            <v>36368.85</v>
          </cell>
        </row>
        <row r="587">
          <cell r="D587">
            <v>17750.25</v>
          </cell>
        </row>
        <row r="588">
          <cell r="D588">
            <v>19636.7</v>
          </cell>
        </row>
        <row r="592">
          <cell r="D592">
            <v>16357.375</v>
          </cell>
        </row>
        <row r="593">
          <cell r="D593">
            <v>26258</v>
          </cell>
        </row>
        <row r="594">
          <cell r="D594">
            <v>7770</v>
          </cell>
        </row>
        <row r="596">
          <cell r="D596">
            <v>2600</v>
          </cell>
        </row>
        <row r="597">
          <cell r="D597">
            <v>3800</v>
          </cell>
        </row>
        <row r="598">
          <cell r="D598">
            <v>4800</v>
          </cell>
        </row>
        <row r="599">
          <cell r="D599">
            <v>5600</v>
          </cell>
        </row>
        <row r="601">
          <cell r="D601">
            <v>15000</v>
          </cell>
        </row>
        <row r="603">
          <cell r="D603">
            <v>10413.25</v>
          </cell>
        </row>
        <row r="605">
          <cell r="D605">
            <v>11639.95</v>
          </cell>
        </row>
        <row r="607">
          <cell r="D607">
            <v>3115.5499999999997</v>
          </cell>
        </row>
        <row r="609">
          <cell r="D609">
            <v>9791.85</v>
          </cell>
        </row>
        <row r="611">
          <cell r="D611">
            <v>162717.82500000001</v>
          </cell>
        </row>
        <row r="613">
          <cell r="D613">
            <v>10400</v>
          </cell>
        </row>
        <row r="616">
          <cell r="D616">
            <v>45</v>
          </cell>
        </row>
        <row r="617">
          <cell r="D617">
            <v>95</v>
          </cell>
        </row>
        <row r="618">
          <cell r="D618">
            <v>675</v>
          </cell>
        </row>
        <row r="619">
          <cell r="D619">
            <v>775</v>
          </cell>
        </row>
        <row r="620">
          <cell r="D620">
            <v>1150</v>
          </cell>
        </row>
        <row r="621">
          <cell r="D621">
            <v>1500</v>
          </cell>
        </row>
        <row r="623">
          <cell r="D623">
            <v>375</v>
          </cell>
        </row>
        <row r="624">
          <cell r="D624">
            <v>725</v>
          </cell>
        </row>
        <row r="626">
          <cell r="D626">
            <v>625</v>
          </cell>
        </row>
        <row r="627">
          <cell r="D627">
            <v>450</v>
          </cell>
        </row>
        <row r="628">
          <cell r="D628">
            <v>95</v>
          </cell>
        </row>
        <row r="629">
          <cell r="D629">
            <v>725</v>
          </cell>
        </row>
        <row r="630">
          <cell r="D630">
            <v>380</v>
          </cell>
        </row>
        <row r="631">
          <cell r="D631">
            <v>35</v>
          </cell>
        </row>
        <row r="632">
          <cell r="D632">
            <v>10</v>
          </cell>
        </row>
        <row r="634">
          <cell r="D634">
            <v>525</v>
          </cell>
        </row>
        <row r="635">
          <cell r="D635">
            <v>95</v>
          </cell>
        </row>
        <row r="636">
          <cell r="D636">
            <v>95</v>
          </cell>
        </row>
        <row r="639">
          <cell r="D639">
            <v>3750</v>
          </cell>
        </row>
        <row r="640">
          <cell r="D640">
            <v>3750</v>
          </cell>
        </row>
        <row r="641">
          <cell r="D641">
            <v>5700</v>
          </cell>
        </row>
        <row r="642">
          <cell r="D642">
            <v>2350</v>
          </cell>
        </row>
        <row r="643">
          <cell r="D643">
            <v>4700</v>
          </cell>
        </row>
        <row r="644">
          <cell r="D644">
            <v>9450</v>
          </cell>
        </row>
        <row r="645">
          <cell r="D645">
            <v>3750</v>
          </cell>
        </row>
        <row r="646">
          <cell r="D646">
            <v>7500</v>
          </cell>
        </row>
        <row r="647">
          <cell r="D647">
            <v>1200</v>
          </cell>
        </row>
        <row r="648">
          <cell r="D648">
            <v>4250</v>
          </cell>
        </row>
        <row r="649">
          <cell r="D649">
            <v>3750</v>
          </cell>
        </row>
        <row r="650">
          <cell r="D650">
            <v>3750</v>
          </cell>
        </row>
        <row r="651">
          <cell r="D651">
            <v>2350</v>
          </cell>
        </row>
        <row r="652">
          <cell r="D652">
            <v>9450</v>
          </cell>
        </row>
        <row r="653">
          <cell r="D653">
            <v>45000</v>
          </cell>
        </row>
        <row r="654">
          <cell r="D654">
            <v>5000</v>
          </cell>
        </row>
        <row r="655">
          <cell r="D655">
            <v>2000</v>
          </cell>
        </row>
        <row r="656">
          <cell r="D656">
            <v>3750</v>
          </cell>
        </row>
        <row r="657">
          <cell r="D657">
            <v>3750</v>
          </cell>
        </row>
        <row r="658">
          <cell r="D658">
            <v>3750</v>
          </cell>
        </row>
        <row r="659">
          <cell r="D659">
            <v>1000</v>
          </cell>
        </row>
        <row r="660">
          <cell r="D660">
            <v>8000</v>
          </cell>
        </row>
        <row r="661">
          <cell r="D661">
            <v>2000</v>
          </cell>
        </row>
        <row r="662">
          <cell r="D662">
            <v>3750</v>
          </cell>
        </row>
        <row r="665">
          <cell r="D665">
            <v>16000</v>
          </cell>
        </row>
        <row r="666">
          <cell r="D666">
            <v>37500</v>
          </cell>
        </row>
        <row r="667">
          <cell r="D667">
            <v>9450</v>
          </cell>
        </row>
        <row r="668">
          <cell r="D668">
            <v>3750</v>
          </cell>
        </row>
        <row r="669">
          <cell r="D669">
            <v>200</v>
          </cell>
        </row>
        <row r="670">
          <cell r="D670">
            <v>5000</v>
          </cell>
        </row>
        <row r="671">
          <cell r="D671">
            <v>2350</v>
          </cell>
        </row>
        <row r="672">
          <cell r="D672">
            <v>7000</v>
          </cell>
        </row>
        <row r="676">
          <cell r="D676">
            <v>50000</v>
          </cell>
        </row>
        <row r="677">
          <cell r="D677">
            <v>700</v>
          </cell>
        </row>
        <row r="679">
          <cell r="D679">
            <v>1350</v>
          </cell>
        </row>
        <row r="680">
          <cell r="D680">
            <v>950</v>
          </cell>
        </row>
        <row r="681">
          <cell r="D681">
            <v>750</v>
          </cell>
        </row>
        <row r="682">
          <cell r="D682">
            <v>350</v>
          </cell>
        </row>
        <row r="684">
          <cell r="D684">
            <v>700</v>
          </cell>
        </row>
        <row r="685">
          <cell r="D685">
            <v>900</v>
          </cell>
        </row>
        <row r="686">
          <cell r="D686">
            <v>1350</v>
          </cell>
        </row>
        <row r="688">
          <cell r="D688">
            <v>250</v>
          </cell>
        </row>
        <row r="690">
          <cell r="D690">
            <v>15000</v>
          </cell>
        </row>
        <row r="691">
          <cell r="D691">
            <v>210</v>
          </cell>
        </row>
        <row r="692">
          <cell r="D692">
            <v>7500</v>
          </cell>
        </row>
        <row r="693">
          <cell r="D693">
            <v>105</v>
          </cell>
        </row>
        <row r="695">
          <cell r="D695">
            <v>50000</v>
          </cell>
        </row>
        <row r="696">
          <cell r="D696">
            <v>300</v>
          </cell>
        </row>
        <row r="698">
          <cell r="D698">
            <v>175</v>
          </cell>
        </row>
        <row r="699">
          <cell r="D699">
            <v>35000</v>
          </cell>
        </row>
        <row r="700">
          <cell r="D700">
            <v>10000</v>
          </cell>
        </row>
        <row r="702">
          <cell r="D702">
            <v>20000</v>
          </cell>
        </row>
        <row r="704">
          <cell r="D704">
            <v>7500</v>
          </cell>
        </row>
        <row r="705">
          <cell r="D705">
            <v>17500</v>
          </cell>
        </row>
        <row r="706">
          <cell r="D706">
            <v>29000</v>
          </cell>
        </row>
        <row r="707">
          <cell r="D707">
            <v>54000</v>
          </cell>
        </row>
        <row r="708">
          <cell r="D708">
            <v>75000</v>
          </cell>
        </row>
        <row r="709">
          <cell r="D709">
            <v>100000</v>
          </cell>
        </row>
        <row r="710">
          <cell r="D710">
            <v>150000</v>
          </cell>
        </row>
        <row r="711">
          <cell r="D711">
            <v>250000</v>
          </cell>
        </row>
        <row r="712">
          <cell r="D712">
            <v>375000</v>
          </cell>
        </row>
        <row r="714">
          <cell r="D714">
            <v>30000</v>
          </cell>
        </row>
        <row r="715">
          <cell r="D715">
            <v>40000</v>
          </cell>
        </row>
        <row r="716">
          <cell r="D716">
            <v>8000</v>
          </cell>
        </row>
        <row r="717">
          <cell r="D717">
            <v>15000</v>
          </cell>
        </row>
        <row r="721">
          <cell r="D721">
            <v>60</v>
          </cell>
        </row>
        <row r="722">
          <cell r="D722">
            <v>65</v>
          </cell>
        </row>
        <row r="723">
          <cell r="D723">
            <v>65</v>
          </cell>
        </row>
        <row r="724">
          <cell r="D724">
            <v>60</v>
          </cell>
        </row>
        <row r="725">
          <cell r="D725">
            <v>135</v>
          </cell>
        </row>
        <row r="726">
          <cell r="D726">
            <v>120</v>
          </cell>
        </row>
        <row r="727">
          <cell r="D727">
            <v>95</v>
          </cell>
        </row>
        <row r="728">
          <cell r="D728">
            <v>80</v>
          </cell>
        </row>
        <row r="729">
          <cell r="D729">
            <v>135</v>
          </cell>
        </row>
        <row r="730">
          <cell r="D730">
            <v>100</v>
          </cell>
        </row>
        <row r="731">
          <cell r="D731">
            <v>100</v>
          </cell>
        </row>
        <row r="732">
          <cell r="D732">
            <v>75</v>
          </cell>
        </row>
        <row r="733">
          <cell r="D733">
            <v>100</v>
          </cell>
        </row>
        <row r="734">
          <cell r="D734">
            <v>135</v>
          </cell>
        </row>
        <row r="735">
          <cell r="D735">
            <v>75</v>
          </cell>
        </row>
        <row r="736">
          <cell r="D736">
            <v>110</v>
          </cell>
        </row>
        <row r="737">
          <cell r="D737">
            <v>265</v>
          </cell>
        </row>
        <row r="738">
          <cell r="D738">
            <v>225</v>
          </cell>
        </row>
        <row r="739">
          <cell r="D739">
            <v>240</v>
          </cell>
        </row>
        <row r="740">
          <cell r="D740">
            <v>215</v>
          </cell>
        </row>
        <row r="741">
          <cell r="D741">
            <v>170</v>
          </cell>
        </row>
        <row r="742">
          <cell r="D742">
            <v>145</v>
          </cell>
        </row>
        <row r="743">
          <cell r="D743">
            <v>145</v>
          </cell>
        </row>
        <row r="744">
          <cell r="D744">
            <v>110</v>
          </cell>
        </row>
        <row r="745">
          <cell r="D745">
            <v>75</v>
          </cell>
        </row>
        <row r="746">
          <cell r="D746">
            <v>70</v>
          </cell>
        </row>
        <row r="747">
          <cell r="D747">
            <v>55</v>
          </cell>
        </row>
        <row r="748">
          <cell r="D748">
            <v>75</v>
          </cell>
        </row>
        <row r="749">
          <cell r="D749">
            <v>85</v>
          </cell>
        </row>
        <row r="750">
          <cell r="D750">
            <v>65</v>
          </cell>
        </row>
        <row r="751">
          <cell r="D751">
            <v>150</v>
          </cell>
        </row>
        <row r="752">
          <cell r="D752">
            <v>115</v>
          </cell>
        </row>
        <row r="753">
          <cell r="D753">
            <v>100</v>
          </cell>
        </row>
        <row r="754">
          <cell r="D754">
            <v>110</v>
          </cell>
        </row>
        <row r="755">
          <cell r="D755">
            <v>265</v>
          </cell>
        </row>
        <row r="756">
          <cell r="D756">
            <v>135</v>
          </cell>
        </row>
        <row r="757">
          <cell r="D757">
            <v>200</v>
          </cell>
        </row>
        <row r="758">
          <cell r="D758">
            <v>110</v>
          </cell>
        </row>
        <row r="759">
          <cell r="D759">
            <v>0</v>
          </cell>
        </row>
        <row r="762">
          <cell r="D762">
            <v>0.32</v>
          </cell>
        </row>
        <row r="763">
          <cell r="D763">
            <v>0.26879999999999998</v>
          </cell>
        </row>
        <row r="764">
          <cell r="D764">
            <v>816</v>
          </cell>
        </row>
        <row r="768">
          <cell r="D768">
            <v>8600</v>
          </cell>
        </row>
        <row r="769">
          <cell r="D769">
            <v>19000</v>
          </cell>
        </row>
        <row r="771">
          <cell r="D771">
            <v>45</v>
          </cell>
        </row>
        <row r="772">
          <cell r="D772">
            <v>95</v>
          </cell>
        </row>
        <row r="773">
          <cell r="D773">
            <v>675</v>
          </cell>
        </row>
        <row r="774">
          <cell r="D774">
            <v>775</v>
          </cell>
        </row>
        <row r="775">
          <cell r="D775">
            <v>1150</v>
          </cell>
        </row>
        <row r="776">
          <cell r="D776">
            <v>1500</v>
          </cell>
        </row>
        <row r="778">
          <cell r="D778">
            <v>625</v>
          </cell>
        </row>
        <row r="779">
          <cell r="D779">
            <v>450</v>
          </cell>
        </row>
        <row r="780">
          <cell r="D780">
            <v>95</v>
          </cell>
        </row>
        <row r="781">
          <cell r="D781">
            <v>725</v>
          </cell>
        </row>
        <row r="782">
          <cell r="D782">
            <v>380</v>
          </cell>
        </row>
        <row r="783">
          <cell r="D783">
            <v>35</v>
          </cell>
        </row>
        <row r="784">
          <cell r="D784">
            <v>10</v>
          </cell>
        </row>
        <row r="786">
          <cell r="D786">
            <v>525</v>
          </cell>
        </row>
        <row r="787">
          <cell r="D787">
            <v>95</v>
          </cell>
        </row>
        <row r="788">
          <cell r="D788">
            <v>95</v>
          </cell>
        </row>
        <row r="791">
          <cell r="D791">
            <v>3750</v>
          </cell>
        </row>
        <row r="792">
          <cell r="D792">
            <v>3750</v>
          </cell>
        </row>
        <row r="793">
          <cell r="D793">
            <v>5700</v>
          </cell>
        </row>
        <row r="794">
          <cell r="D794">
            <v>2350</v>
          </cell>
        </row>
        <row r="795">
          <cell r="D795">
            <v>4700</v>
          </cell>
        </row>
        <row r="796">
          <cell r="D796">
            <v>9450</v>
          </cell>
        </row>
        <row r="797">
          <cell r="D797">
            <v>3750</v>
          </cell>
        </row>
        <row r="798">
          <cell r="D798">
            <v>7500</v>
          </cell>
        </row>
        <row r="799">
          <cell r="D799">
            <v>1200</v>
          </cell>
        </row>
        <row r="800">
          <cell r="D800">
            <v>4250</v>
          </cell>
        </row>
        <row r="801">
          <cell r="D801">
            <v>3750</v>
          </cell>
        </row>
        <row r="802">
          <cell r="D802">
            <v>3750</v>
          </cell>
        </row>
        <row r="803">
          <cell r="D803">
            <v>2350</v>
          </cell>
        </row>
        <row r="804">
          <cell r="D804">
            <v>9450</v>
          </cell>
        </row>
        <row r="805">
          <cell r="D805">
            <v>45000</v>
          </cell>
        </row>
        <row r="806">
          <cell r="D806">
            <v>5000</v>
          </cell>
        </row>
        <row r="807">
          <cell r="D807">
            <v>2000</v>
          </cell>
        </row>
        <row r="808">
          <cell r="D808">
            <v>3750</v>
          </cell>
        </row>
        <row r="809">
          <cell r="D809">
            <v>3750</v>
          </cell>
        </row>
        <row r="810">
          <cell r="D810">
            <v>3750</v>
          </cell>
        </row>
        <row r="811">
          <cell r="D811">
            <v>1000</v>
          </cell>
        </row>
        <row r="812">
          <cell r="D812">
            <v>8000</v>
          </cell>
        </row>
        <row r="813">
          <cell r="D813">
            <v>2000</v>
          </cell>
        </row>
        <row r="814">
          <cell r="D814">
            <v>3750</v>
          </cell>
        </row>
        <row r="817">
          <cell r="D817">
            <v>16000</v>
          </cell>
        </row>
        <row r="818">
          <cell r="D818">
            <v>37500</v>
          </cell>
        </row>
        <row r="819">
          <cell r="D819">
            <v>9450</v>
          </cell>
        </row>
        <row r="820">
          <cell r="D820">
            <v>3750</v>
          </cell>
        </row>
        <row r="821">
          <cell r="D821">
            <v>200</v>
          </cell>
        </row>
        <row r="822">
          <cell r="D822">
            <v>5000</v>
          </cell>
        </row>
        <row r="823">
          <cell r="D823">
            <v>2350</v>
          </cell>
        </row>
        <row r="824">
          <cell r="D824">
            <v>7000</v>
          </cell>
        </row>
        <row r="829">
          <cell r="D829">
            <v>5000</v>
          </cell>
        </row>
        <row r="830">
          <cell r="D830">
            <v>1000</v>
          </cell>
        </row>
        <row r="831">
          <cell r="D831">
            <v>5000</v>
          </cell>
        </row>
        <row r="832">
          <cell r="D832">
            <v>5000</v>
          </cell>
        </row>
        <row r="833">
          <cell r="D833">
            <v>10000</v>
          </cell>
        </row>
        <row r="834">
          <cell r="D834">
            <v>5000</v>
          </cell>
        </row>
        <row r="835">
          <cell r="D835">
            <v>10000</v>
          </cell>
        </row>
        <row r="836">
          <cell r="D836">
            <v>15000</v>
          </cell>
        </row>
        <row r="837">
          <cell r="D837">
            <v>10000</v>
          </cell>
        </row>
        <row r="838">
          <cell r="D838">
            <v>2000</v>
          </cell>
        </row>
        <row r="839">
          <cell r="D839">
            <v>10000</v>
          </cell>
        </row>
        <row r="840">
          <cell r="D840">
            <v>15000</v>
          </cell>
        </row>
        <row r="841">
          <cell r="D841">
            <v>10000</v>
          </cell>
        </row>
        <row r="842">
          <cell r="D842">
            <v>10000</v>
          </cell>
        </row>
        <row r="843">
          <cell r="D843">
            <v>10000</v>
          </cell>
        </row>
        <row r="844">
          <cell r="D844">
            <v>5000</v>
          </cell>
        </row>
        <row r="845">
          <cell r="D845">
            <v>20000</v>
          </cell>
        </row>
        <row r="846">
          <cell r="D846">
            <v>9000</v>
          </cell>
        </row>
        <row r="847">
          <cell r="D847">
            <v>5000</v>
          </cell>
        </row>
        <row r="848">
          <cell r="D848">
            <v>5000</v>
          </cell>
        </row>
        <row r="849">
          <cell r="D849">
            <v>4500</v>
          </cell>
        </row>
        <row r="850">
          <cell r="D850">
            <v>5000</v>
          </cell>
        </row>
        <row r="851">
          <cell r="D851">
            <v>10000</v>
          </cell>
        </row>
        <row r="852">
          <cell r="D852">
            <v>15000</v>
          </cell>
        </row>
        <row r="853">
          <cell r="D853">
            <v>5000</v>
          </cell>
        </row>
        <row r="854">
          <cell r="D854">
            <v>5000</v>
          </cell>
        </row>
        <row r="855">
          <cell r="D855">
            <v>5000</v>
          </cell>
        </row>
        <row r="856">
          <cell r="D856">
            <v>5000</v>
          </cell>
        </row>
        <row r="857">
          <cell r="D857">
            <v>10000</v>
          </cell>
        </row>
        <row r="858">
          <cell r="D858">
            <v>10000</v>
          </cell>
        </row>
        <row r="860">
          <cell r="D860">
            <v>1600</v>
          </cell>
        </row>
        <row r="861">
          <cell r="D861">
            <v>650</v>
          </cell>
        </row>
        <row r="862">
          <cell r="D862">
            <v>800</v>
          </cell>
        </row>
        <row r="863">
          <cell r="D863">
            <v>650</v>
          </cell>
        </row>
        <row r="864">
          <cell r="D864">
            <v>10000</v>
          </cell>
        </row>
        <row r="865">
          <cell r="D865">
            <v>1600</v>
          </cell>
        </row>
        <row r="866">
          <cell r="D866">
            <v>800</v>
          </cell>
        </row>
        <row r="867">
          <cell r="D867">
            <v>500</v>
          </cell>
        </row>
        <row r="868">
          <cell r="D868">
            <v>650</v>
          </cell>
        </row>
        <row r="869">
          <cell r="D869">
            <v>1600</v>
          </cell>
        </row>
        <row r="870">
          <cell r="D870">
            <v>800</v>
          </cell>
        </row>
        <row r="871">
          <cell r="D871">
            <v>2000</v>
          </cell>
        </row>
        <row r="872">
          <cell r="D872">
            <v>2000</v>
          </cell>
        </row>
        <row r="874">
          <cell r="D874">
            <v>10000</v>
          </cell>
        </row>
        <row r="875">
          <cell r="D875">
            <v>750</v>
          </cell>
        </row>
        <row r="876">
          <cell r="D876">
            <v>5000</v>
          </cell>
        </row>
        <row r="877">
          <cell r="D877">
            <v>10000</v>
          </cell>
        </row>
        <row r="878">
          <cell r="D878">
            <v>32000</v>
          </cell>
        </row>
        <row r="879">
          <cell r="D879">
            <v>15000</v>
          </cell>
        </row>
        <row r="880">
          <cell r="D880">
            <v>15000</v>
          </cell>
        </row>
        <row r="881">
          <cell r="D881">
            <v>36250</v>
          </cell>
        </row>
        <row r="882">
          <cell r="D882">
            <v>15000</v>
          </cell>
        </row>
        <row r="883">
          <cell r="D883">
            <v>50000</v>
          </cell>
        </row>
        <row r="884">
          <cell r="D884">
            <v>20000</v>
          </cell>
        </row>
        <row r="885">
          <cell r="D885">
            <v>15000</v>
          </cell>
        </row>
        <row r="886">
          <cell r="D886">
            <v>100000</v>
          </cell>
        </row>
        <row r="887">
          <cell r="D887">
            <v>15000</v>
          </cell>
        </row>
        <row r="888">
          <cell r="D888">
            <v>15000</v>
          </cell>
        </row>
        <row r="889">
          <cell r="D889">
            <v>0</v>
          </cell>
        </row>
        <row r="890">
          <cell r="D890">
            <v>0</v>
          </cell>
        </row>
        <row r="891">
          <cell r="D891">
            <v>0</v>
          </cell>
        </row>
        <row r="892">
          <cell r="D892">
            <v>5000</v>
          </cell>
        </row>
        <row r="893">
          <cell r="D893">
            <v>50000</v>
          </cell>
        </row>
        <row r="894">
          <cell r="D894">
            <v>10000</v>
          </cell>
        </row>
        <row r="895">
          <cell r="D895">
            <v>20000</v>
          </cell>
        </row>
        <row r="896">
          <cell r="D896">
            <v>15000</v>
          </cell>
        </row>
        <row r="897">
          <cell r="D897">
            <v>20000</v>
          </cell>
        </row>
        <row r="899">
          <cell r="D899">
            <v>10000</v>
          </cell>
        </row>
        <row r="900">
          <cell r="D900">
            <v>750</v>
          </cell>
        </row>
        <row r="901">
          <cell r="D901">
            <v>14500</v>
          </cell>
        </row>
        <row r="902">
          <cell r="D902">
            <v>362.5</v>
          </cell>
        </row>
        <row r="903">
          <cell r="D903">
            <v>2537.5</v>
          </cell>
        </row>
        <row r="904">
          <cell r="D904">
            <v>14500</v>
          </cell>
        </row>
        <row r="905">
          <cell r="D905">
            <v>10000</v>
          </cell>
        </row>
        <row r="906">
          <cell r="D906">
            <v>10000</v>
          </cell>
        </row>
        <row r="907">
          <cell r="D907">
            <v>15000</v>
          </cell>
        </row>
        <row r="908">
          <cell r="D908">
            <v>10000</v>
          </cell>
        </row>
        <row r="909">
          <cell r="D909">
            <v>50000</v>
          </cell>
        </row>
        <row r="910">
          <cell r="D910">
            <v>20000</v>
          </cell>
        </row>
        <row r="911">
          <cell r="D911">
            <v>15000</v>
          </cell>
        </row>
        <row r="912">
          <cell r="D912">
            <v>100000</v>
          </cell>
        </row>
        <row r="913">
          <cell r="D913">
            <v>15000</v>
          </cell>
        </row>
        <row r="914">
          <cell r="D914">
            <v>15000</v>
          </cell>
        </row>
        <row r="915">
          <cell r="D915">
            <v>50000</v>
          </cell>
        </row>
        <row r="916">
          <cell r="D916">
            <v>10000</v>
          </cell>
        </row>
        <row r="917">
          <cell r="D917">
            <v>15000</v>
          </cell>
        </row>
        <row r="918">
          <cell r="D918">
            <v>15000</v>
          </cell>
        </row>
        <row r="919">
          <cell r="D919">
            <v>15000</v>
          </cell>
        </row>
        <row r="920">
          <cell r="D920">
            <v>20000</v>
          </cell>
        </row>
        <row r="921">
          <cell r="D921">
            <v>25000</v>
          </cell>
        </row>
        <row r="923">
          <cell r="D923">
            <v>43500</v>
          </cell>
        </row>
        <row r="924">
          <cell r="D924">
            <v>8750</v>
          </cell>
        </row>
        <row r="927">
          <cell r="D927">
            <v>2000</v>
          </cell>
        </row>
        <row r="928">
          <cell r="D928">
            <v>2000</v>
          </cell>
        </row>
        <row r="929">
          <cell r="D929">
            <v>2000</v>
          </cell>
        </row>
        <row r="932">
          <cell r="D932">
            <v>25000.008750000001</v>
          </cell>
        </row>
        <row r="935">
          <cell r="D935">
            <v>1200</v>
          </cell>
        </row>
        <row r="936">
          <cell r="D936">
            <v>1600</v>
          </cell>
        </row>
        <row r="937">
          <cell r="D937">
            <v>1500</v>
          </cell>
        </row>
        <row r="938">
          <cell r="D938">
            <v>2400</v>
          </cell>
        </row>
        <row r="940">
          <cell r="D940">
            <v>24048.25</v>
          </cell>
        </row>
        <row r="941">
          <cell r="D941">
            <v>25757.8</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Overview"/>
      <sheetName val="2. Timeline"/>
      <sheetName val="3. Cost Summary "/>
      <sheetName val="4. Staffing Services"/>
      <sheetName val="5. Tasks"/>
      <sheetName val="6. Assumptions"/>
      <sheetName val="Allocation-PY"/>
      <sheetName val="Allocation-Resource"/>
      <sheetName val="7. Detailed Task Estimate"/>
      <sheetName val="8. Host-to-Host Messages"/>
    </sheetNames>
    <sheetDataSet>
      <sheetData sheetId="0"/>
      <sheetData sheetId="1"/>
      <sheetData sheetId="2"/>
      <sheetData sheetId="3"/>
      <sheetData sheetId="4"/>
      <sheetData sheetId="5"/>
      <sheetData sheetId="6"/>
      <sheetData sheetId="7" refreshError="1">
        <row r="13">
          <cell r="A13">
            <v>1</v>
          </cell>
          <cell r="D13">
            <v>0</v>
          </cell>
          <cell r="E13">
            <v>0</v>
          </cell>
          <cell r="F13">
            <v>0</v>
          </cell>
          <cell r="G13">
            <v>0</v>
          </cell>
          <cell r="H13">
            <v>0</v>
          </cell>
          <cell r="I13">
            <v>0</v>
          </cell>
          <cell r="J13">
            <v>0</v>
          </cell>
          <cell r="K13">
            <v>0</v>
          </cell>
          <cell r="L13">
            <v>0</v>
          </cell>
          <cell r="M13">
            <v>0</v>
          </cell>
        </row>
        <row r="14">
          <cell r="A14">
            <v>2</v>
          </cell>
          <cell r="D14">
            <v>1912</v>
          </cell>
          <cell r="E14">
            <v>1565</v>
          </cell>
          <cell r="F14">
            <v>0</v>
          </cell>
          <cell r="G14">
            <v>0</v>
          </cell>
          <cell r="H14">
            <v>0</v>
          </cell>
          <cell r="I14">
            <v>0</v>
          </cell>
          <cell r="J14">
            <v>0</v>
          </cell>
          <cell r="K14">
            <v>0</v>
          </cell>
          <cell r="L14">
            <v>0</v>
          </cell>
          <cell r="M14">
            <v>0</v>
          </cell>
        </row>
        <row r="15">
          <cell r="A15">
            <v>3</v>
          </cell>
          <cell r="D15">
            <v>0</v>
          </cell>
          <cell r="E15">
            <v>0</v>
          </cell>
          <cell r="F15">
            <v>0</v>
          </cell>
          <cell r="G15">
            <v>0</v>
          </cell>
          <cell r="H15">
            <v>0</v>
          </cell>
          <cell r="I15">
            <v>0</v>
          </cell>
          <cell r="J15">
            <v>0</v>
          </cell>
          <cell r="K15">
            <v>0</v>
          </cell>
          <cell r="L15">
            <v>0</v>
          </cell>
          <cell r="M15">
            <v>0</v>
          </cell>
        </row>
      </sheetData>
      <sheetData sheetId="8" refreshError="1"/>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Overview"/>
      <sheetName val="2. Timeline"/>
      <sheetName val="3. Cost Summary "/>
      <sheetName val="4. Staffing Services"/>
      <sheetName val="5. Tasks"/>
      <sheetName val="6. Assumptions"/>
      <sheetName val="Allocation-PY"/>
      <sheetName val="Allocation-Resource"/>
      <sheetName val="7. Detailed Task Estimate"/>
      <sheetName val="8. Host-to-Host Messages"/>
    </sheetNames>
    <sheetDataSet>
      <sheetData sheetId="0"/>
      <sheetData sheetId="1"/>
      <sheetData sheetId="2"/>
      <sheetData sheetId="3"/>
      <sheetData sheetId="4"/>
      <sheetData sheetId="5"/>
      <sheetData sheetId="6"/>
      <sheetData sheetId="7" refreshError="1">
        <row r="13">
          <cell r="A13">
            <v>1</v>
          </cell>
          <cell r="D13">
            <v>0</v>
          </cell>
          <cell r="E13">
            <v>0</v>
          </cell>
          <cell r="F13">
            <v>0</v>
          </cell>
          <cell r="G13">
            <v>0</v>
          </cell>
          <cell r="H13">
            <v>0</v>
          </cell>
          <cell r="I13">
            <v>0</v>
          </cell>
          <cell r="J13">
            <v>0</v>
          </cell>
          <cell r="K13">
            <v>0</v>
          </cell>
          <cell r="L13">
            <v>0</v>
          </cell>
          <cell r="M13">
            <v>0</v>
          </cell>
        </row>
        <row r="14">
          <cell r="A14">
            <v>2</v>
          </cell>
          <cell r="D14">
            <v>1912</v>
          </cell>
          <cell r="E14">
            <v>1565</v>
          </cell>
          <cell r="F14">
            <v>0</v>
          </cell>
          <cell r="G14">
            <v>0</v>
          </cell>
          <cell r="H14">
            <v>0</v>
          </cell>
          <cell r="I14">
            <v>0</v>
          </cell>
          <cell r="J14">
            <v>0</v>
          </cell>
          <cell r="K14">
            <v>0</v>
          </cell>
          <cell r="L14">
            <v>0</v>
          </cell>
          <cell r="M14">
            <v>0</v>
          </cell>
        </row>
        <row r="15">
          <cell r="A15">
            <v>3</v>
          </cell>
          <cell r="D15">
            <v>0</v>
          </cell>
          <cell r="E15">
            <v>0</v>
          </cell>
          <cell r="F15">
            <v>0</v>
          </cell>
          <cell r="G15">
            <v>0</v>
          </cell>
          <cell r="H15">
            <v>0</v>
          </cell>
          <cell r="I15">
            <v>0</v>
          </cell>
          <cell r="J15">
            <v>0</v>
          </cell>
          <cell r="K15">
            <v>0</v>
          </cell>
          <cell r="L15">
            <v>0</v>
          </cell>
          <cell r="M15">
            <v>0</v>
          </cell>
        </row>
      </sheetData>
      <sheetData sheetId="8" refreshError="1"/>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A - Overall Summary"/>
      <sheetName val="A1 - Line Item Summary - Amd 4"/>
      <sheetName val="A2 - Costs By Month - Amd 4"/>
      <sheetName val="HW-SW TOTAL Compare"/>
      <sheetName val="HW-SW SFY Compare"/>
      <sheetName val="A1 - Line Item Summary"/>
      <sheetName val="A2 - Costs By Month"/>
      <sheetName val="B - Staff Summary"/>
      <sheetName val="B1 - Staff by Task"/>
      <sheetName val="B2 - Staff by Person"/>
      <sheetName val="C - Project Site Summary"/>
      <sheetName val="C1 - Project Site HW"/>
      <sheetName val="C2 - Project Site HWM"/>
      <sheetName val="C3 - Project Site SW"/>
      <sheetName val="C4 - Project Site SWM"/>
      <sheetName val="D - Infrastructure Summary"/>
      <sheetName val="D1 - Infrastructure HW"/>
      <sheetName val="D2 - Infrastructure HWM"/>
      <sheetName val="D3 - Infrastructure SW"/>
      <sheetName val="D4 - Infrastructure SWM"/>
      <sheetName val="D1 - NAIT HW"/>
      <sheetName val="D2 - NAIT HWM"/>
      <sheetName val="D3 - NAIT SW"/>
      <sheetName val="D4 - NAIT SWM"/>
      <sheetName val="E - Training Summary"/>
      <sheetName val="E1 - Training HW"/>
      <sheetName val="E2 - Training HWM"/>
      <sheetName val="E3 - Training SW"/>
      <sheetName val="E4 - Training SWM"/>
      <sheetName val="F - Facilities"/>
      <sheetName val="G - Deliverables "/>
      <sheetName val="H - Hourly Rates"/>
      <sheetName val="H (CO) - Hourly CO Rates"/>
      <sheetName val="I - Other"/>
      <sheetName val="J -Imaging Summary"/>
      <sheetName val="J1 - IMG Central Staff by Task"/>
      <sheetName val="J2 - IMG Central Staff by Prsn"/>
      <sheetName val="J3 - Central IMG HW "/>
      <sheetName val="J4 - Central IMG HWM"/>
      <sheetName val="J5 - Central IMG SW"/>
      <sheetName val="J6 - Central IMG SWM"/>
      <sheetName val="J7 - Central IMG Facilities"/>
      <sheetName val="J8 - Central IMG Deliverables"/>
      <sheetName val="J9 - Central IMG Hourly Rates"/>
      <sheetName val="J10- Central IMG Support Staff "/>
      <sheetName val="J11 - CO-002"/>
      <sheetName val="K - IVR Summary"/>
      <sheetName val="K1 - IVR Central Staff by Task"/>
      <sheetName val="K2 - IVR Central Staff by Prsn"/>
      <sheetName val="K3 - Central IVR HW"/>
      <sheetName val="K4 - Central IVR HWM"/>
      <sheetName val="K5 - Central IVR SW"/>
      <sheetName val="K6 - Central IVR SWM"/>
      <sheetName val="K7 - Central IVR Facilities"/>
      <sheetName val="K8 - Central IVR Deliverables"/>
      <sheetName val="K9 - Central IVR Hourly Rates"/>
      <sheetName val="K10- Central IVR Support Staff "/>
      <sheetName val="CP - County Purchases"/>
      <sheetName val="Readin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55">
          <cell r="K55">
            <v>9.2499999999999999E-2</v>
          </cell>
        </row>
        <row r="56">
          <cell r="K56">
            <v>0.05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A - Overall Summary"/>
      <sheetName val="A1 - Line Item Summary - Amd 4"/>
      <sheetName val="A2 - Costs By Month - Amd 4"/>
      <sheetName val="HW-SW TOTAL Compare"/>
      <sheetName val="HW-SW SFY Compare"/>
      <sheetName val="A1 - Line Item Summary"/>
      <sheetName val="A2 - Costs By Month"/>
      <sheetName val="B - Staff Summary"/>
      <sheetName val="B1 - Staff by Task"/>
      <sheetName val="B2 - Staff by Person"/>
      <sheetName val="C - Project Site Summary"/>
      <sheetName val="C1 - Project Site HW"/>
      <sheetName val="C2 - Project Site HWM"/>
      <sheetName val="C3 - Project Site SW"/>
      <sheetName val="C4 - Project Site SWM"/>
      <sheetName val="D - Infrastructure Summary"/>
      <sheetName val="D1 - Infrastructure HW"/>
      <sheetName val="D2 - Infrastructure HWM"/>
      <sheetName val="D3 - Infrastructure SW"/>
      <sheetName val="D4 - Infrastructure SWM"/>
      <sheetName val="D1 - NAIT HW"/>
      <sheetName val="D2 - NAIT HWM"/>
      <sheetName val="D3 - NAIT SW"/>
      <sheetName val="D4 - NAIT SWM"/>
      <sheetName val="E - Training Summary"/>
      <sheetName val="E1 - Training HW"/>
      <sheetName val="E2 - Training HWM"/>
      <sheetName val="E3 - Training SW"/>
      <sheetName val="E4 - Training SWM"/>
      <sheetName val="F - Facilities"/>
      <sheetName val="G - Deliverables "/>
      <sheetName val="H - Hourly Rates"/>
      <sheetName val="H (CO) - Hourly CO Rates"/>
      <sheetName val="I - Other"/>
      <sheetName val="J -Imaging Summary"/>
      <sheetName val="J1 - IMG Central Staff by Task"/>
      <sheetName val="J2 - IMG Central Staff by Prsn"/>
      <sheetName val="J3 - Central IMG HW "/>
      <sheetName val="J4 - Central IMG HWM"/>
      <sheetName val="J5 - Central IMG SW"/>
      <sheetName val="J6 - Central IMG SWM"/>
      <sheetName val="J7 - Central IMG Facilities"/>
      <sheetName val="J8 - Central IMG Deliverables"/>
      <sheetName val="J9 - Central IMG Hourly Rates"/>
      <sheetName val="J10- Central IMG Support Staff "/>
      <sheetName val="J11 - CO-002"/>
      <sheetName val="K - IVR Summary"/>
      <sheetName val="K1 - IVR Central Staff by Task"/>
      <sheetName val="K2 - IVR Central Staff by Prsn"/>
      <sheetName val="K3 - Central IVR HW"/>
      <sheetName val="K4 - Central IVR HWM"/>
      <sheetName val="K5 - Central IVR SW"/>
      <sheetName val="K6 - Central IVR SWM"/>
      <sheetName val="K7 - Central IVR Facilities"/>
      <sheetName val="K8 - Central IVR Deliverables"/>
      <sheetName val="K9 - Central IVR Hourly Rates"/>
      <sheetName val="K10- Central IVR Support Staff "/>
      <sheetName val="CP - County Purchases"/>
      <sheetName val="Readin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55">
          <cell r="K55">
            <v>9.2499999999999999E-2</v>
          </cell>
        </row>
        <row r="56">
          <cell r="K56">
            <v>0.05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Cost Categories"/>
      <sheetName val="Financial View"/>
      <sheetName val="Recurring"/>
      <sheetName val="Adobe Fragments"/>
      <sheetName val="Sheet1"/>
    </sheetNames>
    <sheetDataSet>
      <sheetData sheetId="0" refreshError="1"/>
      <sheetData sheetId="1" refreshError="1"/>
      <sheetData sheetId="2">
        <row r="20">
          <cell r="C20">
            <v>17255</v>
          </cell>
        </row>
      </sheetData>
      <sheetData sheetId="3" refreshError="1"/>
      <sheetData sheetId="4" refreshError="1"/>
      <sheetData sheetId="5">
        <row r="25">
          <cell r="E25">
            <v>3165</v>
          </cell>
        </row>
      </sheetData>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Cost Categories"/>
      <sheetName val="Financial View"/>
      <sheetName val="Recurring"/>
      <sheetName val="Adobe Fragments"/>
      <sheetName val="Sheet1"/>
    </sheetNames>
    <sheetDataSet>
      <sheetData sheetId="0" refreshError="1"/>
      <sheetData sheetId="1" refreshError="1"/>
      <sheetData sheetId="2">
        <row r="20">
          <cell r="C20">
            <v>17255</v>
          </cell>
        </row>
      </sheetData>
      <sheetData sheetId="3" refreshError="1"/>
      <sheetData sheetId="4" refreshError="1"/>
      <sheetData sheetId="5">
        <row r="25">
          <cell r="E25">
            <v>3165</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D"/>
      <sheetName val="1. Cost Summary "/>
      <sheetName val="2. Staffing Services"/>
      <sheetName val="Hours by resource"/>
      <sheetName val="4. HW_SW"/>
      <sheetName val="5. D-2 (B) Costs"/>
      <sheetName val="6. E Costs"/>
      <sheetName val="Allocation-PY"/>
      <sheetName val="Allocation-Resource"/>
      <sheetName val="MAPPER Devt &amp; Deploy"/>
      <sheetName val="MAPPER Annual Cost Summary"/>
      <sheetName val="WTW Devt &amp; Deploy"/>
      <sheetName val="WTW Annual Cost Summary"/>
      <sheetName val="D-5 Rates"/>
    </sheetNames>
    <sheetDataSet>
      <sheetData sheetId="0"/>
      <sheetData sheetId="1"/>
      <sheetData sheetId="2"/>
      <sheetData sheetId="3">
        <row r="7">
          <cell r="D7">
            <v>0</v>
          </cell>
        </row>
      </sheetData>
      <sheetData sheetId="4"/>
      <sheetData sheetId="5"/>
      <sheetData sheetId="6"/>
      <sheetData sheetId="7"/>
      <sheetData sheetId="8">
        <row r="3">
          <cell r="C3" t="str">
            <v>1.0</v>
          </cell>
          <cell r="D3" t="str">
            <v>2.0</v>
          </cell>
          <cell r="E3" t="str">
            <v>3.0</v>
          </cell>
        </row>
        <row r="4">
          <cell r="A4">
            <v>1</v>
          </cell>
          <cell r="B4" t="str">
            <v>Project Director / Quality Assurance Partner</v>
          </cell>
          <cell r="C4">
            <v>0</v>
          </cell>
          <cell r="D4">
            <v>0</v>
          </cell>
          <cell r="E4">
            <v>0</v>
          </cell>
        </row>
        <row r="5">
          <cell r="A5">
            <v>2</v>
          </cell>
          <cell r="B5" t="str">
            <v>Project Manager</v>
          </cell>
          <cell r="C5">
            <v>0</v>
          </cell>
          <cell r="D5">
            <v>0</v>
          </cell>
          <cell r="E5">
            <v>0</v>
          </cell>
        </row>
        <row r="6">
          <cell r="A6">
            <v>3</v>
          </cell>
          <cell r="B6" t="str">
            <v>Development Team Managers</v>
          </cell>
          <cell r="C6">
            <v>0</v>
          </cell>
          <cell r="D6">
            <v>0</v>
          </cell>
          <cell r="E6">
            <v>0</v>
          </cell>
        </row>
        <row r="7">
          <cell r="A7">
            <v>4</v>
          </cell>
          <cell r="B7" t="str">
            <v>Development Group Leads</v>
          </cell>
          <cell r="C7">
            <v>0</v>
          </cell>
          <cell r="D7">
            <v>0</v>
          </cell>
          <cell r="E7">
            <v>0</v>
          </cell>
        </row>
        <row r="8">
          <cell r="A8">
            <v>5</v>
          </cell>
          <cell r="B8" t="str">
            <v>Development Functional /Technical Analysts</v>
          </cell>
          <cell r="C8">
            <v>0</v>
          </cell>
          <cell r="D8">
            <v>0</v>
          </cell>
          <cell r="E8">
            <v>0</v>
          </cell>
        </row>
        <row r="9">
          <cell r="A9">
            <v>6</v>
          </cell>
          <cell r="B9" t="str">
            <v>Development Programmer/ Analysts</v>
          </cell>
          <cell r="C9">
            <v>0</v>
          </cell>
          <cell r="D9">
            <v>0</v>
          </cell>
          <cell r="E9">
            <v>0</v>
          </cell>
        </row>
        <row r="10">
          <cell r="A10">
            <v>7</v>
          </cell>
          <cell r="B10" t="str">
            <v>Applications Maintenance Team Leader</v>
          </cell>
          <cell r="C10">
            <v>0</v>
          </cell>
          <cell r="D10">
            <v>0</v>
          </cell>
          <cell r="E10">
            <v>0</v>
          </cell>
        </row>
        <row r="11">
          <cell r="A11">
            <v>8</v>
          </cell>
          <cell r="B11" t="str">
            <v>Sr. Programmer - Intranet On-Line</v>
          </cell>
          <cell r="C11">
            <v>0</v>
          </cell>
          <cell r="D11">
            <v>0</v>
          </cell>
          <cell r="E11">
            <v>0</v>
          </cell>
        </row>
        <row r="12">
          <cell r="A12">
            <v>9</v>
          </cell>
          <cell r="B12" t="str">
            <v>Programmer/Analyst - Intranet Online</v>
          </cell>
          <cell r="C12">
            <v>0</v>
          </cell>
          <cell r="D12">
            <v>0</v>
          </cell>
          <cell r="E12">
            <v>0</v>
          </cell>
        </row>
        <row r="13">
          <cell r="A13">
            <v>10</v>
          </cell>
          <cell r="B13" t="str">
            <v>Sr. Programmer - Expert Systems</v>
          </cell>
          <cell r="C13">
            <v>0</v>
          </cell>
          <cell r="D13">
            <v>0</v>
          </cell>
          <cell r="E13">
            <v>0</v>
          </cell>
        </row>
        <row r="14">
          <cell r="A14">
            <v>11</v>
          </cell>
          <cell r="B14" t="str">
            <v>Programmer/Analyst - Expert Systems</v>
          </cell>
          <cell r="C14">
            <v>0</v>
          </cell>
          <cell r="D14">
            <v>0</v>
          </cell>
          <cell r="E14">
            <v>0</v>
          </cell>
        </row>
        <row r="15">
          <cell r="A15">
            <v>12</v>
          </cell>
          <cell r="B15" t="str">
            <v>Sr. Programmer - Batch Maintenanace</v>
          </cell>
          <cell r="C15">
            <v>0</v>
          </cell>
          <cell r="D15">
            <v>0</v>
          </cell>
          <cell r="E15">
            <v>0</v>
          </cell>
        </row>
        <row r="16">
          <cell r="A16">
            <v>13</v>
          </cell>
          <cell r="B16" t="str">
            <v>Programmer/Analyst - Batch Maintenance</v>
          </cell>
          <cell r="C16">
            <v>0</v>
          </cell>
          <cell r="D16">
            <v>0</v>
          </cell>
          <cell r="E16">
            <v>0</v>
          </cell>
        </row>
        <row r="17">
          <cell r="A17">
            <v>14</v>
          </cell>
          <cell r="B17" t="str">
            <v>Sr. Data Base Administrator - Oracle</v>
          </cell>
          <cell r="C17">
            <v>0</v>
          </cell>
          <cell r="D17">
            <v>0</v>
          </cell>
          <cell r="E17">
            <v>0</v>
          </cell>
        </row>
        <row r="18">
          <cell r="A18">
            <v>15</v>
          </cell>
          <cell r="B18" t="str">
            <v>Data Base Administrator - Oracle</v>
          </cell>
          <cell r="C18">
            <v>0</v>
          </cell>
          <cell r="D18">
            <v>0</v>
          </cell>
          <cell r="E18">
            <v>0</v>
          </cell>
        </row>
        <row r="19">
          <cell r="A19">
            <v>16</v>
          </cell>
          <cell r="B19" t="str">
            <v>System Software Specialist</v>
          </cell>
          <cell r="C19">
            <v>0</v>
          </cell>
          <cell r="D19">
            <v>0</v>
          </cell>
          <cell r="E19">
            <v>0</v>
          </cell>
        </row>
      </sheetData>
      <sheetData sheetId="9"/>
      <sheetData sheetId="10"/>
      <sheetData sheetId="11"/>
      <sheetData sheetId="12"/>
      <sheetData sheetId="13">
        <row r="5">
          <cell r="B5" t="str">
            <v>Staff Description</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
      <sheetName val="INPUT B"/>
      <sheetName val="INPUT C"/>
      <sheetName val="summary"/>
      <sheetName val="hw-sw-maintenance"/>
      <sheetName val="tech_support"/>
      <sheetName val="Staffing Summary"/>
      <sheetName val="Staffing"/>
      <sheetName val="FY09 Rates"/>
    </sheetNames>
    <sheetDataSet>
      <sheetData sheetId="0"/>
      <sheetData sheetId="1"/>
      <sheetData sheetId="2"/>
      <sheetData sheetId="3"/>
      <sheetData sheetId="4"/>
      <sheetData sheetId="5"/>
      <sheetData sheetId="6"/>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
      <sheetName val="INPUT B"/>
      <sheetName val="INPUT C"/>
      <sheetName val="summary"/>
      <sheetName val="hw-sw-maintenance"/>
      <sheetName val="tech_support"/>
      <sheetName val="Staffing Summary"/>
      <sheetName val="Staffing"/>
      <sheetName val="FY09 Rates"/>
    </sheetNames>
    <sheetDataSet>
      <sheetData sheetId="0"/>
      <sheetData sheetId="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imeline"/>
      <sheetName val="2.  Detailed Estimate"/>
      <sheetName val="3. HW_SW"/>
      <sheetName val="4.  Resource Totals by Year"/>
      <sheetName val="5.  Assumptions"/>
    </sheetNames>
    <sheetDataSet>
      <sheetData sheetId="0" refreshError="1"/>
      <sheetData sheetId="1" refreshError="1"/>
      <sheetData sheetId="2" refreshError="1"/>
      <sheetData sheetId="3" refreshError="1"/>
      <sheetData sheetId="4">
        <row r="5">
          <cell r="A5" t="str">
            <v>Applications Maintenance Team Leaders</v>
          </cell>
        </row>
        <row r="6">
          <cell r="A6" t="str">
            <v>Data Base Administrators - Oracle</v>
          </cell>
        </row>
        <row r="7">
          <cell r="A7" t="str">
            <v>Development Functional /Technical Analysts</v>
          </cell>
        </row>
        <row r="8">
          <cell r="A8" t="str">
            <v>Development Group Leads</v>
          </cell>
        </row>
        <row r="9">
          <cell r="A9" t="str">
            <v>Development Programmers/ Analysts</v>
          </cell>
        </row>
        <row r="10">
          <cell r="A10" t="str">
            <v>Development Team Managers</v>
          </cell>
        </row>
        <row r="11">
          <cell r="A11" t="str">
            <v>Programmers/Analysts - Batch Maintenance</v>
          </cell>
        </row>
        <row r="12">
          <cell r="A12" t="str">
            <v>Programmers/Analysts - Expert Systems</v>
          </cell>
        </row>
        <row r="13">
          <cell r="A13" t="str">
            <v>Programmers/Analysts - Intranet Online</v>
          </cell>
        </row>
        <row r="14">
          <cell r="A14" t="str">
            <v>Project Director / Quality Assurance Partners</v>
          </cell>
        </row>
        <row r="15">
          <cell r="A15" t="str">
            <v>Project Manager</v>
          </cell>
        </row>
        <row r="16">
          <cell r="A16" t="str">
            <v>Sr. Data Base Administrators - Oracle</v>
          </cell>
        </row>
        <row r="17">
          <cell r="A17" t="str">
            <v>Sr. Programmers - Batch Maintenanace</v>
          </cell>
        </row>
        <row r="18">
          <cell r="A18" t="str">
            <v>Sr. Programmers - Expert Systems</v>
          </cell>
        </row>
        <row r="19">
          <cell r="A19" t="str">
            <v>Sr. Programmers - Intranet On-Line</v>
          </cell>
        </row>
        <row r="20">
          <cell r="A20" t="str">
            <v>System Software Specialists</v>
          </cell>
        </row>
      </sheetData>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imeline"/>
      <sheetName val="2.  Detailed Estimate"/>
      <sheetName val="3. HW_SW"/>
      <sheetName val="4.  Resource Totals by Year"/>
      <sheetName val="5.  Assumptions"/>
    </sheetNames>
    <sheetDataSet>
      <sheetData sheetId="0" refreshError="1"/>
      <sheetData sheetId="1" refreshError="1"/>
      <sheetData sheetId="2" refreshError="1"/>
      <sheetData sheetId="3" refreshError="1"/>
      <sheetData sheetId="4">
        <row r="5">
          <cell r="A5" t="str">
            <v>Applications Maintenance Team Leaders</v>
          </cell>
        </row>
        <row r="6">
          <cell r="A6" t="str">
            <v>Data Base Administrators - Oracle</v>
          </cell>
        </row>
        <row r="7">
          <cell r="A7" t="str">
            <v>Development Functional /Technical Analysts</v>
          </cell>
        </row>
        <row r="8">
          <cell r="A8" t="str">
            <v>Development Group Leads</v>
          </cell>
        </row>
        <row r="9">
          <cell r="A9" t="str">
            <v>Development Programmers/ Analysts</v>
          </cell>
        </row>
        <row r="10">
          <cell r="A10" t="str">
            <v>Development Team Managers</v>
          </cell>
        </row>
        <row r="11">
          <cell r="A11" t="str">
            <v>Programmers/Analysts - Batch Maintenance</v>
          </cell>
        </row>
        <row r="12">
          <cell r="A12" t="str">
            <v>Programmers/Analysts - Expert Systems</v>
          </cell>
        </row>
        <row r="13">
          <cell r="A13" t="str">
            <v>Programmers/Analysts - Intranet Online</v>
          </cell>
        </row>
        <row r="14">
          <cell r="A14" t="str">
            <v>Project Director / Quality Assurance Partners</v>
          </cell>
        </row>
        <row r="15">
          <cell r="A15" t="str">
            <v>Project Manager</v>
          </cell>
        </row>
        <row r="16">
          <cell r="A16" t="str">
            <v>Sr. Data Base Administrators - Oracle</v>
          </cell>
        </row>
        <row r="17">
          <cell r="A17" t="str">
            <v>Sr. Programmers - Batch Maintenanace</v>
          </cell>
        </row>
        <row r="18">
          <cell r="A18" t="str">
            <v>Sr. Programmers - Expert Systems</v>
          </cell>
        </row>
        <row r="19">
          <cell r="A19" t="str">
            <v>Sr. Programmers - Intranet On-Line</v>
          </cell>
        </row>
        <row r="20">
          <cell r="A20" t="str">
            <v>System Software Specialists</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evision History"/>
      <sheetName val="Cost Summary "/>
      <sheetName val="Ext - App Maint"/>
      <sheetName val="Ext - Tech Infras Blend"/>
      <sheetName val="Tech Infras - FTEs"/>
      <sheetName val="Ext - Operations"/>
      <sheetName val="Ext - Facilities"/>
      <sheetName val="Ext - HW_SW"/>
      <sheetName val="Assumptions"/>
      <sheetName val="M&amp;O APD"/>
      <sheetName val="Compare"/>
      <sheetName val="App Maint Reduct. Summary"/>
      <sheetName val="Ops Calculations"/>
      <sheetName val="Facilities Calculations"/>
      <sheetName val="Allocation-PY"/>
      <sheetName val="Allocation-Re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13">
          <cell r="A13">
            <v>1</v>
          </cell>
          <cell r="D13" t="e">
            <v>#REF!</v>
          </cell>
          <cell r="E13" t="e">
            <v>#REF!</v>
          </cell>
          <cell r="F13" t="e">
            <v>#REF!</v>
          </cell>
          <cell r="G13" t="e">
            <v>#REF!</v>
          </cell>
          <cell r="H13" t="e">
            <v>#REF!</v>
          </cell>
          <cell r="I13" t="e">
            <v>#REF!</v>
          </cell>
          <cell r="J13" t="e">
            <v>#REF!</v>
          </cell>
          <cell r="K13" t="e">
            <v>#REF!</v>
          </cell>
          <cell r="L13" t="e">
            <v>#REF!</v>
          </cell>
          <cell r="M13" t="e">
            <v>#REF!</v>
          </cell>
        </row>
        <row r="14">
          <cell r="A14">
            <v>2</v>
          </cell>
          <cell r="D14" t="e">
            <v>#REF!</v>
          </cell>
          <cell r="E14" t="e">
            <v>#REF!</v>
          </cell>
          <cell r="F14" t="e">
            <v>#REF!</v>
          </cell>
          <cell r="G14" t="e">
            <v>#REF!</v>
          </cell>
          <cell r="H14" t="e">
            <v>#REF!</v>
          </cell>
          <cell r="I14" t="e">
            <v>#REF!</v>
          </cell>
          <cell r="J14" t="e">
            <v>#REF!</v>
          </cell>
          <cell r="K14" t="e">
            <v>#REF!</v>
          </cell>
          <cell r="L14" t="e">
            <v>#REF!</v>
          </cell>
          <cell r="M14" t="e">
            <v>#REF!</v>
          </cell>
        </row>
        <row r="15">
          <cell r="A15">
            <v>3</v>
          </cell>
          <cell r="D15" t="e">
            <v>#REF!</v>
          </cell>
          <cell r="E15" t="e">
            <v>#REF!</v>
          </cell>
          <cell r="F15" t="e">
            <v>#REF!</v>
          </cell>
          <cell r="G15" t="e">
            <v>#REF!</v>
          </cell>
          <cell r="H15" t="e">
            <v>#REF!</v>
          </cell>
          <cell r="I15" t="e">
            <v>#REF!</v>
          </cell>
          <cell r="J15" t="e">
            <v>#REF!</v>
          </cell>
          <cell r="K15" t="e">
            <v>#REF!</v>
          </cell>
          <cell r="L15" t="e">
            <v>#REF!</v>
          </cell>
          <cell r="M15" t="e">
            <v>#REF!</v>
          </cell>
        </row>
      </sheetData>
      <sheetData sheetId="16">
        <row r="3">
          <cell r="C3" t="str">
            <v>1.0</v>
          </cell>
          <cell r="D3" t="str">
            <v>2.0</v>
          </cell>
          <cell r="E3" t="str">
            <v>3.0</v>
          </cell>
        </row>
        <row r="4">
          <cell r="A4">
            <v>1</v>
          </cell>
          <cell r="B4" t="str">
            <v>Project Director / Quality Assurance Partner</v>
          </cell>
          <cell r="C4">
            <v>0</v>
          </cell>
          <cell r="D4">
            <v>0</v>
          </cell>
          <cell r="E4">
            <v>0</v>
          </cell>
        </row>
        <row r="5">
          <cell r="A5">
            <v>2</v>
          </cell>
          <cell r="B5" t="str">
            <v>Project Manager</v>
          </cell>
          <cell r="C5">
            <v>0</v>
          </cell>
          <cell r="D5">
            <v>0</v>
          </cell>
          <cell r="E5">
            <v>0</v>
          </cell>
        </row>
        <row r="6">
          <cell r="A6">
            <v>3</v>
          </cell>
          <cell r="B6" t="str">
            <v>Development Team Managers</v>
          </cell>
          <cell r="C6">
            <v>0</v>
          </cell>
          <cell r="D6">
            <v>0</v>
          </cell>
          <cell r="E6">
            <v>0</v>
          </cell>
        </row>
        <row r="7">
          <cell r="A7">
            <v>4</v>
          </cell>
          <cell r="B7" t="str">
            <v>Development Group Leads</v>
          </cell>
          <cell r="C7">
            <v>0</v>
          </cell>
          <cell r="D7">
            <v>0</v>
          </cell>
          <cell r="E7">
            <v>0</v>
          </cell>
        </row>
        <row r="8">
          <cell r="A8">
            <v>5</v>
          </cell>
          <cell r="B8" t="str">
            <v>Development Functional /Technical Analysts</v>
          </cell>
          <cell r="C8">
            <v>0</v>
          </cell>
          <cell r="D8">
            <v>0</v>
          </cell>
          <cell r="E8">
            <v>0</v>
          </cell>
        </row>
        <row r="9">
          <cell r="A9">
            <v>6</v>
          </cell>
          <cell r="B9" t="str">
            <v>Development Programmer/ Analysts</v>
          </cell>
          <cell r="C9">
            <v>0</v>
          </cell>
          <cell r="D9">
            <v>0</v>
          </cell>
          <cell r="E9">
            <v>0</v>
          </cell>
        </row>
        <row r="10">
          <cell r="A10">
            <v>7</v>
          </cell>
          <cell r="B10" t="str">
            <v>Applications Maintenance Team Leader</v>
          </cell>
          <cell r="C10">
            <v>0</v>
          </cell>
          <cell r="D10">
            <v>0</v>
          </cell>
          <cell r="E10">
            <v>0</v>
          </cell>
        </row>
        <row r="11">
          <cell r="A11">
            <v>8</v>
          </cell>
          <cell r="B11" t="str">
            <v>Sr. Programmer - Intranet On-Line</v>
          </cell>
          <cell r="C11">
            <v>0</v>
          </cell>
          <cell r="D11">
            <v>0</v>
          </cell>
          <cell r="E11">
            <v>0</v>
          </cell>
        </row>
        <row r="12">
          <cell r="A12">
            <v>9</v>
          </cell>
          <cell r="B12" t="str">
            <v>Programmer/Analyst - Intranet Online</v>
          </cell>
          <cell r="C12">
            <v>0</v>
          </cell>
          <cell r="D12">
            <v>0</v>
          </cell>
          <cell r="E12">
            <v>0</v>
          </cell>
        </row>
        <row r="13">
          <cell r="A13">
            <v>10</v>
          </cell>
          <cell r="B13" t="str">
            <v>Sr. Programmer - Expert Systems</v>
          </cell>
          <cell r="C13">
            <v>0</v>
          </cell>
          <cell r="D13">
            <v>0</v>
          </cell>
          <cell r="E13">
            <v>0</v>
          </cell>
        </row>
        <row r="14">
          <cell r="A14">
            <v>11</v>
          </cell>
          <cell r="B14" t="str">
            <v>Programmer/Analyst - Expert Systems</v>
          </cell>
          <cell r="C14">
            <v>0</v>
          </cell>
          <cell r="D14">
            <v>0</v>
          </cell>
          <cell r="E14">
            <v>0</v>
          </cell>
        </row>
        <row r="15">
          <cell r="A15">
            <v>12</v>
          </cell>
          <cell r="B15" t="str">
            <v>Sr. Programmer - Batch Maintenanace</v>
          </cell>
          <cell r="C15">
            <v>0</v>
          </cell>
          <cell r="D15">
            <v>0</v>
          </cell>
          <cell r="E15">
            <v>0</v>
          </cell>
        </row>
        <row r="16">
          <cell r="A16">
            <v>13</v>
          </cell>
          <cell r="B16" t="str">
            <v>Programmer/Analyst - Batch Maintenance</v>
          </cell>
          <cell r="C16">
            <v>0</v>
          </cell>
          <cell r="D16">
            <v>0</v>
          </cell>
          <cell r="E16">
            <v>0</v>
          </cell>
        </row>
        <row r="17">
          <cell r="A17">
            <v>14</v>
          </cell>
          <cell r="B17" t="str">
            <v>Sr. Data Base Administrator - Oracle</v>
          </cell>
          <cell r="C17">
            <v>0</v>
          </cell>
          <cell r="D17">
            <v>0</v>
          </cell>
          <cell r="E17">
            <v>0</v>
          </cell>
        </row>
        <row r="18">
          <cell r="A18">
            <v>15</v>
          </cell>
          <cell r="B18" t="str">
            <v>Data Base Administrator - Oracle</v>
          </cell>
          <cell r="C18">
            <v>0</v>
          </cell>
          <cell r="D18">
            <v>0</v>
          </cell>
          <cell r="E18">
            <v>0</v>
          </cell>
        </row>
        <row r="19">
          <cell r="A19">
            <v>16</v>
          </cell>
          <cell r="B19" t="str">
            <v>System Software Specialist</v>
          </cell>
          <cell r="C19">
            <v>0</v>
          </cell>
          <cell r="D19">
            <v>0</v>
          </cell>
          <cell r="E1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evision History"/>
      <sheetName val="Cost Summary "/>
      <sheetName val="Ext - App Maint"/>
      <sheetName val="Ext - Tech Infras Blend"/>
      <sheetName val="Tech Infras - FTEs"/>
      <sheetName val="Ext - Operations"/>
      <sheetName val="Ext - Facilities"/>
      <sheetName val="Ext - HW_SW"/>
      <sheetName val="Assumptions"/>
      <sheetName val="M&amp;O APD"/>
      <sheetName val="Compare"/>
      <sheetName val="App Maint Reduct. Summary"/>
      <sheetName val="Ops Calculations"/>
      <sheetName val="Facilities Calculations"/>
      <sheetName val="Allocation-PY"/>
      <sheetName val="Allocation-Re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13">
          <cell r="A13">
            <v>1</v>
          </cell>
          <cell r="D13" t="e">
            <v>#REF!</v>
          </cell>
          <cell r="E13" t="e">
            <v>#REF!</v>
          </cell>
          <cell r="F13" t="e">
            <v>#REF!</v>
          </cell>
          <cell r="G13" t="e">
            <v>#REF!</v>
          </cell>
          <cell r="H13" t="e">
            <v>#REF!</v>
          </cell>
          <cell r="I13" t="e">
            <v>#REF!</v>
          </cell>
          <cell r="J13" t="e">
            <v>#REF!</v>
          </cell>
          <cell r="K13" t="e">
            <v>#REF!</v>
          </cell>
          <cell r="L13" t="e">
            <v>#REF!</v>
          </cell>
          <cell r="M13" t="e">
            <v>#REF!</v>
          </cell>
        </row>
        <row r="14">
          <cell r="A14">
            <v>2</v>
          </cell>
          <cell r="D14" t="e">
            <v>#REF!</v>
          </cell>
          <cell r="E14" t="e">
            <v>#REF!</v>
          </cell>
          <cell r="F14" t="e">
            <v>#REF!</v>
          </cell>
          <cell r="G14" t="e">
            <v>#REF!</v>
          </cell>
          <cell r="H14" t="e">
            <v>#REF!</v>
          </cell>
          <cell r="I14" t="e">
            <v>#REF!</v>
          </cell>
          <cell r="J14" t="e">
            <v>#REF!</v>
          </cell>
          <cell r="K14" t="e">
            <v>#REF!</v>
          </cell>
          <cell r="L14" t="e">
            <v>#REF!</v>
          </cell>
          <cell r="M14" t="e">
            <v>#REF!</v>
          </cell>
        </row>
        <row r="15">
          <cell r="A15">
            <v>3</v>
          </cell>
          <cell r="D15" t="e">
            <v>#REF!</v>
          </cell>
          <cell r="E15" t="e">
            <v>#REF!</v>
          </cell>
          <cell r="F15" t="e">
            <v>#REF!</v>
          </cell>
          <cell r="G15" t="e">
            <v>#REF!</v>
          </cell>
          <cell r="H15" t="e">
            <v>#REF!</v>
          </cell>
          <cell r="I15" t="e">
            <v>#REF!</v>
          </cell>
          <cell r="J15" t="e">
            <v>#REF!</v>
          </cell>
          <cell r="K15" t="e">
            <v>#REF!</v>
          </cell>
          <cell r="L15" t="e">
            <v>#REF!</v>
          </cell>
          <cell r="M15" t="e">
            <v>#REF!</v>
          </cell>
        </row>
      </sheetData>
      <sheetData sheetId="16">
        <row r="3">
          <cell r="C3" t="str">
            <v>1.0</v>
          </cell>
          <cell r="D3" t="str">
            <v>2.0</v>
          </cell>
          <cell r="E3" t="str">
            <v>3.0</v>
          </cell>
        </row>
        <row r="4">
          <cell r="A4">
            <v>1</v>
          </cell>
          <cell r="B4" t="str">
            <v>Project Director / Quality Assurance Partner</v>
          </cell>
          <cell r="C4">
            <v>0</v>
          </cell>
          <cell r="D4">
            <v>0</v>
          </cell>
          <cell r="E4">
            <v>0</v>
          </cell>
        </row>
        <row r="5">
          <cell r="A5">
            <v>2</v>
          </cell>
          <cell r="B5" t="str">
            <v>Project Manager</v>
          </cell>
          <cell r="C5">
            <v>0</v>
          </cell>
          <cell r="D5">
            <v>0</v>
          </cell>
          <cell r="E5">
            <v>0</v>
          </cell>
        </row>
        <row r="6">
          <cell r="A6">
            <v>3</v>
          </cell>
          <cell r="B6" t="str">
            <v>Development Team Managers</v>
          </cell>
          <cell r="C6">
            <v>0</v>
          </cell>
          <cell r="D6">
            <v>0</v>
          </cell>
          <cell r="E6">
            <v>0</v>
          </cell>
        </row>
        <row r="7">
          <cell r="A7">
            <v>4</v>
          </cell>
          <cell r="B7" t="str">
            <v>Development Group Leads</v>
          </cell>
          <cell r="C7">
            <v>0</v>
          </cell>
          <cell r="D7">
            <v>0</v>
          </cell>
          <cell r="E7">
            <v>0</v>
          </cell>
        </row>
        <row r="8">
          <cell r="A8">
            <v>5</v>
          </cell>
          <cell r="B8" t="str">
            <v>Development Functional /Technical Analysts</v>
          </cell>
          <cell r="C8">
            <v>0</v>
          </cell>
          <cell r="D8">
            <v>0</v>
          </cell>
          <cell r="E8">
            <v>0</v>
          </cell>
        </row>
        <row r="9">
          <cell r="A9">
            <v>6</v>
          </cell>
          <cell r="B9" t="str">
            <v>Development Programmer/ Analysts</v>
          </cell>
          <cell r="C9">
            <v>0</v>
          </cell>
          <cell r="D9">
            <v>0</v>
          </cell>
          <cell r="E9">
            <v>0</v>
          </cell>
        </row>
        <row r="10">
          <cell r="A10">
            <v>7</v>
          </cell>
          <cell r="B10" t="str">
            <v>Applications Maintenance Team Leader</v>
          </cell>
          <cell r="C10">
            <v>0</v>
          </cell>
          <cell r="D10">
            <v>0</v>
          </cell>
          <cell r="E10">
            <v>0</v>
          </cell>
        </row>
        <row r="11">
          <cell r="A11">
            <v>8</v>
          </cell>
          <cell r="B11" t="str">
            <v>Sr. Programmer - Intranet On-Line</v>
          </cell>
          <cell r="C11">
            <v>0</v>
          </cell>
          <cell r="D11">
            <v>0</v>
          </cell>
          <cell r="E11">
            <v>0</v>
          </cell>
        </row>
        <row r="12">
          <cell r="A12">
            <v>9</v>
          </cell>
          <cell r="B12" t="str">
            <v>Programmer/Analyst - Intranet Online</v>
          </cell>
          <cell r="C12">
            <v>0</v>
          </cell>
          <cell r="D12">
            <v>0</v>
          </cell>
          <cell r="E12">
            <v>0</v>
          </cell>
        </row>
        <row r="13">
          <cell r="A13">
            <v>10</v>
          </cell>
          <cell r="B13" t="str">
            <v>Sr. Programmer - Expert Systems</v>
          </cell>
          <cell r="C13">
            <v>0</v>
          </cell>
          <cell r="D13">
            <v>0</v>
          </cell>
          <cell r="E13">
            <v>0</v>
          </cell>
        </row>
        <row r="14">
          <cell r="A14">
            <v>11</v>
          </cell>
          <cell r="B14" t="str">
            <v>Programmer/Analyst - Expert Systems</v>
          </cell>
          <cell r="C14">
            <v>0</v>
          </cell>
          <cell r="D14">
            <v>0</v>
          </cell>
          <cell r="E14">
            <v>0</v>
          </cell>
        </row>
        <row r="15">
          <cell r="A15">
            <v>12</v>
          </cell>
          <cell r="B15" t="str">
            <v>Sr. Programmer - Batch Maintenanace</v>
          </cell>
          <cell r="C15">
            <v>0</v>
          </cell>
          <cell r="D15">
            <v>0</v>
          </cell>
          <cell r="E15">
            <v>0</v>
          </cell>
        </row>
        <row r="16">
          <cell r="A16">
            <v>13</v>
          </cell>
          <cell r="B16" t="str">
            <v>Programmer/Analyst - Batch Maintenance</v>
          </cell>
          <cell r="C16">
            <v>0</v>
          </cell>
          <cell r="D16">
            <v>0</v>
          </cell>
          <cell r="E16">
            <v>0</v>
          </cell>
        </row>
        <row r="17">
          <cell r="A17">
            <v>14</v>
          </cell>
          <cell r="B17" t="str">
            <v>Sr. Data Base Administrator - Oracle</v>
          </cell>
          <cell r="C17">
            <v>0</v>
          </cell>
          <cell r="D17">
            <v>0</v>
          </cell>
          <cell r="E17">
            <v>0</v>
          </cell>
        </row>
        <row r="18">
          <cell r="A18">
            <v>15</v>
          </cell>
          <cell r="B18" t="str">
            <v>Data Base Administrator - Oracle</v>
          </cell>
          <cell r="C18">
            <v>0</v>
          </cell>
          <cell r="D18">
            <v>0</v>
          </cell>
          <cell r="E18">
            <v>0</v>
          </cell>
        </row>
        <row r="19">
          <cell r="A19">
            <v>16</v>
          </cell>
          <cell r="B19" t="str">
            <v>System Software Specialist</v>
          </cell>
          <cell r="C19">
            <v>0</v>
          </cell>
          <cell r="D19">
            <v>0</v>
          </cell>
          <cell r="E1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Tasks"/>
      <sheetName val="Detailed Estimate"/>
      <sheetName val="Timeline"/>
      <sheetName val="7. Assumptions"/>
    </sheetNames>
    <sheetDataSet>
      <sheetData sheetId="0" refreshError="1">
        <row r="41">
          <cell r="L41">
            <v>50</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Tasks"/>
      <sheetName val="Detailed Estimate"/>
      <sheetName val="Timeline"/>
      <sheetName val="7. Assumptions"/>
    </sheetNames>
    <sheetDataSet>
      <sheetData sheetId="0" refreshError="1">
        <row r="41">
          <cell r="L41">
            <v>50</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Estimates"/>
      <sheetName val="Staffing Detail"/>
      <sheetName val="Financial Model"/>
      <sheetName val="CTA Link"/>
      <sheetName val="Lookups"/>
      <sheetName val="RateCard"/>
      <sheetName val="Payment Schedule"/>
      <sheetName val="Metrics"/>
      <sheetName val="WorkStream Effort"/>
      <sheetName val="Slides"/>
      <sheetName val="Slides-2"/>
    </sheetNames>
    <sheetDataSet>
      <sheetData sheetId="0" refreshError="1"/>
      <sheetData sheetId="1" refreshError="1"/>
      <sheetData sheetId="2" refreshError="1"/>
      <sheetData sheetId="3" refreshError="1"/>
      <sheetData sheetId="4" refreshError="1">
        <row r="2">
          <cell r="A2" t="str">
            <v>USA</v>
          </cell>
          <cell r="B2" t="str">
            <v>SourceList</v>
          </cell>
          <cell r="C2" t="str">
            <v>USA</v>
          </cell>
          <cell r="D2" t="str">
            <v>ACN Onshore</v>
          </cell>
          <cell r="M2">
            <v>30</v>
          </cell>
          <cell r="AA2" t="str">
            <v xml:space="preserve">Management </v>
          </cell>
        </row>
        <row r="3">
          <cell r="A3" t="str">
            <v>INDIA</v>
          </cell>
          <cell r="B3" t="str">
            <v>ForeignSourceList</v>
          </cell>
          <cell r="C3" t="str">
            <v>INDIA</v>
          </cell>
          <cell r="D3" t="str">
            <v>Subcontractor Onshore</v>
          </cell>
          <cell r="M3">
            <v>31</v>
          </cell>
          <cell r="AA3" t="str">
            <v xml:space="preserve">Architect Staff </v>
          </cell>
        </row>
        <row r="4">
          <cell r="A4" t="str">
            <v>Philippines</v>
          </cell>
          <cell r="B4" t="str">
            <v>ForeignSourceList</v>
          </cell>
          <cell r="C4" t="str">
            <v>Philippines</v>
          </cell>
          <cell r="D4" t="str">
            <v>Client</v>
          </cell>
          <cell r="M4">
            <v>32</v>
          </cell>
          <cell r="AA4" t="str">
            <v xml:space="preserve">Project Management Staff </v>
          </cell>
        </row>
        <row r="5">
          <cell r="A5" t="str">
            <v>ACN Onshore</v>
          </cell>
          <cell r="B5" t="str">
            <v>ACNWorkforceList</v>
          </cell>
          <cell r="M5">
            <v>33</v>
          </cell>
          <cell r="AA5" t="str">
            <v xml:space="preserve">Quality Assurance Staff </v>
          </cell>
        </row>
        <row r="6">
          <cell r="A6" t="str">
            <v>Client</v>
          </cell>
          <cell r="B6" t="str">
            <v>ClientWorkforceList</v>
          </cell>
          <cell r="M6">
            <v>34</v>
          </cell>
          <cell r="AA6" t="str">
            <v xml:space="preserve">Database Administrator(s) </v>
          </cell>
        </row>
        <row r="7">
          <cell r="A7" t="str">
            <v>Subcontractor Onshore</v>
          </cell>
          <cell r="B7" t="str">
            <v>SubkWorkforceList</v>
          </cell>
          <cell r="M7">
            <v>50</v>
          </cell>
          <cell r="AA7" t="str">
            <v xml:space="preserve">Senior System Analyst(s) </v>
          </cell>
        </row>
        <row r="8">
          <cell r="A8" t="str">
            <v>ACN OnshoreConsulting</v>
          </cell>
          <cell r="B8" t="str">
            <v>ACNConsultingRateTypeList</v>
          </cell>
          <cell r="M8">
            <v>51</v>
          </cell>
          <cell r="AA8" t="str">
            <v xml:space="preserve">Programmer/Analyst(s) </v>
          </cell>
        </row>
        <row r="9">
          <cell r="A9" t="str">
            <v>ACN OnshoreEnterprise</v>
          </cell>
          <cell r="B9" t="str">
            <v>ACNEnterpriseRateTypeList</v>
          </cell>
          <cell r="M9">
            <v>52</v>
          </cell>
          <cell r="AA9" t="str">
            <v xml:space="preserve">Training Staff </v>
          </cell>
        </row>
        <row r="10">
          <cell r="A10" t="str">
            <v>ACN OnshoreSolutions</v>
          </cell>
          <cell r="B10" t="str">
            <v>ACNSolutionsRateTypeList</v>
          </cell>
          <cell r="M10">
            <v>53</v>
          </cell>
          <cell r="AA10" t="str">
            <v xml:space="preserve">Technical Writer(s) </v>
          </cell>
        </row>
        <row r="11">
          <cell r="A11" t="str">
            <v>ACN OnshoreServices</v>
          </cell>
          <cell r="B11" t="str">
            <v>ACNServicesRateTypeList</v>
          </cell>
          <cell r="M11">
            <v>54</v>
          </cell>
          <cell r="AA11" t="str">
            <v xml:space="preserve">Help Desk/Call Center Support Analyst(s) </v>
          </cell>
        </row>
        <row r="12">
          <cell r="A12" t="str">
            <v>ClientClient</v>
          </cell>
          <cell r="B12" t="str">
            <v>NAList</v>
          </cell>
          <cell r="M12">
            <v>55</v>
          </cell>
          <cell r="AA12" t="str">
            <v xml:space="preserve">Clerical </v>
          </cell>
        </row>
        <row r="13">
          <cell r="A13" t="str">
            <v>Subcontractor OnshoreSubcontractors</v>
          </cell>
          <cell r="B13" t="str">
            <v>SubkWorkforceRateTypeList</v>
          </cell>
          <cell r="M13">
            <v>60</v>
          </cell>
          <cell r="AA13" t="str">
            <v xml:space="preserve">System Engineers </v>
          </cell>
        </row>
        <row r="14">
          <cell r="A14" t="str">
            <v>Subcontractor OnshoreSubcontractorsNA</v>
          </cell>
          <cell r="B14" t="str">
            <v>NAList</v>
          </cell>
          <cell r="M14">
            <v>61</v>
          </cell>
          <cell r="AA14" t="str">
            <v xml:space="preserve">System Operations Administrator(s) </v>
          </cell>
        </row>
        <row r="15">
          <cell r="A15" t="str">
            <v>Subcontractor OnshoreSubcontractor 3</v>
          </cell>
          <cell r="B15" t="str">
            <v>NAList</v>
          </cell>
          <cell r="M15">
            <v>62</v>
          </cell>
          <cell r="AA15" t="str">
            <v xml:space="preserve">Subject Matter Experts </v>
          </cell>
        </row>
        <row r="16">
          <cell r="A16" t="str">
            <v>Subcontractor OnshoreSubcontractor 4</v>
          </cell>
          <cell r="B16" t="str">
            <v>NAList</v>
          </cell>
          <cell r="M16">
            <v>63</v>
          </cell>
          <cell r="AA16" t="str">
            <v xml:space="preserve">Business Analysts </v>
          </cell>
        </row>
        <row r="17">
          <cell r="A17" t="str">
            <v>Subcontractor OnshoreSubcontractor 5</v>
          </cell>
          <cell r="B17" t="str">
            <v>NAList</v>
          </cell>
          <cell r="M17">
            <v>64</v>
          </cell>
          <cell r="AA17" t="str">
            <v xml:space="preserve">Reporting Analysts </v>
          </cell>
        </row>
        <row r="18">
          <cell r="A18" t="str">
            <v>ConsultingSI</v>
          </cell>
          <cell r="B18" t="str">
            <v>ConsultingBillCodes</v>
          </cell>
          <cell r="M18">
            <v>65</v>
          </cell>
        </row>
        <row r="19">
          <cell r="A19" t="str">
            <v>ConsultingMgt</v>
          </cell>
          <cell r="B19" t="str">
            <v>ConsultingBillCodes</v>
          </cell>
          <cell r="M19">
            <v>66</v>
          </cell>
        </row>
        <row r="20">
          <cell r="A20" t="str">
            <v>ConsultingTech</v>
          </cell>
          <cell r="B20" t="str">
            <v>ConsultingBillCodes</v>
          </cell>
          <cell r="M20">
            <v>67</v>
          </cell>
        </row>
        <row r="21">
          <cell r="A21" t="str">
            <v>EnterpriseNA</v>
          </cell>
          <cell r="B21" t="str">
            <v>EnterpriseBillCodes</v>
          </cell>
          <cell r="M21">
            <v>68</v>
          </cell>
        </row>
        <row r="22">
          <cell r="A22" t="str">
            <v>ServicesDelivery Center</v>
          </cell>
          <cell r="B22" t="str">
            <v>ServicesDeliveryCenterBillCodes</v>
          </cell>
          <cell r="M22">
            <v>69</v>
          </cell>
        </row>
        <row r="23">
          <cell r="A23" t="str">
            <v>ServicesStandard</v>
          </cell>
          <cell r="B23" t="str">
            <v>ServicesStandardBillCodes</v>
          </cell>
          <cell r="M23">
            <v>70</v>
          </cell>
        </row>
        <row r="24">
          <cell r="A24" t="str">
            <v>SolutionsDelivery Center/Local</v>
          </cell>
          <cell r="B24" t="str">
            <v>SolutionsBillCodes</v>
          </cell>
          <cell r="M24">
            <v>71</v>
          </cell>
        </row>
        <row r="25">
          <cell r="A25" t="str">
            <v>SolutionsIndia GCP to US</v>
          </cell>
          <cell r="B25" t="str">
            <v>GCPBillCodes</v>
          </cell>
          <cell r="M25">
            <v>72</v>
          </cell>
        </row>
        <row r="26">
          <cell r="A26" t="str">
            <v>SolutionsManila GCP to US</v>
          </cell>
          <cell r="B26" t="str">
            <v>GCPBillCodes</v>
          </cell>
          <cell r="M26">
            <v>80</v>
          </cell>
        </row>
        <row r="27">
          <cell r="A27" t="str">
            <v>ClientNA</v>
          </cell>
          <cell r="B27" t="str">
            <v>NAList</v>
          </cell>
          <cell r="M27">
            <v>81</v>
          </cell>
        </row>
        <row r="28">
          <cell r="A28" t="str">
            <v>SubcontractorsNA</v>
          </cell>
          <cell r="B28" t="str">
            <v>Subcontractor1BillCodes</v>
          </cell>
          <cell r="M28">
            <v>82</v>
          </cell>
        </row>
        <row r="29">
          <cell r="A29" t="str">
            <v>Subcontractor 2NA</v>
          </cell>
          <cell r="B29" t="str">
            <v>Subcontractor2BillCodes</v>
          </cell>
          <cell r="M29">
            <v>83</v>
          </cell>
        </row>
        <row r="30">
          <cell r="A30" t="str">
            <v>Subcontractor 3NA</v>
          </cell>
          <cell r="B30" t="str">
            <v>Subcontractor3BillCodes</v>
          </cell>
          <cell r="M30">
            <v>84</v>
          </cell>
        </row>
        <row r="31">
          <cell r="A31" t="str">
            <v>Subcontractor 4NA</v>
          </cell>
          <cell r="B31" t="str">
            <v>Subcontractor4BillCodes</v>
          </cell>
          <cell r="M31">
            <v>85</v>
          </cell>
        </row>
        <row r="32">
          <cell r="A32" t="str">
            <v>Subcontractor 5NA</v>
          </cell>
          <cell r="B32" t="str">
            <v>Subcontractor5BillCodes</v>
          </cell>
          <cell r="M32">
            <v>86</v>
          </cell>
        </row>
        <row r="33">
          <cell r="A33" t="str">
            <v>ACN OnshoreConsultingSI</v>
          </cell>
          <cell r="B33" t="str">
            <v>NAList</v>
          </cell>
          <cell r="M33">
            <v>87</v>
          </cell>
        </row>
        <row r="34">
          <cell r="A34" t="str">
            <v>ACN OnshoreConsultingMgt</v>
          </cell>
          <cell r="B34" t="str">
            <v>NAList</v>
          </cell>
          <cell r="M34">
            <v>88</v>
          </cell>
        </row>
        <row r="35">
          <cell r="A35" t="str">
            <v>ACN OnshoreConsultingTech</v>
          </cell>
          <cell r="B35" t="str">
            <v>NAList</v>
          </cell>
          <cell r="M35">
            <v>89</v>
          </cell>
        </row>
        <row r="36">
          <cell r="A36" t="str">
            <v>ACN OnshoreEnterpriseNA</v>
          </cell>
          <cell r="B36" t="str">
            <v>NAList</v>
          </cell>
          <cell r="M36">
            <v>90</v>
          </cell>
        </row>
        <row r="37">
          <cell r="A37" t="str">
            <v>ACN OnshoreServicesDelivery Center</v>
          </cell>
          <cell r="B37" t="str">
            <v>SolutionsLoadTypes</v>
          </cell>
          <cell r="M37">
            <v>91</v>
          </cell>
        </row>
        <row r="38">
          <cell r="A38" t="str">
            <v>ACN OnshoreServicesStandard</v>
          </cell>
          <cell r="B38" t="str">
            <v>ServicesLoadTypes</v>
          </cell>
          <cell r="M38">
            <v>92</v>
          </cell>
        </row>
        <row r="39">
          <cell r="A39" t="str">
            <v>ACN OnshoreSolutionsDelivery Center/Local</v>
          </cell>
          <cell r="B39" t="str">
            <v>SolutionsLoadTypes</v>
          </cell>
          <cell r="M39">
            <v>93</v>
          </cell>
        </row>
        <row r="40">
          <cell r="A40" t="str">
            <v>ACN OnshoreSolutionsIndia GCP to US</v>
          </cell>
          <cell r="B40" t="str">
            <v>NAList</v>
          </cell>
          <cell r="M40">
            <v>94</v>
          </cell>
        </row>
        <row r="41">
          <cell r="A41" t="str">
            <v>ACN OnshoreSolutionsManila GCP to US</v>
          </cell>
          <cell r="B41" t="str">
            <v>NAList</v>
          </cell>
          <cell r="M41">
            <v>95</v>
          </cell>
        </row>
        <row r="42">
          <cell r="A42" t="str">
            <v>ClientClientNA</v>
          </cell>
          <cell r="B42" t="str">
            <v>NAList</v>
          </cell>
          <cell r="M42">
            <v>96</v>
          </cell>
        </row>
        <row r="43">
          <cell r="A43" t="str">
            <v>Subcontractor OnshoreSubcontractor 1NA</v>
          </cell>
          <cell r="B43" t="str">
            <v>NAList</v>
          </cell>
          <cell r="M43">
            <v>97</v>
          </cell>
        </row>
        <row r="44">
          <cell r="A44" t="str">
            <v>Subcontractor OnshoreSubcontractor 2NA</v>
          </cell>
          <cell r="B44" t="str">
            <v>NAList</v>
          </cell>
          <cell r="M44">
            <v>98</v>
          </cell>
        </row>
        <row r="45">
          <cell r="A45" t="str">
            <v>Subcontractor OnshoreSubcontractor 3NA</v>
          </cell>
          <cell r="B45" t="str">
            <v>NAList</v>
          </cell>
        </row>
        <row r="46">
          <cell r="A46" t="str">
            <v>Subcontractor OnshoreSubcontractor 4NA</v>
          </cell>
          <cell r="B46" t="str">
            <v>NAList</v>
          </cell>
        </row>
        <row r="47">
          <cell r="A47" t="str">
            <v>Subcontractor OnshoreSubcontractor 5NA</v>
          </cell>
          <cell r="B47" t="str">
            <v>NAList</v>
          </cell>
        </row>
        <row r="54">
          <cell r="M54">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sheetData>
      <sheetData sheetId="5" refreshError="1">
        <row r="21">
          <cell r="K21" t="str">
            <v>USAConsultingMgt30NA</v>
          </cell>
          <cell r="L21" t="str">
            <v>Analyst</v>
          </cell>
          <cell r="M21">
            <v>150.66666666666666</v>
          </cell>
          <cell r="N21">
            <v>59.49395501239443</v>
          </cell>
          <cell r="O21">
            <v>61.71506246787731</v>
          </cell>
          <cell r="P21">
            <v>64.183664966592403</v>
          </cell>
          <cell r="Q21">
            <v>67.392848214922026</v>
          </cell>
          <cell r="R21">
            <v>70.762490625668136</v>
          </cell>
          <cell r="S21">
            <v>74.300615156951551</v>
          </cell>
          <cell r="T21">
            <v>78.015645914799137</v>
          </cell>
        </row>
        <row r="22">
          <cell r="K22" t="str">
            <v>USAConsultingMgt31NA</v>
          </cell>
          <cell r="L22" t="str">
            <v>Analyst</v>
          </cell>
          <cell r="M22">
            <v>150.66666666666666</v>
          </cell>
          <cell r="N22">
            <v>68.356862757430363</v>
          </cell>
          <cell r="O22">
            <v>70.908852072518229</v>
          </cell>
          <cell r="P22">
            <v>73.745206155418956</v>
          </cell>
          <cell r="Q22">
            <v>77.432466463189911</v>
          </cell>
          <cell r="R22">
            <v>81.304089786349408</v>
          </cell>
          <cell r="S22">
            <v>85.369294275666888</v>
          </cell>
          <cell r="T22">
            <v>89.637758989450234</v>
          </cell>
        </row>
        <row r="23">
          <cell r="K23" t="str">
            <v>USAConsultingMgt32NA</v>
          </cell>
          <cell r="L23" t="str">
            <v>Analyst</v>
          </cell>
          <cell r="M23">
            <v>150.66666666666666</v>
          </cell>
          <cell r="N23">
            <v>75.551782672537598</v>
          </cell>
          <cell r="O23">
            <v>78.372382307139731</v>
          </cell>
          <cell r="P23">
            <v>81.507277599425322</v>
          </cell>
          <cell r="Q23">
            <v>85.582641479396585</v>
          </cell>
          <cell r="R23">
            <v>89.861773553366419</v>
          </cell>
          <cell r="S23">
            <v>94.354862231034744</v>
          </cell>
          <cell r="T23">
            <v>99.072605342586485</v>
          </cell>
        </row>
        <row r="24">
          <cell r="K24" t="str">
            <v>USAConsultingMgt33NA</v>
          </cell>
          <cell r="L24" t="str">
            <v>Analyst</v>
          </cell>
          <cell r="M24">
            <v>150.66666666666666</v>
          </cell>
          <cell r="N24">
            <v>85.632091729539624</v>
          </cell>
          <cell r="O24">
            <v>88.829022868668801</v>
          </cell>
          <cell r="P24">
            <v>92.382183783415556</v>
          </cell>
          <cell r="Q24">
            <v>97.001292972586342</v>
          </cell>
          <cell r="R24">
            <v>101.85135762121567</v>
          </cell>
          <cell r="S24">
            <v>106.94392550227646</v>
          </cell>
          <cell r="T24">
            <v>112.29112177739029</v>
          </cell>
        </row>
        <row r="25">
          <cell r="K25" t="str">
            <v>USAConsultingMgt34NA</v>
          </cell>
          <cell r="L25" t="str">
            <v>Analyst</v>
          </cell>
          <cell r="M25">
            <v>150.66666666666666</v>
          </cell>
          <cell r="N25">
            <v>97.391207032935228</v>
          </cell>
          <cell r="O25">
            <v>101.02714510419412</v>
          </cell>
          <cell r="P25">
            <v>105.06823090836188</v>
          </cell>
          <cell r="Q25">
            <v>110.32164245377999</v>
          </cell>
          <cell r="R25">
            <v>115.83772457646899</v>
          </cell>
          <cell r="S25">
            <v>121.62961080529244</v>
          </cell>
          <cell r="T25">
            <v>127.71109134555707</v>
          </cell>
        </row>
        <row r="26">
          <cell r="K26" t="str">
            <v>USAConsultingMgt50NA</v>
          </cell>
          <cell r="L26" t="str">
            <v>Consultant</v>
          </cell>
          <cell r="M26">
            <v>150.66666666666666</v>
          </cell>
          <cell r="N26">
            <v>74.905600371998275</v>
          </cell>
          <cell r="O26">
            <v>77.702075869534212</v>
          </cell>
          <cell r="P26">
            <v>80.810158904315585</v>
          </cell>
          <cell r="Q26">
            <v>84.850666849531365</v>
          </cell>
          <cell r="R26">
            <v>89.093200192007941</v>
          </cell>
          <cell r="S26">
            <v>93.547860201608344</v>
          </cell>
          <cell r="T26">
            <v>98.225253211688766</v>
          </cell>
        </row>
        <row r="27">
          <cell r="K27" t="str">
            <v>USAConsultingMgt51NA</v>
          </cell>
          <cell r="L27" t="str">
            <v>Consultant</v>
          </cell>
          <cell r="M27">
            <v>150.66666666666666</v>
          </cell>
          <cell r="N27">
            <v>83.570081230744634</v>
          </cell>
          <cell r="O27">
            <v>86.690030651458841</v>
          </cell>
          <cell r="P27">
            <v>90.157631877517204</v>
          </cell>
          <cell r="Q27">
            <v>94.665513471393069</v>
          </cell>
          <cell r="R27">
            <v>99.39878914496272</v>
          </cell>
          <cell r="S27">
            <v>104.36872860221087</v>
          </cell>
          <cell r="T27">
            <v>109.58716503232141</v>
          </cell>
        </row>
        <row r="28">
          <cell r="K28" t="str">
            <v>USAConsultingMgt52NA</v>
          </cell>
          <cell r="L28" t="str">
            <v>Consultant</v>
          </cell>
          <cell r="M28">
            <v>150.66666666666666</v>
          </cell>
          <cell r="N28">
            <v>92.969041666807499</v>
          </cell>
          <cell r="O28">
            <v>96.439885579138178</v>
          </cell>
          <cell r="P28">
            <v>100.29748100230371</v>
          </cell>
          <cell r="Q28">
            <v>105.31235505241891</v>
          </cell>
          <cell r="R28">
            <v>110.57797280503986</v>
          </cell>
          <cell r="S28">
            <v>116.10687144529186</v>
          </cell>
          <cell r="T28">
            <v>121.91221501755646</v>
          </cell>
        </row>
        <row r="29">
          <cell r="K29" t="str">
            <v>USAConsultingMgt53NA</v>
          </cell>
          <cell r="L29" t="str">
            <v>Consultant</v>
          </cell>
          <cell r="M29">
            <v>150.66666666666666</v>
          </cell>
          <cell r="N29">
            <v>102.73943131330014</v>
          </cell>
          <cell r="O29">
            <v>106.57503640653192</v>
          </cell>
          <cell r="P29">
            <v>110.8380378627932</v>
          </cell>
          <cell r="Q29">
            <v>116.37993975593287</v>
          </cell>
          <cell r="R29">
            <v>122.19893674372952</v>
          </cell>
          <cell r="S29">
            <v>128.30888358091599</v>
          </cell>
          <cell r="T29">
            <v>134.7243277599618</v>
          </cell>
        </row>
        <row r="30">
          <cell r="K30" t="str">
            <v>USAConsultingMgt54NA</v>
          </cell>
          <cell r="L30" t="str">
            <v>Consultant</v>
          </cell>
          <cell r="M30">
            <v>150.66666666666666</v>
          </cell>
          <cell r="N30">
            <v>112.81778772749912</v>
          </cell>
          <cell r="O30">
            <v>117.0296514265998</v>
          </cell>
          <cell r="P30">
            <v>121.71083748366379</v>
          </cell>
          <cell r="Q30">
            <v>127.79637935784699</v>
          </cell>
          <cell r="R30">
            <v>134.18619832573935</v>
          </cell>
          <cell r="S30">
            <v>140.89550824202632</v>
          </cell>
          <cell r="T30">
            <v>147.94028365412765</v>
          </cell>
        </row>
        <row r="31">
          <cell r="K31" t="str">
            <v>USAConsultingMgt55NA</v>
          </cell>
          <cell r="L31" t="str">
            <v>Consultant</v>
          </cell>
          <cell r="M31">
            <v>150.66666666666666</v>
          </cell>
          <cell r="N31">
            <v>130.38239585754678</v>
          </cell>
          <cell r="O31">
            <v>135.25000486828722</v>
          </cell>
          <cell r="P31">
            <v>140.6600050630187</v>
          </cell>
          <cell r="Q31">
            <v>147.69300531616963</v>
          </cell>
          <cell r="R31">
            <v>155.07765558197812</v>
          </cell>
          <cell r="S31">
            <v>162.83153836107704</v>
          </cell>
          <cell r="T31">
            <v>170.97311527913089</v>
          </cell>
        </row>
        <row r="32">
          <cell r="K32" t="str">
            <v>USAConsultingMgt60NA</v>
          </cell>
          <cell r="L32" t="str">
            <v>Manager</v>
          </cell>
          <cell r="M32">
            <v>149.33333333333334</v>
          </cell>
          <cell r="N32">
            <v>106.25105158290732</v>
          </cell>
          <cell r="O32">
            <v>110.21775715449903</v>
          </cell>
          <cell r="P32">
            <v>114.62646744067899</v>
          </cell>
          <cell r="Q32">
            <v>120.35779081271295</v>
          </cell>
          <cell r="R32">
            <v>126.3756803533486</v>
          </cell>
          <cell r="S32">
            <v>132.69446437101604</v>
          </cell>
          <cell r="T32">
            <v>139.32918758956686</v>
          </cell>
        </row>
        <row r="33">
          <cell r="K33" t="str">
            <v>USAConsultingMgt61NA</v>
          </cell>
          <cell r="L33" t="str">
            <v>Manager</v>
          </cell>
          <cell r="M33">
            <v>149.33333333333334</v>
          </cell>
          <cell r="N33">
            <v>124.90378082623951</v>
          </cell>
          <cell r="O33">
            <v>129.5668548940732</v>
          </cell>
          <cell r="P33">
            <v>134.74952908983613</v>
          </cell>
          <cell r="Q33">
            <v>141.48700554432796</v>
          </cell>
          <cell r="R33">
            <v>148.56135582154437</v>
          </cell>
          <cell r="S33">
            <v>155.98942361262158</v>
          </cell>
          <cell r="T33">
            <v>163.78889479325267</v>
          </cell>
        </row>
        <row r="34">
          <cell r="K34" t="str">
            <v>USAConsultingMgt62NA</v>
          </cell>
          <cell r="L34" t="str">
            <v>Manager</v>
          </cell>
          <cell r="M34">
            <v>149.33333333333334</v>
          </cell>
          <cell r="N34">
            <v>142.14508952770441</v>
          </cell>
          <cell r="O34">
            <v>147.45183906292175</v>
          </cell>
          <cell r="P34">
            <v>153.34991262543863</v>
          </cell>
          <cell r="Q34">
            <v>161.01740825671058</v>
          </cell>
          <cell r="R34">
            <v>169.06827866954612</v>
          </cell>
          <cell r="S34">
            <v>177.52169260302344</v>
          </cell>
          <cell r="T34">
            <v>186.39777723317462</v>
          </cell>
        </row>
        <row r="35">
          <cell r="K35" t="str">
            <v>USAConsultingMgt63NA</v>
          </cell>
          <cell r="L35" t="str">
            <v>Manager</v>
          </cell>
          <cell r="M35">
            <v>149.33333333333334</v>
          </cell>
          <cell r="N35">
            <v>156.48973660752441</v>
          </cell>
          <cell r="O35">
            <v>162.33201958590621</v>
          </cell>
          <cell r="P35">
            <v>168.82530036934247</v>
          </cell>
          <cell r="Q35">
            <v>177.26656538780961</v>
          </cell>
          <cell r="R35">
            <v>186.12989365720009</v>
          </cell>
          <cell r="S35">
            <v>195.43638834006009</v>
          </cell>
          <cell r="T35">
            <v>205.20820775706309</v>
          </cell>
        </row>
        <row r="36">
          <cell r="K36" t="str">
            <v>USAConsultingMgt64NA</v>
          </cell>
          <cell r="L36" t="str">
            <v>Manager</v>
          </cell>
          <cell r="M36">
            <v>149.33333333333334</v>
          </cell>
          <cell r="N36">
            <v>164.54451151333888</v>
          </cell>
          <cell r="O36">
            <v>170.68750606135515</v>
          </cell>
          <cell r="P36">
            <v>177.51500630380937</v>
          </cell>
          <cell r="Q36">
            <v>186.39075661899986</v>
          </cell>
          <cell r="R36">
            <v>195.71029444994986</v>
          </cell>
          <cell r="S36">
            <v>205.49580917244737</v>
          </cell>
          <cell r="T36">
            <v>215.77059963106976</v>
          </cell>
        </row>
        <row r="37">
          <cell r="K37" t="str">
            <v>USAConsultingMgt65NA</v>
          </cell>
          <cell r="L37" t="str">
            <v>Manager</v>
          </cell>
          <cell r="M37">
            <v>149.33333333333334</v>
          </cell>
          <cell r="N37">
            <v>175.7228198527757</v>
          </cell>
          <cell r="O37">
            <v>182.28313787486994</v>
          </cell>
          <cell r="P37">
            <v>189.57446338986475</v>
          </cell>
          <cell r="Q37">
            <v>199.05318655935798</v>
          </cell>
          <cell r="R37">
            <v>209.0058458873259</v>
          </cell>
          <cell r="S37">
            <v>219.45613818169221</v>
          </cell>
          <cell r="T37">
            <v>230.42894509077684</v>
          </cell>
        </row>
        <row r="38">
          <cell r="K38" t="str">
            <v>USAConsultingMgt66NA</v>
          </cell>
          <cell r="L38" t="str">
            <v>Manager</v>
          </cell>
          <cell r="M38">
            <v>149.33333333333334</v>
          </cell>
          <cell r="N38">
            <v>191.00286542569285</v>
          </cell>
          <cell r="O38">
            <v>198.13363843157583</v>
          </cell>
          <cell r="P38">
            <v>206.05898396883887</v>
          </cell>
          <cell r="Q38">
            <v>216.36193316728082</v>
          </cell>
          <cell r="R38">
            <v>227.18002982564488</v>
          </cell>
          <cell r="S38">
            <v>238.53903131692712</v>
          </cell>
          <cell r="T38">
            <v>250.46598288277349</v>
          </cell>
        </row>
        <row r="39">
          <cell r="K39" t="str">
            <v>USAConsultingMgt80NA</v>
          </cell>
          <cell r="L39" t="str">
            <v>Sr. Executive</v>
          </cell>
          <cell r="M39">
            <v>149.33333333333334</v>
          </cell>
          <cell r="N39">
            <v>208.73498044258679</v>
          </cell>
          <cell r="O39">
            <v>216.52775234999345</v>
          </cell>
          <cell r="P39">
            <v>225.1888624439932</v>
          </cell>
          <cell r="Q39">
            <v>236.44830556619289</v>
          </cell>
          <cell r="R39">
            <v>248.27072084450253</v>
          </cell>
          <cell r="S39">
            <v>260.68425688672767</v>
          </cell>
          <cell r="T39">
            <v>273.71846973106409</v>
          </cell>
        </row>
        <row r="40">
          <cell r="K40" t="str">
            <v>USAConsultingMgt81NA</v>
          </cell>
          <cell r="L40" t="str">
            <v>Sr. Executive</v>
          </cell>
          <cell r="M40">
            <v>149.33333333333334</v>
          </cell>
          <cell r="N40">
            <v>232.73406982645579</v>
          </cell>
          <cell r="O40">
            <v>241.42280765752992</v>
          </cell>
          <cell r="P40">
            <v>251.07971996383111</v>
          </cell>
          <cell r="Q40">
            <v>263.6337059620227</v>
          </cell>
          <cell r="R40">
            <v>276.81539126012387</v>
          </cell>
          <cell r="S40">
            <v>290.65616082313011</v>
          </cell>
          <cell r="T40">
            <v>305.18896886428661</v>
          </cell>
        </row>
        <row r="41">
          <cell r="K41" t="str">
            <v>USAConsultingMgt82NA</v>
          </cell>
          <cell r="L41" t="str">
            <v>Sr. Executive</v>
          </cell>
          <cell r="M41">
            <v>149.33333333333334</v>
          </cell>
          <cell r="N41">
            <v>255.13502989081687</v>
          </cell>
          <cell r="O41">
            <v>264.6600701562906</v>
          </cell>
          <cell r="P41">
            <v>275.24647296254221</v>
          </cell>
          <cell r="Q41">
            <v>289.00879661066932</v>
          </cell>
          <cell r="R41">
            <v>303.45923644120279</v>
          </cell>
          <cell r="S41">
            <v>318.63219826326292</v>
          </cell>
          <cell r="T41">
            <v>334.56380817642611</v>
          </cell>
        </row>
        <row r="42">
          <cell r="K42" t="str">
            <v>USAConsultingMgt83NA</v>
          </cell>
          <cell r="L42" t="str">
            <v>Sr. Executive</v>
          </cell>
          <cell r="M42">
            <v>149.33333333333334</v>
          </cell>
          <cell r="N42">
            <v>280.29918162721572</v>
          </cell>
          <cell r="O42">
            <v>290.7636834736345</v>
          </cell>
          <cell r="P42">
            <v>302.39423081257991</v>
          </cell>
          <cell r="Q42">
            <v>317.5139423532089</v>
          </cell>
          <cell r="R42">
            <v>333.38963947086938</v>
          </cell>
          <cell r="S42">
            <v>350.05912144441288</v>
          </cell>
          <cell r="T42">
            <v>367.56207751663356</v>
          </cell>
        </row>
        <row r="43">
          <cell r="K43" t="str">
            <v>USAConsultingMgt84NA</v>
          </cell>
          <cell r="L43" t="str">
            <v>Sr. Executive</v>
          </cell>
          <cell r="M43">
            <v>149.33333333333334</v>
          </cell>
          <cell r="N43">
            <v>309.85016359696021</v>
          </cell>
          <cell r="O43">
            <v>321.41790200507955</v>
          </cell>
          <cell r="P43">
            <v>334.27461808528273</v>
          </cell>
          <cell r="Q43">
            <v>350.98834898954686</v>
          </cell>
          <cell r="R43">
            <v>368.53776643902421</v>
          </cell>
          <cell r="S43">
            <v>386.96465476097546</v>
          </cell>
          <cell r="T43">
            <v>406.31288749902427</v>
          </cell>
        </row>
        <row r="44">
          <cell r="K44" t="str">
            <v>USAConsultingMgt85NA</v>
          </cell>
          <cell r="L44" t="str">
            <v>Sr. Executive</v>
          </cell>
          <cell r="M44">
            <v>149.33333333333334</v>
          </cell>
          <cell r="N44">
            <v>327.91960338314601</v>
          </cell>
          <cell r="O44">
            <v>340.16193414971815</v>
          </cell>
          <cell r="P44">
            <v>353.76841151570687</v>
          </cell>
          <cell r="Q44">
            <v>371.45683209149223</v>
          </cell>
          <cell r="R44">
            <v>390.02967369606688</v>
          </cell>
          <cell r="S44">
            <v>409.53115738087024</v>
          </cell>
          <cell r="T44">
            <v>430.00771524991376</v>
          </cell>
        </row>
        <row r="45">
          <cell r="K45" t="str">
            <v>USAConsultingMgt86NA</v>
          </cell>
          <cell r="L45" t="str">
            <v>Sr. Executive</v>
          </cell>
          <cell r="M45">
            <v>149.33333333333334</v>
          </cell>
          <cell r="N45">
            <v>356.65663399497356</v>
          </cell>
          <cell r="O45">
            <v>369.97181380859712</v>
          </cell>
          <cell r="P45">
            <v>384.770686360941</v>
          </cell>
          <cell r="Q45">
            <v>404.00922067898807</v>
          </cell>
          <cell r="R45">
            <v>424.20968171293748</v>
          </cell>
          <cell r="S45">
            <v>445.42016579858438</v>
          </cell>
          <cell r="T45">
            <v>467.69117408851361</v>
          </cell>
        </row>
        <row r="46">
          <cell r="K46" t="str">
            <v>USAConsultingMgt87NA</v>
          </cell>
          <cell r="L46" t="str">
            <v>Sr. Executive</v>
          </cell>
          <cell r="M46">
            <v>149.33333333333334</v>
          </cell>
          <cell r="N46">
            <v>377.23506507331115</v>
          </cell>
          <cell r="O46">
            <v>391.31850624526459</v>
          </cell>
          <cell r="P46">
            <v>406.97124649507521</v>
          </cell>
          <cell r="Q46">
            <v>427.31980881982901</v>
          </cell>
          <cell r="R46">
            <v>448.68579926082049</v>
          </cell>
          <cell r="S46">
            <v>471.12008922386156</v>
          </cell>
          <cell r="T46">
            <v>494.67609368505464</v>
          </cell>
        </row>
        <row r="47">
          <cell r="K47" t="str">
            <v>USAConsultingMgt88NA</v>
          </cell>
          <cell r="L47" t="str">
            <v>Sr. Executive</v>
          </cell>
          <cell r="M47">
            <v>149.33333333333334</v>
          </cell>
          <cell r="N47">
            <v>416.00301854375704</v>
          </cell>
          <cell r="O47">
            <v>431.53379651604723</v>
          </cell>
          <cell r="P47">
            <v>448.79514837668916</v>
          </cell>
          <cell r="Q47">
            <v>471.23490579552362</v>
          </cell>
          <cell r="R47">
            <v>494.7966510852998</v>
          </cell>
          <cell r="S47">
            <v>519.53648363956484</v>
          </cell>
          <cell r="T47">
            <v>545.51330782154309</v>
          </cell>
        </row>
        <row r="48">
          <cell r="K48" t="str">
            <v>USAConsultingMgt89NA</v>
          </cell>
          <cell r="L48" t="str">
            <v>Sr. Executive</v>
          </cell>
          <cell r="M48">
            <v>149.33333333333334</v>
          </cell>
          <cell r="N48">
            <v>457.10529065244651</v>
          </cell>
          <cell r="O48">
            <v>474.17055331312025</v>
          </cell>
          <cell r="P48">
            <v>493.13737544564509</v>
          </cell>
          <cell r="Q48">
            <v>517.79424421792737</v>
          </cell>
          <cell r="R48">
            <v>543.68395642882376</v>
          </cell>
          <cell r="S48">
            <v>570.86815425026498</v>
          </cell>
          <cell r="T48">
            <v>599.41156196277825</v>
          </cell>
        </row>
        <row r="49">
          <cell r="K49" t="str">
            <v>USAConsultingMgt90NA</v>
          </cell>
          <cell r="L49" t="str">
            <v>Sr. Executive</v>
          </cell>
          <cell r="M49">
            <v>149.33333333333334</v>
          </cell>
          <cell r="N49">
            <v>569.66430457721401</v>
          </cell>
          <cell r="O49">
            <v>590.93177004921563</v>
          </cell>
          <cell r="P49">
            <v>614.56904085118424</v>
          </cell>
          <cell r="Q49">
            <v>645.29749289374342</v>
          </cell>
          <cell r="R49">
            <v>677.56236753843064</v>
          </cell>
          <cell r="S49">
            <v>711.44048591535216</v>
          </cell>
          <cell r="T49">
            <v>747.01251021111977</v>
          </cell>
        </row>
        <row r="50">
          <cell r="K50" t="str">
            <v>USAConsultingMgt91NA</v>
          </cell>
          <cell r="L50" t="str">
            <v>Sr. Executive</v>
          </cell>
          <cell r="M50">
            <v>149.33333333333334</v>
          </cell>
          <cell r="N50">
            <v>745.57694318236997</v>
          </cell>
          <cell r="O50">
            <v>773.41181324258866</v>
          </cell>
          <cell r="P50">
            <v>804.34828577229223</v>
          </cell>
          <cell r="Q50">
            <v>844.56570006090692</v>
          </cell>
          <cell r="R50">
            <v>886.79398506395228</v>
          </cell>
          <cell r="S50">
            <v>931.13368431714991</v>
          </cell>
          <cell r="T50">
            <v>977.69036853300747</v>
          </cell>
        </row>
        <row r="51">
          <cell r="K51" t="str">
            <v>USAConsultingMgt92NA</v>
          </cell>
          <cell r="L51" t="str">
            <v>Sr. Executive</v>
          </cell>
          <cell r="M51">
            <v>149.33333333333334</v>
          </cell>
          <cell r="N51">
            <v>932.26945223847213</v>
          </cell>
          <cell r="O51">
            <v>967.0741753478103</v>
          </cell>
          <cell r="P51">
            <v>1005.7571423617228</v>
          </cell>
          <cell r="Q51">
            <v>1056.0449994798089</v>
          </cell>
          <cell r="R51">
            <v>1108.8472494537993</v>
          </cell>
          <cell r="S51">
            <v>1164.2896119264894</v>
          </cell>
          <cell r="T51">
            <v>1222.5040925228141</v>
          </cell>
        </row>
        <row r="52">
          <cell r="K52" t="str">
            <v>USAConsultingMgt93NA</v>
          </cell>
          <cell r="L52" t="str">
            <v>Sr. Executive</v>
          </cell>
          <cell r="M52">
            <v>149.33333333333334</v>
          </cell>
          <cell r="N52">
            <v>1279.600279411984</v>
          </cell>
          <cell r="O52">
            <v>1327.372018911364</v>
          </cell>
          <cell r="P52">
            <v>1380.4668996678186</v>
          </cell>
          <cell r="Q52">
            <v>1449.4902446512097</v>
          </cell>
          <cell r="R52">
            <v>1521.9647568837702</v>
          </cell>
          <cell r="S52">
            <v>1598.0629947279588</v>
          </cell>
          <cell r="T52">
            <v>1677.9661444643568</v>
          </cell>
        </row>
        <row r="53">
          <cell r="K53" t="str">
            <v>USAConsultingMgt94NA</v>
          </cell>
          <cell r="L53" t="str">
            <v>Sr. Executive</v>
          </cell>
          <cell r="M53">
            <v>149.33333333333334</v>
          </cell>
          <cell r="N53">
            <v>2838.7462929344547</v>
          </cell>
          <cell r="O53">
            <v>2944.7261450748533</v>
          </cell>
          <cell r="P53">
            <v>3062.5151908778475</v>
          </cell>
          <cell r="Q53">
            <v>3215.6409504217399</v>
          </cell>
          <cell r="R53">
            <v>3376.4229979428269</v>
          </cell>
          <cell r="S53">
            <v>3545.2441478399683</v>
          </cell>
          <cell r="T53">
            <v>3722.5063552319666</v>
          </cell>
        </row>
        <row r="54">
          <cell r="K54" t="str">
            <v>USAConsultingMgt95NA</v>
          </cell>
          <cell r="L54" t="str">
            <v>Sr. Executive</v>
          </cell>
          <cell r="M54">
            <v>149.33333333333334</v>
          </cell>
          <cell r="N54">
            <v>3214.967140744985</v>
          </cell>
          <cell r="O54">
            <v>3334.9925699495743</v>
          </cell>
          <cell r="P54">
            <v>3468.3922727475574</v>
          </cell>
          <cell r="Q54">
            <v>3641.8118863849354</v>
          </cell>
          <cell r="R54">
            <v>3823.9024807041824</v>
          </cell>
          <cell r="S54">
            <v>4015.0976047393915</v>
          </cell>
          <cell r="T54">
            <v>4215.8524849763617</v>
          </cell>
        </row>
        <row r="55">
          <cell r="K55" t="str">
            <v>USAConsultingMgt96NA</v>
          </cell>
          <cell r="L55" t="str">
            <v>Sr. Executive</v>
          </cell>
          <cell r="M55">
            <v>149.33333333333334</v>
          </cell>
          <cell r="N55">
            <v>3591.1879885555145</v>
          </cell>
          <cell r="O55">
            <v>3725.2589948242939</v>
          </cell>
          <cell r="P55">
            <v>3874.2693546172659</v>
          </cell>
          <cell r="Q55">
            <v>4067.9828223481295</v>
          </cell>
          <cell r="R55">
            <v>4271.3819634655365</v>
          </cell>
          <cell r="S55">
            <v>4484.9510616388134</v>
          </cell>
          <cell r="T55">
            <v>4709.1986147207544</v>
          </cell>
        </row>
        <row r="56">
          <cell r="K56" t="str">
            <v>USAConsultingMgt97NA</v>
          </cell>
          <cell r="L56" t="str">
            <v>Sr. Executive</v>
          </cell>
          <cell r="M56">
            <v>149.33333333333334</v>
          </cell>
          <cell r="N56">
            <v>3967.4088363660444</v>
          </cell>
          <cell r="O56">
            <v>4115.5254196990145</v>
          </cell>
          <cell r="P56">
            <v>4280.1464364869753</v>
          </cell>
          <cell r="Q56">
            <v>4494.1537583113241</v>
          </cell>
          <cell r="R56">
            <v>4718.8614462268906</v>
          </cell>
          <cell r="S56">
            <v>4954.8045185382352</v>
          </cell>
          <cell r="T56">
            <v>5202.5447444651472</v>
          </cell>
        </row>
        <row r="57">
          <cell r="K57" t="str">
            <v>USAConsultingMgt98NA</v>
          </cell>
          <cell r="L57" t="str">
            <v>Sr. Executive</v>
          </cell>
          <cell r="M57">
            <v>149.33333333333334</v>
          </cell>
          <cell r="N57">
            <v>4343.6301544526332</v>
          </cell>
          <cell r="O57">
            <v>4505.7923324067642</v>
          </cell>
          <cell r="P57">
            <v>4686.0240257030346</v>
          </cell>
          <cell r="Q57">
            <v>4920.3252269881868</v>
          </cell>
          <cell r="R57">
            <v>5166.3414883375963</v>
          </cell>
          <cell r="S57">
            <v>5424.6585627544764</v>
          </cell>
          <cell r="T57">
            <v>5695.8914908922006</v>
          </cell>
        </row>
        <row r="58">
          <cell r="K58" t="str">
            <v>USAConsultingMgt67NA</v>
          </cell>
          <cell r="L58" t="str">
            <v>Sr. Manager</v>
          </cell>
          <cell r="M58">
            <v>149.33333333333334</v>
          </cell>
          <cell r="N58">
            <v>145.76561498156403</v>
          </cell>
          <cell r="O58">
            <v>151.20753078832371</v>
          </cell>
          <cell r="P58">
            <v>157.25583201985665</v>
          </cell>
          <cell r="Q58">
            <v>165.11862362084949</v>
          </cell>
          <cell r="R58">
            <v>173.37455480189197</v>
          </cell>
          <cell r="S58">
            <v>182.04328254198657</v>
          </cell>
          <cell r="T58">
            <v>191.14544666908591</v>
          </cell>
        </row>
        <row r="59">
          <cell r="K59" t="str">
            <v>USAConsultingMgt68NA</v>
          </cell>
          <cell r="L59" t="str">
            <v>Sr. Manager</v>
          </cell>
          <cell r="M59">
            <v>149.33333333333334</v>
          </cell>
          <cell r="N59">
            <v>169.30329593043092</v>
          </cell>
          <cell r="O59">
            <v>175.62395174748937</v>
          </cell>
          <cell r="P59">
            <v>182.64890981738895</v>
          </cell>
          <cell r="Q59">
            <v>191.78135530825841</v>
          </cell>
          <cell r="R59">
            <v>201.37042307367133</v>
          </cell>
          <cell r="S59">
            <v>211.43894422735491</v>
          </cell>
          <cell r="T59">
            <v>222.01089143872267</v>
          </cell>
        </row>
        <row r="60">
          <cell r="K60" t="str">
            <v>USAConsultingMgt69NA</v>
          </cell>
          <cell r="L60" t="str">
            <v>Sr. Manager</v>
          </cell>
          <cell r="M60">
            <v>149.33333333333334</v>
          </cell>
          <cell r="N60">
            <v>193.30887360365301</v>
          </cell>
          <cell r="O60">
            <v>200.52573757382649</v>
          </cell>
          <cell r="P60">
            <v>208.54676707677956</v>
          </cell>
          <cell r="Q60">
            <v>218.97410543061855</v>
          </cell>
          <cell r="R60">
            <v>229.92281070214949</v>
          </cell>
          <cell r="S60">
            <v>241.41895123725698</v>
          </cell>
          <cell r="T60">
            <v>253.48989879911983</v>
          </cell>
        </row>
        <row r="61">
          <cell r="K61" t="str">
            <v>USAConsultingMgt70NA</v>
          </cell>
          <cell r="L61" t="str">
            <v>Sr. Manager</v>
          </cell>
          <cell r="M61">
            <v>149.33333333333334</v>
          </cell>
          <cell r="N61">
            <v>226.71502057986524</v>
          </cell>
          <cell r="O61">
            <v>235.17904725913016</v>
          </cell>
          <cell r="P61">
            <v>244.58620914949537</v>
          </cell>
          <cell r="Q61">
            <v>256.81551960697016</v>
          </cell>
          <cell r="R61">
            <v>269.65629558731865</v>
          </cell>
          <cell r="S61">
            <v>283.13911036668458</v>
          </cell>
          <cell r="T61">
            <v>297.29606588501883</v>
          </cell>
        </row>
        <row r="62">
          <cell r="K62" t="str">
            <v>USAConsultingMgt71NA</v>
          </cell>
          <cell r="L62" t="str">
            <v>Sr. Manager</v>
          </cell>
          <cell r="M62">
            <v>149.33333333333334</v>
          </cell>
          <cell r="N62">
            <v>280.64653467581934</v>
          </cell>
          <cell r="O62">
            <v>291.12400436822816</v>
          </cell>
          <cell r="P62">
            <v>302.76896454295729</v>
          </cell>
          <cell r="Q62">
            <v>317.90741277010517</v>
          </cell>
          <cell r="R62">
            <v>333.80278340861042</v>
          </cell>
          <cell r="S62">
            <v>350.49292257904096</v>
          </cell>
          <cell r="T62">
            <v>368.01756870799301</v>
          </cell>
        </row>
        <row r="63">
          <cell r="K63" t="str">
            <v>USAConsultingMgt72NA</v>
          </cell>
          <cell r="L63" t="str">
            <v>Sr. Manager</v>
          </cell>
          <cell r="M63">
            <v>149.33333333333334</v>
          </cell>
          <cell r="N63">
            <v>360.8740228318955</v>
          </cell>
          <cell r="O63">
            <v>374.34665181470621</v>
          </cell>
          <cell r="P63">
            <v>389.32051788729444</v>
          </cell>
          <cell r="Q63">
            <v>408.78654378165919</v>
          </cell>
          <cell r="R63">
            <v>429.22587097074216</v>
          </cell>
          <cell r="S63">
            <v>450.68716451927929</v>
          </cell>
          <cell r="T63">
            <v>473.22152274524331</v>
          </cell>
        </row>
        <row r="64">
          <cell r="K64" t="str">
            <v>USAConsultingSI30NA</v>
          </cell>
          <cell r="L64" t="str">
            <v>Analyst</v>
          </cell>
          <cell r="M64">
            <v>150.66666666666666</v>
          </cell>
          <cell r="N64">
            <v>57.781898753044949</v>
          </cell>
          <cell r="O64">
            <v>59.939089447218969</v>
          </cell>
          <cell r="P64">
            <v>62.336653025107729</v>
          </cell>
          <cell r="Q64">
            <v>65.453485676363115</v>
          </cell>
          <cell r="R64">
            <v>68.726159960181278</v>
          </cell>
          <cell r="S64">
            <v>72.162467958190348</v>
          </cell>
          <cell r="T64">
            <v>75.770591356099871</v>
          </cell>
        </row>
        <row r="65">
          <cell r="K65" t="str">
            <v>USAConsultingSI31NA</v>
          </cell>
          <cell r="L65" t="str">
            <v>Analyst</v>
          </cell>
          <cell r="M65">
            <v>150.66666666666666</v>
          </cell>
          <cell r="N65">
            <v>66.389758793187752</v>
          </cell>
          <cell r="O65">
            <v>68.868309566834242</v>
          </cell>
          <cell r="P65">
            <v>71.623041949507609</v>
          </cell>
          <cell r="Q65">
            <v>75.204194046982991</v>
          </cell>
          <cell r="R65">
            <v>78.964403749332149</v>
          </cell>
          <cell r="S65">
            <v>82.912623936798767</v>
          </cell>
          <cell r="T65">
            <v>87.05825513363871</v>
          </cell>
        </row>
        <row r="66">
          <cell r="K66" t="str">
            <v>USAConsultingSI32NA</v>
          </cell>
          <cell r="L66" t="str">
            <v>Analyst</v>
          </cell>
          <cell r="M66">
            <v>150.66666666666666</v>
          </cell>
          <cell r="N66">
            <v>73.377630653183999</v>
          </cell>
          <cell r="O66">
            <v>76.117061952977437</v>
          </cell>
          <cell r="P66">
            <v>79.161744431096537</v>
          </cell>
          <cell r="Q66">
            <v>83.119831652651371</v>
          </cell>
          <cell r="R66">
            <v>87.275823235283937</v>
          </cell>
          <cell r="S66">
            <v>91.639614397048135</v>
          </cell>
          <cell r="T66">
            <v>96.221595116900545</v>
          </cell>
        </row>
        <row r="67">
          <cell r="K67" t="str">
            <v>USAConsultingSI33NA</v>
          </cell>
          <cell r="L67" t="str">
            <v>Analyst</v>
          </cell>
          <cell r="M67">
            <v>150.66666666666666</v>
          </cell>
          <cell r="N67">
            <v>83.167858874013305</v>
          </cell>
          <cell r="O67">
            <v>86.272791994750278</v>
          </cell>
          <cell r="P67">
            <v>89.723703674540289</v>
          </cell>
          <cell r="Q67">
            <v>94.209888858267306</v>
          </cell>
          <cell r="R67">
            <v>98.920383301180678</v>
          </cell>
          <cell r="S67">
            <v>103.86640246623972</v>
          </cell>
          <cell r="T67">
            <v>109.05972258955171</v>
          </cell>
        </row>
        <row r="68">
          <cell r="K68" t="str">
            <v>USAConsultingSI34NA</v>
          </cell>
          <cell r="L68" t="str">
            <v>Analyst</v>
          </cell>
          <cell r="M68">
            <v>150.66666666666666</v>
          </cell>
          <cell r="N68">
            <v>94.588582370116953</v>
          </cell>
          <cell r="O68">
            <v>98.119889129972719</v>
          </cell>
          <cell r="P68">
            <v>102.04468469517163</v>
          </cell>
          <cell r="Q68">
            <v>107.14691892993021</v>
          </cell>
          <cell r="R68">
            <v>112.50426487642672</v>
          </cell>
          <cell r="S68">
            <v>118.12947812024805</v>
          </cell>
          <cell r="T68">
            <v>124.03595202626046</v>
          </cell>
        </row>
        <row r="69">
          <cell r="K69" t="str">
            <v>USAConsultingSI50NA</v>
          </cell>
          <cell r="L69" t="str">
            <v>Consultant</v>
          </cell>
          <cell r="M69">
            <v>150.66666666666666</v>
          </cell>
          <cell r="N69">
            <v>72.750043526760905</v>
          </cell>
          <cell r="O69">
            <v>75.466044909259836</v>
          </cell>
          <cell r="P69">
            <v>78.484686705630239</v>
          </cell>
          <cell r="Q69">
            <v>82.40892104091175</v>
          </cell>
          <cell r="R69">
            <v>86.529367092957344</v>
          </cell>
          <cell r="S69">
            <v>90.855835447605216</v>
          </cell>
          <cell r="T69">
            <v>95.398627219985485</v>
          </cell>
        </row>
        <row r="70">
          <cell r="K70" t="str">
            <v>USAConsultingSI51NA</v>
          </cell>
          <cell r="L70" t="str">
            <v>Consultant</v>
          </cell>
          <cell r="M70">
            <v>150.66666666666666</v>
          </cell>
          <cell r="N70">
            <v>81.165186806838307</v>
          </cell>
          <cell r="O70">
            <v>84.195353510409646</v>
          </cell>
          <cell r="P70">
            <v>87.563167650826031</v>
          </cell>
          <cell r="Q70">
            <v>91.941326033367332</v>
          </cell>
          <cell r="R70">
            <v>96.538392335035709</v>
          </cell>
          <cell r="S70">
            <v>101.3653119517875</v>
          </cell>
          <cell r="T70">
            <v>106.43357754937688</v>
          </cell>
        </row>
        <row r="71">
          <cell r="K71" t="str">
            <v>USAConsultingSI52NA</v>
          </cell>
          <cell r="L71" t="str">
            <v>Consultant</v>
          </cell>
          <cell r="M71">
            <v>150.66666666666666</v>
          </cell>
          <cell r="N71">
            <v>90.293673561287846</v>
          </cell>
          <cell r="O71">
            <v>93.664637073263691</v>
          </cell>
          <cell r="P71">
            <v>97.411222556194247</v>
          </cell>
          <cell r="Q71">
            <v>102.28178368400397</v>
          </cell>
          <cell r="R71">
            <v>107.39587286820417</v>
          </cell>
          <cell r="S71">
            <v>112.76566651161438</v>
          </cell>
          <cell r="T71">
            <v>118.40394983719511</v>
          </cell>
        </row>
        <row r="72">
          <cell r="K72" t="str">
            <v>USAConsultingSI53NA</v>
          </cell>
          <cell r="L72" t="str">
            <v>Consultant</v>
          </cell>
          <cell r="M72">
            <v>150.66666666666666</v>
          </cell>
          <cell r="N72">
            <v>99.782900915795096</v>
          </cell>
          <cell r="O72">
            <v>103.50812888404178</v>
          </cell>
          <cell r="P72">
            <v>107.64845403940346</v>
          </cell>
          <cell r="Q72">
            <v>113.03087674137363</v>
          </cell>
          <cell r="R72">
            <v>118.68242057844232</v>
          </cell>
          <cell r="S72">
            <v>124.61654160736444</v>
          </cell>
          <cell r="T72">
            <v>130.84736868773265</v>
          </cell>
        </row>
        <row r="73">
          <cell r="K73" t="str">
            <v>USAConsultingSI54NA</v>
          </cell>
          <cell r="L73" t="str">
            <v>Consultant</v>
          </cell>
          <cell r="M73">
            <v>150.66666666666666</v>
          </cell>
          <cell r="N73">
            <v>109.57123268498115</v>
          </cell>
          <cell r="O73">
            <v>113.66189167331635</v>
          </cell>
          <cell r="P73">
            <v>118.20836734024901</v>
          </cell>
          <cell r="Q73">
            <v>124.11878570726147</v>
          </cell>
          <cell r="R73">
            <v>130.32472499262454</v>
          </cell>
          <cell r="S73">
            <v>136.84096124225576</v>
          </cell>
          <cell r="T73">
            <v>143.68300930436854</v>
          </cell>
        </row>
        <row r="74">
          <cell r="K74" t="str">
            <v>USAConsultingSI55NA</v>
          </cell>
          <cell r="L74" t="str">
            <v>Consultant</v>
          </cell>
          <cell r="M74">
            <v>150.66666666666666</v>
          </cell>
          <cell r="N74">
            <v>126.63038446596271</v>
          </cell>
          <cell r="O74">
            <v>131.35791839725738</v>
          </cell>
          <cell r="P74">
            <v>136.61223513314769</v>
          </cell>
          <cell r="Q74">
            <v>143.44284688980508</v>
          </cell>
          <cell r="R74">
            <v>150.61498923429534</v>
          </cell>
          <cell r="S74">
            <v>158.14573869601011</v>
          </cell>
          <cell r="T74">
            <v>166.05302563081062</v>
          </cell>
        </row>
        <row r="75">
          <cell r="K75" t="str">
            <v>USAConsultingSI60NA</v>
          </cell>
          <cell r="L75" t="str">
            <v>Manager</v>
          </cell>
          <cell r="M75">
            <v>149.33333333333334</v>
          </cell>
          <cell r="N75">
            <v>103.19346736469416</v>
          </cell>
          <cell r="O75">
            <v>107.04602313566453</v>
          </cell>
          <cell r="P75">
            <v>111.32786406109111</v>
          </cell>
          <cell r="Q75">
            <v>116.89425726414566</v>
          </cell>
          <cell r="R75">
            <v>122.73897012735296</v>
          </cell>
          <cell r="S75">
            <v>128.8759186337206</v>
          </cell>
          <cell r="T75">
            <v>135.31971456540663</v>
          </cell>
        </row>
        <row r="76">
          <cell r="K76" t="str">
            <v>USAConsultingSI61NA</v>
          </cell>
          <cell r="L76" t="str">
            <v>Manager</v>
          </cell>
          <cell r="M76">
            <v>149.33333333333334</v>
          </cell>
          <cell r="N76">
            <v>121.30942742116787</v>
          </cell>
          <cell r="O76">
            <v>125.83831230719338</v>
          </cell>
          <cell r="P76">
            <v>130.87184479948112</v>
          </cell>
          <cell r="Q76">
            <v>137.41543703945518</v>
          </cell>
          <cell r="R76">
            <v>144.28620889142795</v>
          </cell>
          <cell r="S76">
            <v>151.50051933599934</v>
          </cell>
          <cell r="T76">
            <v>159.07554530279933</v>
          </cell>
        </row>
        <row r="77">
          <cell r="K77" t="str">
            <v>USAConsultingSI62NA</v>
          </cell>
          <cell r="L77" t="str">
            <v>Manager</v>
          </cell>
          <cell r="M77">
            <v>149.33333333333334</v>
          </cell>
          <cell r="N77">
            <v>138.0545833542453</v>
          </cell>
          <cell r="O77">
            <v>143.20862067262186</v>
          </cell>
          <cell r="P77">
            <v>148.93696549952674</v>
          </cell>
          <cell r="Q77">
            <v>156.38381377450307</v>
          </cell>
          <cell r="R77">
            <v>164.20300446322824</v>
          </cell>
          <cell r="S77">
            <v>172.41315468638965</v>
          </cell>
          <cell r="T77">
            <v>181.03381242070913</v>
          </cell>
        </row>
        <row r="78">
          <cell r="K78" t="str">
            <v>USAConsultingSI63NA</v>
          </cell>
          <cell r="L78" t="str">
            <v>Manager</v>
          </cell>
          <cell r="M78">
            <v>149.33333333333334</v>
          </cell>
          <cell r="N78">
            <v>151.98643483464602</v>
          </cell>
          <cell r="O78">
            <v>157.66059456185135</v>
          </cell>
          <cell r="P78">
            <v>163.96701834432542</v>
          </cell>
          <cell r="Q78">
            <v>172.16536926154171</v>
          </cell>
          <cell r="R78">
            <v>180.77363772461879</v>
          </cell>
          <cell r="S78">
            <v>189.81231961084976</v>
          </cell>
          <cell r="T78">
            <v>199.30293559139224</v>
          </cell>
        </row>
        <row r="79">
          <cell r="K79" t="str">
            <v>USAConsultingSI64NA</v>
          </cell>
          <cell r="L79" t="str">
            <v>Manager</v>
          </cell>
          <cell r="M79">
            <v>149.33333333333334</v>
          </cell>
          <cell r="N79">
            <v>159.80941765683991</v>
          </cell>
          <cell r="O79">
            <v>165.77563538333055</v>
          </cell>
          <cell r="P79">
            <v>172.40666079866378</v>
          </cell>
          <cell r="Q79">
            <v>181.02699383859698</v>
          </cell>
          <cell r="R79">
            <v>190.07834353052684</v>
          </cell>
          <cell r="S79">
            <v>199.58226070705319</v>
          </cell>
          <cell r="T79">
            <v>209.56137374240586</v>
          </cell>
        </row>
        <row r="80">
          <cell r="K80" t="str">
            <v>USAConsultingSI65NA</v>
          </cell>
          <cell r="L80" t="str">
            <v>Manager</v>
          </cell>
          <cell r="M80">
            <v>149.33333333333334</v>
          </cell>
          <cell r="N80">
            <v>170.6660480584512</v>
          </cell>
          <cell r="O80">
            <v>177.03757995041323</v>
          </cell>
          <cell r="P80">
            <v>184.11908314842978</v>
          </cell>
          <cell r="Q80">
            <v>193.32503730585128</v>
          </cell>
          <cell r="R80">
            <v>202.99128917114385</v>
          </cell>
          <cell r="S80">
            <v>213.14085362970104</v>
          </cell>
          <cell r="T80">
            <v>223.79789631118609</v>
          </cell>
        </row>
        <row r="81">
          <cell r="K81" t="str">
            <v>USAConsultingSI66NA</v>
          </cell>
          <cell r="L81" t="str">
            <v>Manager</v>
          </cell>
          <cell r="M81">
            <v>149.33333333333334</v>
          </cell>
          <cell r="N81">
            <v>185.50638008970168</v>
          </cell>
          <cell r="O81">
            <v>192.43195099469594</v>
          </cell>
          <cell r="P81">
            <v>200.12922903448379</v>
          </cell>
          <cell r="Q81">
            <v>210.13569048620798</v>
          </cell>
          <cell r="R81">
            <v>220.64247501051838</v>
          </cell>
          <cell r="S81">
            <v>231.67459876104431</v>
          </cell>
          <cell r="T81">
            <v>243.25832869909652</v>
          </cell>
        </row>
        <row r="82">
          <cell r="K82" t="str">
            <v>USAConsultingSI80NA</v>
          </cell>
          <cell r="L82" t="str">
            <v>Sr. Executive</v>
          </cell>
          <cell r="M82">
            <v>149.33333333333334</v>
          </cell>
          <cell r="N82">
            <v>202.72821841546201</v>
          </cell>
          <cell r="O82">
            <v>210.29673789387854</v>
          </cell>
          <cell r="P82">
            <v>218.70860740963369</v>
          </cell>
          <cell r="Q82">
            <v>229.64403778011538</v>
          </cell>
          <cell r="R82">
            <v>241.12623966912116</v>
          </cell>
          <cell r="S82">
            <v>253.18255165257722</v>
          </cell>
          <cell r="T82">
            <v>265.84167923520607</v>
          </cell>
        </row>
        <row r="83">
          <cell r="K83" t="str">
            <v>USAConsultingSI81NA</v>
          </cell>
          <cell r="L83" t="str">
            <v>Sr. Executive</v>
          </cell>
          <cell r="M83">
            <v>149.33333333333334</v>
          </cell>
          <cell r="N83">
            <v>226.03668652209737</v>
          </cell>
          <cell r="O83">
            <v>234.47538873213338</v>
          </cell>
          <cell r="P83">
            <v>243.85440428141874</v>
          </cell>
          <cell r="Q83">
            <v>256.0471244954897</v>
          </cell>
          <cell r="R83">
            <v>268.84948072026418</v>
          </cell>
          <cell r="S83">
            <v>282.29195475627739</v>
          </cell>
          <cell r="T83">
            <v>296.40655249409127</v>
          </cell>
        </row>
        <row r="84">
          <cell r="K84" t="str">
            <v>USAConsultingSI82NA</v>
          </cell>
          <cell r="L84" t="str">
            <v>Sr. Executive</v>
          </cell>
          <cell r="M84">
            <v>149.33333333333334</v>
          </cell>
          <cell r="N84">
            <v>247.79301464216024</v>
          </cell>
          <cell r="O84">
            <v>257.04395302949086</v>
          </cell>
          <cell r="P84">
            <v>267.32571115067049</v>
          </cell>
          <cell r="Q84">
            <v>280.69199670820404</v>
          </cell>
          <cell r="R84">
            <v>294.72659654361428</v>
          </cell>
          <cell r="S84">
            <v>309.462926370795</v>
          </cell>
          <cell r="T84">
            <v>324.93607268933476</v>
          </cell>
        </row>
        <row r="85">
          <cell r="K85" t="str">
            <v>USAConsultingSI83NA</v>
          </cell>
          <cell r="L85" t="str">
            <v>Sr. Executive</v>
          </cell>
          <cell r="M85">
            <v>149.33333333333334</v>
          </cell>
          <cell r="N85">
            <v>272.23301812715192</v>
          </cell>
          <cell r="O85">
            <v>282.39638322978891</v>
          </cell>
          <cell r="P85">
            <v>293.69223855898048</v>
          </cell>
          <cell r="Q85">
            <v>308.37685048692953</v>
          </cell>
          <cell r="R85">
            <v>323.795693011276</v>
          </cell>
          <cell r="S85">
            <v>339.98547766183981</v>
          </cell>
          <cell r="T85">
            <v>356.98475154493184</v>
          </cell>
        </row>
        <row r="86">
          <cell r="K86" t="str">
            <v>USAConsultingSI84NA</v>
          </cell>
          <cell r="L86" t="str">
            <v>Sr. Executive</v>
          </cell>
          <cell r="M86">
            <v>149.33333333333334</v>
          </cell>
          <cell r="N86">
            <v>300.93361212654406</v>
          </cell>
          <cell r="O86">
            <v>312.16846597615637</v>
          </cell>
          <cell r="P86">
            <v>324.65520461520265</v>
          </cell>
          <cell r="Q86">
            <v>340.88796484596281</v>
          </cell>
          <cell r="R86">
            <v>357.93236308826096</v>
          </cell>
          <cell r="S86">
            <v>375.82898124267405</v>
          </cell>
          <cell r="T86">
            <v>394.62043030480777</v>
          </cell>
        </row>
        <row r="87">
          <cell r="K87" t="str">
            <v>USAConsultingSI85NA</v>
          </cell>
          <cell r="L87" t="str">
            <v>Sr. Executive</v>
          </cell>
          <cell r="M87">
            <v>149.33333333333334</v>
          </cell>
          <cell r="N87">
            <v>318.48306803399072</v>
          </cell>
          <cell r="O87">
            <v>330.37310151231617</v>
          </cell>
          <cell r="P87">
            <v>343.58802557280882</v>
          </cell>
          <cell r="Q87">
            <v>360.76742685144927</v>
          </cell>
          <cell r="R87">
            <v>378.80579819402175</v>
          </cell>
          <cell r="S87">
            <v>397.74608810372285</v>
          </cell>
          <cell r="T87">
            <v>417.63339250890903</v>
          </cell>
        </row>
        <row r="88">
          <cell r="K88" t="str">
            <v>USAConsultingSI86NA</v>
          </cell>
          <cell r="L88" t="str">
            <v>Sr. Executive</v>
          </cell>
          <cell r="M88">
            <v>149.33333333333334</v>
          </cell>
          <cell r="N88">
            <v>346.39313373612544</v>
          </cell>
          <cell r="O88">
            <v>359.32514290763038</v>
          </cell>
          <cell r="P88">
            <v>373.69814862393559</v>
          </cell>
          <cell r="Q88">
            <v>392.38305605513239</v>
          </cell>
          <cell r="R88">
            <v>412.002208857889</v>
          </cell>
          <cell r="S88">
            <v>432.60231930078345</v>
          </cell>
          <cell r="T88">
            <v>454.23243526582263</v>
          </cell>
        </row>
        <row r="89">
          <cell r="K89" t="str">
            <v>USAConsultingSI87NA</v>
          </cell>
          <cell r="L89" t="str">
            <v>Sr. Executive</v>
          </cell>
          <cell r="M89">
            <v>149.33333333333334</v>
          </cell>
          <cell r="N89">
            <v>366.37937974746046</v>
          </cell>
          <cell r="O89">
            <v>380.05754203676776</v>
          </cell>
          <cell r="P89">
            <v>395.25984371823847</v>
          </cell>
          <cell r="Q89">
            <v>415.02283590415044</v>
          </cell>
          <cell r="R89">
            <v>435.773977699358</v>
          </cell>
          <cell r="S89">
            <v>457.56267658432591</v>
          </cell>
          <cell r="T89">
            <v>480.44081041354224</v>
          </cell>
        </row>
        <row r="90">
          <cell r="K90" t="str">
            <v>USAConsultingSI88NA</v>
          </cell>
          <cell r="L90" t="str">
            <v>Sr. Executive</v>
          </cell>
          <cell r="M90">
            <v>149.33333333333334</v>
          </cell>
          <cell r="N90">
            <v>404.03170865760575</v>
          </cell>
          <cell r="O90">
            <v>419.11555776738402</v>
          </cell>
          <cell r="P90">
            <v>435.88018007807938</v>
          </cell>
          <cell r="Q90">
            <v>457.67418908198334</v>
          </cell>
          <cell r="R90">
            <v>480.55789853608252</v>
          </cell>
          <cell r="S90">
            <v>504.58579346288667</v>
          </cell>
          <cell r="T90">
            <v>529.81508313603103</v>
          </cell>
        </row>
        <row r="91">
          <cell r="K91" t="str">
            <v>USAConsultingSI89NA</v>
          </cell>
          <cell r="L91" t="str">
            <v>Sr. Executive</v>
          </cell>
          <cell r="M91">
            <v>149.33333333333334</v>
          </cell>
          <cell r="N91">
            <v>443.95118156892289</v>
          </cell>
          <cell r="O91">
            <v>460.52535753432545</v>
          </cell>
          <cell r="P91">
            <v>478.94637183569847</v>
          </cell>
          <cell r="Q91">
            <v>502.89369042748342</v>
          </cell>
          <cell r="R91">
            <v>528.03837494885761</v>
          </cell>
          <cell r="S91">
            <v>554.4402936963005</v>
          </cell>
          <cell r="T91">
            <v>582.16230838111551</v>
          </cell>
        </row>
        <row r="92">
          <cell r="K92" t="str">
            <v>USAConsultingSI90NA</v>
          </cell>
          <cell r="L92" t="str">
            <v>Sr. Executive</v>
          </cell>
          <cell r="M92">
            <v>149.33333333333334</v>
          </cell>
          <cell r="N92">
            <v>553.27108717930855</v>
          </cell>
          <cell r="O92">
            <v>573.92653925643242</v>
          </cell>
          <cell r="P92">
            <v>596.88360082668976</v>
          </cell>
          <cell r="Q92">
            <v>626.7277808680243</v>
          </cell>
          <cell r="R92">
            <v>658.06416991142555</v>
          </cell>
          <cell r="S92">
            <v>690.96737840699689</v>
          </cell>
          <cell r="T92">
            <v>725.51574732734673</v>
          </cell>
        </row>
        <row r="93">
          <cell r="K93" t="str">
            <v>USAConsultingSI91NA</v>
          </cell>
          <cell r="L93" t="str">
            <v>Sr. Executive</v>
          </cell>
          <cell r="M93">
            <v>149.33333333333334</v>
          </cell>
          <cell r="N93">
            <v>724.12149157999966</v>
          </cell>
          <cell r="O93">
            <v>751.15535818524802</v>
          </cell>
          <cell r="P93">
            <v>781.201572512658</v>
          </cell>
          <cell r="Q93">
            <v>820.26165113829097</v>
          </cell>
          <cell r="R93">
            <v>861.27473369520555</v>
          </cell>
          <cell r="S93">
            <v>904.33847037996588</v>
          </cell>
          <cell r="T93">
            <v>949.55539389896421</v>
          </cell>
        </row>
        <row r="94">
          <cell r="K94" t="str">
            <v>USAConsultingSI92NA</v>
          </cell>
          <cell r="L94" t="str">
            <v>Sr. Executive</v>
          </cell>
          <cell r="M94">
            <v>149.33333333333334</v>
          </cell>
          <cell r="N94">
            <v>905.44155433232902</v>
          </cell>
          <cell r="O94">
            <v>939.24470267593085</v>
          </cell>
          <cell r="P94">
            <v>976.81449078296816</v>
          </cell>
          <cell r="Q94">
            <v>1025.6552153221166</v>
          </cell>
          <cell r="R94">
            <v>1076.9379760882225</v>
          </cell>
          <cell r="S94">
            <v>1130.7848748926338</v>
          </cell>
          <cell r="T94">
            <v>1187.3241186372654</v>
          </cell>
        </row>
        <row r="95">
          <cell r="K95" t="str">
            <v>USAConsultingSI93NA</v>
          </cell>
          <cell r="L95" t="str">
            <v>Sr. Executive</v>
          </cell>
          <cell r="M95">
            <v>149.33333333333334</v>
          </cell>
          <cell r="N95">
            <v>1242.7772497886176</v>
          </cell>
          <cell r="O95">
            <v>1289.1742629714686</v>
          </cell>
          <cell r="P95">
            <v>1340.7412334903274</v>
          </cell>
          <cell r="Q95">
            <v>1407.7782951648439</v>
          </cell>
          <cell r="R95">
            <v>1478.1672099230861</v>
          </cell>
          <cell r="S95">
            <v>1552.0755704192404</v>
          </cell>
          <cell r="T95">
            <v>1629.6793489402025</v>
          </cell>
        </row>
        <row r="96">
          <cell r="K96" t="str">
            <v>USAConsultingSI94NA</v>
          </cell>
          <cell r="L96" t="str">
            <v>Sr. Executive</v>
          </cell>
          <cell r="M96">
            <v>149.33333333333334</v>
          </cell>
          <cell r="N96">
            <v>2757.0557521305855</v>
          </cell>
          <cell r="O96">
            <v>2859.9858243532749</v>
          </cell>
          <cell r="P96">
            <v>2974.3852573274062</v>
          </cell>
          <cell r="Q96">
            <v>3123.1045201937768</v>
          </cell>
          <cell r="R96">
            <v>3279.259746203466</v>
          </cell>
          <cell r="S96">
            <v>3443.2227335136395</v>
          </cell>
          <cell r="T96">
            <v>3615.3838701893214</v>
          </cell>
        </row>
        <row r="97">
          <cell r="K97" t="str">
            <v>USAConsultingSI95NA</v>
          </cell>
          <cell r="L97" t="str">
            <v>Sr. Executive</v>
          </cell>
          <cell r="M97">
            <v>149.33333333333334</v>
          </cell>
          <cell r="N97">
            <v>3122.4501007235463</v>
          </cell>
          <cell r="O97">
            <v>3239.021560742392</v>
          </cell>
          <cell r="P97">
            <v>3368.5824231720876</v>
          </cell>
          <cell r="Q97">
            <v>3537.0115443306922</v>
          </cell>
          <cell r="R97">
            <v>3713.8621215472272</v>
          </cell>
          <cell r="S97">
            <v>3899.5552276245885</v>
          </cell>
          <cell r="T97">
            <v>4094.5329890058183</v>
          </cell>
        </row>
        <row r="98">
          <cell r="K98" t="str">
            <v>USAConsultingSI96NA</v>
          </cell>
          <cell r="L98" t="str">
            <v>Sr. Executive</v>
          </cell>
          <cell r="M98">
            <v>149.33333333333334</v>
          </cell>
          <cell r="N98">
            <v>3487.8444493165071</v>
          </cell>
          <cell r="O98">
            <v>3618.0572971315087</v>
          </cell>
          <cell r="P98">
            <v>3762.779589016769</v>
          </cell>
          <cell r="Q98">
            <v>3950.9185684676077</v>
          </cell>
          <cell r="R98">
            <v>4148.4644968909879</v>
          </cell>
          <cell r="S98">
            <v>4355.8877217355375</v>
          </cell>
          <cell r="T98">
            <v>4573.6821078223147</v>
          </cell>
        </row>
        <row r="99">
          <cell r="K99" t="str">
            <v>USAConsultingSI97NA</v>
          </cell>
          <cell r="L99" t="str">
            <v>Sr. Executive</v>
          </cell>
          <cell r="M99">
            <v>149.33333333333334</v>
          </cell>
          <cell r="N99">
            <v>3853.2387979094674</v>
          </cell>
          <cell r="O99">
            <v>3997.0930335206249</v>
          </cell>
          <cell r="P99">
            <v>4156.97675486145</v>
          </cell>
          <cell r="Q99">
            <v>4364.8255926045231</v>
          </cell>
          <cell r="R99">
            <v>4583.0668722347491</v>
          </cell>
          <cell r="S99">
            <v>4812.220215846487</v>
          </cell>
          <cell r="T99">
            <v>5052.8312266388111</v>
          </cell>
        </row>
        <row r="100">
          <cell r="K100" t="str">
            <v>USAConsultingSI98NA</v>
          </cell>
          <cell r="L100" t="str">
            <v>Sr. Executive</v>
          </cell>
          <cell r="M100">
            <v>149.33333333333334</v>
          </cell>
          <cell r="N100">
            <v>4218.6336032453628</v>
          </cell>
          <cell r="O100">
            <v>4376.1292437044112</v>
          </cell>
          <cell r="P100">
            <v>4551.1744134525879</v>
          </cell>
          <cell r="Q100">
            <v>4778.7331341252175</v>
          </cell>
          <cell r="R100">
            <v>5017.6697908314782</v>
          </cell>
          <cell r="S100">
            <v>5268.5532803730521</v>
          </cell>
          <cell r="T100">
            <v>5531.9809443917047</v>
          </cell>
        </row>
        <row r="101">
          <cell r="K101" t="str">
            <v>USAConsultingSI67NA</v>
          </cell>
          <cell r="L101" t="str">
            <v>Sr. Manager</v>
          </cell>
          <cell r="M101">
            <v>149.33333333333334</v>
          </cell>
          <cell r="N101">
            <v>141.57092102526002</v>
          </cell>
          <cell r="O101">
            <v>146.85623493829999</v>
          </cell>
          <cell r="P101">
            <v>152.73048433583199</v>
          </cell>
          <cell r="Q101">
            <v>160.36700855262359</v>
          </cell>
          <cell r="R101">
            <v>168.38535898025478</v>
          </cell>
          <cell r="S101">
            <v>176.80462692926753</v>
          </cell>
          <cell r="T101">
            <v>185.64485827573091</v>
          </cell>
        </row>
        <row r="102">
          <cell r="K102" t="str">
            <v>USAConsultingSI68NA</v>
          </cell>
          <cell r="L102" t="str">
            <v>Sr. Manager</v>
          </cell>
          <cell r="M102">
            <v>149.33333333333334</v>
          </cell>
          <cell r="N102">
            <v>164.43125863746886</v>
          </cell>
          <cell r="O102">
            <v>170.57002507849685</v>
          </cell>
          <cell r="P102">
            <v>177.39282608163674</v>
          </cell>
          <cell r="Q102">
            <v>186.26246738571859</v>
          </cell>
          <cell r="R102">
            <v>195.57559075500453</v>
          </cell>
          <cell r="S102">
            <v>205.35437029275477</v>
          </cell>
          <cell r="T102">
            <v>215.62208880739252</v>
          </cell>
        </row>
        <row r="103">
          <cell r="K103" t="str">
            <v>USAConsultingSI69NA</v>
          </cell>
          <cell r="L103" t="str">
            <v>Sr. Manager</v>
          </cell>
          <cell r="M103">
            <v>149.33333333333334</v>
          </cell>
          <cell r="N103">
            <v>187.74602832009464</v>
          </cell>
          <cell r="O103">
            <v>194.75521275155808</v>
          </cell>
          <cell r="P103">
            <v>202.54542126162042</v>
          </cell>
          <cell r="Q103">
            <v>212.67269232470144</v>
          </cell>
          <cell r="R103">
            <v>223.30632694093651</v>
          </cell>
          <cell r="S103">
            <v>234.47164328798334</v>
          </cell>
          <cell r="T103">
            <v>246.19522545238252</v>
          </cell>
        </row>
        <row r="104">
          <cell r="K104" t="str">
            <v>USAConsultingSI70NA</v>
          </cell>
          <cell r="L104" t="str">
            <v>Sr. Manager</v>
          </cell>
          <cell r="M104">
            <v>149.33333333333334</v>
          </cell>
          <cell r="N104">
            <v>220.19084732576837</v>
          </cell>
          <cell r="O104">
            <v>228.41130489196092</v>
          </cell>
          <cell r="P104">
            <v>237.54775708763938</v>
          </cell>
          <cell r="Q104">
            <v>249.42514494202138</v>
          </cell>
          <cell r="R104">
            <v>261.89640218912245</v>
          </cell>
          <cell r="S104">
            <v>274.99122229857858</v>
          </cell>
          <cell r="T104">
            <v>288.74078341350753</v>
          </cell>
        </row>
        <row r="105">
          <cell r="K105" t="str">
            <v>USAConsultingSI71NA</v>
          </cell>
          <cell r="L105" t="str">
            <v>Sr. Manager</v>
          </cell>
          <cell r="M105">
            <v>149.33333333333334</v>
          </cell>
          <cell r="N105">
            <v>272.57037540457276</v>
          </cell>
          <cell r="O105">
            <v>282.74633517777556</v>
          </cell>
          <cell r="P105">
            <v>294.05618858488657</v>
          </cell>
          <cell r="Q105">
            <v>308.7589980141309</v>
          </cell>
          <cell r="R105">
            <v>324.19694791483744</v>
          </cell>
          <cell r="S105">
            <v>340.4067953105793</v>
          </cell>
          <cell r="T105">
            <v>357.4271350761083</v>
          </cell>
        </row>
        <row r="106">
          <cell r="K106" t="str">
            <v>USAConsultingSI72NA</v>
          </cell>
          <cell r="L106" t="str">
            <v>Sr. Manager</v>
          </cell>
          <cell r="M106">
            <v>149.33333333333334</v>
          </cell>
          <cell r="N106">
            <v>350.48915886550998</v>
          </cell>
          <cell r="O106">
            <v>363.57408629485849</v>
          </cell>
          <cell r="P106">
            <v>378.11704974665287</v>
          </cell>
          <cell r="Q106">
            <v>397.02290223398552</v>
          </cell>
          <cell r="R106">
            <v>416.8740473456848</v>
          </cell>
          <cell r="S106">
            <v>437.71774971296907</v>
          </cell>
          <cell r="T106">
            <v>459.60363719861755</v>
          </cell>
        </row>
        <row r="107">
          <cell r="K107" t="str">
            <v>USAConsultingTech30NA</v>
          </cell>
          <cell r="L107" t="str">
            <v>Analyst</v>
          </cell>
          <cell r="M107">
            <v>150.66666666666666</v>
          </cell>
          <cell r="N107">
            <v>59.065940947557053</v>
          </cell>
          <cell r="O107">
            <v>61.271069212712717</v>
          </cell>
          <cell r="P107">
            <v>63.721911981221226</v>
          </cell>
          <cell r="Q107">
            <v>66.908007580282288</v>
          </cell>
          <cell r="R107">
            <v>70.25340795929641</v>
          </cell>
          <cell r="S107">
            <v>73.766078357261236</v>
          </cell>
          <cell r="T107">
            <v>77.454382275124303</v>
          </cell>
        </row>
        <row r="108">
          <cell r="K108" t="str">
            <v>USAConsultingTech31NA</v>
          </cell>
          <cell r="L108" t="str">
            <v>Analyst</v>
          </cell>
          <cell r="M108">
            <v>150.66666666666666</v>
          </cell>
          <cell r="N108">
            <v>67.8650867663697</v>
          </cell>
          <cell r="O108">
            <v>70.398716446097211</v>
          </cell>
          <cell r="P108">
            <v>73.214665103941101</v>
          </cell>
          <cell r="Q108">
            <v>76.87539835913816</v>
          </cell>
          <cell r="R108">
            <v>80.719168277095065</v>
          </cell>
          <cell r="S108">
            <v>84.755126690949822</v>
          </cell>
          <cell r="T108">
            <v>88.992883025497321</v>
          </cell>
        </row>
        <row r="109">
          <cell r="K109" t="str">
            <v>USAConsultingTech32NA</v>
          </cell>
          <cell r="L109" t="str">
            <v>Analyst</v>
          </cell>
          <cell r="M109">
            <v>150.66666666666666</v>
          </cell>
          <cell r="N109">
            <v>75.008244667699188</v>
          </cell>
          <cell r="O109">
            <v>77.808552218599146</v>
          </cell>
          <cell r="P109">
            <v>80.920894307343119</v>
          </cell>
          <cell r="Q109">
            <v>84.966939022710278</v>
          </cell>
          <cell r="R109">
            <v>89.215285973845795</v>
          </cell>
          <cell r="S109">
            <v>93.676050272538092</v>
          </cell>
          <cell r="T109">
            <v>98.359852786165007</v>
          </cell>
        </row>
        <row r="110">
          <cell r="K110" t="str">
            <v>USAConsultingTech33NA</v>
          </cell>
          <cell r="L110" t="str">
            <v>Analyst</v>
          </cell>
          <cell r="M110">
            <v>150.66666666666666</v>
          </cell>
          <cell r="N110">
            <v>85.016033515658037</v>
          </cell>
          <cell r="O110">
            <v>88.189965150189167</v>
          </cell>
          <cell r="P110">
            <v>91.717563756196739</v>
          </cell>
          <cell r="Q110">
            <v>96.303441944006579</v>
          </cell>
          <cell r="R110">
            <v>101.11861404120691</v>
          </cell>
          <cell r="S110">
            <v>106.17454474326726</v>
          </cell>
          <cell r="T110">
            <v>111.48327198043063</v>
          </cell>
        </row>
        <row r="111">
          <cell r="K111" t="str">
            <v>USAConsultingTech34NA</v>
          </cell>
          <cell r="L111" t="str">
            <v>Analyst</v>
          </cell>
          <cell r="M111">
            <v>150.66666666666666</v>
          </cell>
          <cell r="N111">
            <v>96.690550867230641</v>
          </cell>
          <cell r="O111">
            <v>100.30033111063875</v>
          </cell>
          <cell r="P111">
            <v>104.31234435506431</v>
          </cell>
          <cell r="Q111">
            <v>109.52796157281753</v>
          </cell>
          <cell r="R111">
            <v>115.00435965145842</v>
          </cell>
          <cell r="S111">
            <v>120.75457763403134</v>
          </cell>
          <cell r="T111">
            <v>126.7923065157329</v>
          </cell>
        </row>
        <row r="112">
          <cell r="K112" t="str">
            <v>USAConsultingTech50NA</v>
          </cell>
          <cell r="L112" t="str">
            <v>Consultant</v>
          </cell>
          <cell r="M112">
            <v>150.66666666666666</v>
          </cell>
          <cell r="N112">
            <v>74.366711160688922</v>
          </cell>
          <cell r="O112">
            <v>77.143068129465604</v>
          </cell>
          <cell r="P112">
            <v>80.228790854644231</v>
          </cell>
          <cell r="Q112">
            <v>84.24023039737645</v>
          </cell>
          <cell r="R112">
            <v>88.452241917245274</v>
          </cell>
          <cell r="S112">
            <v>92.874854013107537</v>
          </cell>
          <cell r="T112">
            <v>97.518596713762918</v>
          </cell>
        </row>
        <row r="113">
          <cell r="K113" t="str">
            <v>USAConsultingTech51NA</v>
          </cell>
          <cell r="L113" t="str">
            <v>Consultant</v>
          </cell>
          <cell r="M113">
            <v>150.66666666666666</v>
          </cell>
          <cell r="N113">
            <v>82.968857624768034</v>
          </cell>
          <cell r="O113">
            <v>86.066361366196517</v>
          </cell>
          <cell r="P113">
            <v>89.509015820844382</v>
          </cell>
          <cell r="Q113">
            <v>93.984466611886603</v>
          </cell>
          <cell r="R113">
            <v>98.683689942480939</v>
          </cell>
          <cell r="S113">
            <v>103.61787443960499</v>
          </cell>
          <cell r="T113">
            <v>108.79876816158524</v>
          </cell>
        </row>
        <row r="114">
          <cell r="K114" t="str">
            <v>USAConsultingTech52NA</v>
          </cell>
          <cell r="L114" t="str">
            <v>Consultant</v>
          </cell>
          <cell r="M114">
            <v>150.66666666666666</v>
          </cell>
          <cell r="N114">
            <v>92.300199640427564</v>
          </cell>
          <cell r="O114">
            <v>95.746073452669535</v>
          </cell>
          <cell r="P114">
            <v>99.575916390776314</v>
          </cell>
          <cell r="Q114">
            <v>104.55471221031513</v>
          </cell>
          <cell r="R114">
            <v>109.7824478208309</v>
          </cell>
          <cell r="S114">
            <v>115.27157021187244</v>
          </cell>
          <cell r="T114">
            <v>121.03514872246608</v>
          </cell>
        </row>
        <row r="115">
          <cell r="K115" t="str">
            <v>USAConsultingTech53NA</v>
          </cell>
          <cell r="L115" t="str">
            <v>Consultant</v>
          </cell>
          <cell r="M115">
            <v>150.66666666666666</v>
          </cell>
          <cell r="N115">
            <v>102.00029871392387</v>
          </cell>
          <cell r="O115">
            <v>105.80830952590937</v>
          </cell>
          <cell r="P115">
            <v>110.04064190694574</v>
          </cell>
          <cell r="Q115">
            <v>115.54267400229303</v>
          </cell>
          <cell r="R115">
            <v>121.31980770240769</v>
          </cell>
          <cell r="S115">
            <v>127.38579808752807</v>
          </cell>
          <cell r="T115">
            <v>133.75508799190447</v>
          </cell>
        </row>
        <row r="116">
          <cell r="K116" t="str">
            <v>USAConsultingTech54NA</v>
          </cell>
          <cell r="L116" t="str">
            <v>Consultant</v>
          </cell>
          <cell r="M116">
            <v>150.66666666666666</v>
          </cell>
          <cell r="N116">
            <v>112.00614896686962</v>
          </cell>
          <cell r="O116">
            <v>116.18771148827892</v>
          </cell>
          <cell r="P116">
            <v>120.83521994781009</v>
          </cell>
          <cell r="Q116">
            <v>126.8769809452006</v>
          </cell>
          <cell r="R116">
            <v>133.22082999246064</v>
          </cell>
          <cell r="S116">
            <v>139.88187149208366</v>
          </cell>
          <cell r="T116">
            <v>146.87596506668785</v>
          </cell>
        </row>
        <row r="117">
          <cell r="K117" t="str">
            <v>USAConsultingTech55NA</v>
          </cell>
          <cell r="L117" t="str">
            <v>Consultant</v>
          </cell>
          <cell r="M117">
            <v>150.66666666666666</v>
          </cell>
          <cell r="N117">
            <v>129.44439300965075</v>
          </cell>
          <cell r="O117">
            <v>134.27698325052975</v>
          </cell>
          <cell r="P117">
            <v>139.64806258055094</v>
          </cell>
          <cell r="Q117">
            <v>146.63046570957849</v>
          </cell>
          <cell r="R117">
            <v>153.96198899505742</v>
          </cell>
          <cell r="S117">
            <v>161.6600884448103</v>
          </cell>
          <cell r="T117">
            <v>169.74309286705082</v>
          </cell>
        </row>
        <row r="118">
          <cell r="K118" t="str">
            <v>USAConsultingTech60NA</v>
          </cell>
          <cell r="L118" t="str">
            <v>Manager</v>
          </cell>
          <cell r="M118">
            <v>149.33333333333334</v>
          </cell>
          <cell r="N118">
            <v>105.48665552835402</v>
          </cell>
          <cell r="O118">
            <v>109.4248236497904</v>
          </cell>
          <cell r="P118">
            <v>113.80181659578201</v>
          </cell>
          <cell r="Q118">
            <v>119.49190742557111</v>
          </cell>
          <cell r="R118">
            <v>125.46650279684968</v>
          </cell>
          <cell r="S118">
            <v>131.73982793669217</v>
          </cell>
          <cell r="T118">
            <v>138.32681933352677</v>
          </cell>
        </row>
        <row r="119">
          <cell r="K119" t="str">
            <v>USAConsultingTech61NA</v>
          </cell>
          <cell r="L119" t="str">
            <v>Manager</v>
          </cell>
          <cell r="M119">
            <v>149.33333333333334</v>
          </cell>
          <cell r="N119">
            <v>124.00519247497158</v>
          </cell>
          <cell r="O119">
            <v>128.63471924735322</v>
          </cell>
          <cell r="P119">
            <v>133.78010801724736</v>
          </cell>
          <cell r="Q119">
            <v>140.46911341810974</v>
          </cell>
          <cell r="R119">
            <v>147.49256908901523</v>
          </cell>
          <cell r="S119">
            <v>154.86719754346601</v>
          </cell>
          <cell r="T119">
            <v>162.61055742063931</v>
          </cell>
        </row>
        <row r="120">
          <cell r="K120" t="str">
            <v>USAConsultingTech62NA</v>
          </cell>
          <cell r="L120" t="str">
            <v>Manager</v>
          </cell>
          <cell r="M120">
            <v>149.33333333333334</v>
          </cell>
          <cell r="N120">
            <v>141.12246298433962</v>
          </cell>
          <cell r="O120">
            <v>146.39103446534676</v>
          </cell>
          <cell r="P120">
            <v>152.24667584396065</v>
          </cell>
          <cell r="Q120">
            <v>159.85900963615867</v>
          </cell>
          <cell r="R120">
            <v>167.85196011796663</v>
          </cell>
          <cell r="S120">
            <v>176.24455812386498</v>
          </cell>
          <cell r="T120">
            <v>185.05678603005822</v>
          </cell>
        </row>
        <row r="121">
          <cell r="K121" t="str">
            <v>USAConsultingTech63NA</v>
          </cell>
          <cell r="L121" t="str">
            <v>Manager</v>
          </cell>
          <cell r="M121">
            <v>149.33333333333334</v>
          </cell>
          <cell r="N121">
            <v>155.3639111643048</v>
          </cell>
          <cell r="O121">
            <v>161.16416332989249</v>
          </cell>
          <cell r="P121">
            <v>167.61072986308818</v>
          </cell>
          <cell r="Q121">
            <v>175.99126635624259</v>
          </cell>
          <cell r="R121">
            <v>184.79082967405472</v>
          </cell>
          <cell r="S121">
            <v>194.03037115775746</v>
          </cell>
          <cell r="T121">
            <v>203.73188971564534</v>
          </cell>
        </row>
        <row r="122">
          <cell r="K122" t="str">
            <v>USAConsultingTech64NA</v>
          </cell>
          <cell r="L122" t="str">
            <v>Manager</v>
          </cell>
          <cell r="M122">
            <v>149.33333333333334</v>
          </cell>
          <cell r="N122">
            <v>163.36073804921409</v>
          </cell>
          <cell r="O122">
            <v>169.45953839184898</v>
          </cell>
          <cell r="P122">
            <v>176.23791992752294</v>
          </cell>
          <cell r="Q122">
            <v>185.0498159238991</v>
          </cell>
          <cell r="R122">
            <v>194.30230672009407</v>
          </cell>
          <cell r="S122">
            <v>204.01742205609878</v>
          </cell>
          <cell r="T122">
            <v>214.21829315890372</v>
          </cell>
        </row>
        <row r="123">
          <cell r="K123" t="str">
            <v>USAConsultingTech65NA</v>
          </cell>
          <cell r="L123" t="str">
            <v>Manager</v>
          </cell>
          <cell r="M123">
            <v>149.33333333333334</v>
          </cell>
          <cell r="N123">
            <v>174.45862690419455</v>
          </cell>
          <cell r="O123">
            <v>180.97174839375572</v>
          </cell>
          <cell r="P123">
            <v>188.21061832950596</v>
          </cell>
          <cell r="Q123">
            <v>197.62114924598126</v>
          </cell>
          <cell r="R123">
            <v>207.50220670828034</v>
          </cell>
          <cell r="S123">
            <v>217.87731704369438</v>
          </cell>
          <cell r="T123">
            <v>228.77118289587909</v>
          </cell>
        </row>
        <row r="124">
          <cell r="K124" t="str">
            <v>USAConsultingTech66NA</v>
          </cell>
          <cell r="L124" t="str">
            <v>Manager</v>
          </cell>
          <cell r="M124">
            <v>149.33333333333334</v>
          </cell>
          <cell r="N124">
            <v>189.62874409169501</v>
          </cell>
          <cell r="O124">
            <v>196.70821657235581</v>
          </cell>
          <cell r="P124">
            <v>204.57654523525005</v>
          </cell>
          <cell r="Q124">
            <v>214.80537249701257</v>
          </cell>
          <cell r="R124">
            <v>225.54564112186321</v>
          </cell>
          <cell r="S124">
            <v>236.8229231779564</v>
          </cell>
          <cell r="T124">
            <v>248.66406933685423</v>
          </cell>
        </row>
        <row r="125">
          <cell r="K125" t="str">
            <v>USAConsultingTech80NA</v>
          </cell>
          <cell r="L125" t="str">
            <v>Sr. Executive</v>
          </cell>
          <cell r="M125">
            <v>149.33333333333334</v>
          </cell>
          <cell r="N125">
            <v>207.23328993580557</v>
          </cell>
          <cell r="O125">
            <v>214.96999873596468</v>
          </cell>
          <cell r="P125">
            <v>223.56879868540327</v>
          </cell>
          <cell r="Q125">
            <v>234.74723861967342</v>
          </cell>
          <cell r="R125">
            <v>246.48460055065712</v>
          </cell>
          <cell r="S125">
            <v>258.80883057819</v>
          </cell>
          <cell r="T125">
            <v>271.7492721070995</v>
          </cell>
        </row>
        <row r="126">
          <cell r="K126" t="str">
            <v>USAConsultingTech81NA</v>
          </cell>
          <cell r="L126" t="str">
            <v>Sr. Executive</v>
          </cell>
          <cell r="M126">
            <v>149.33333333333334</v>
          </cell>
          <cell r="N126">
            <v>231.05972400036615</v>
          </cell>
          <cell r="O126">
            <v>239.68595292618076</v>
          </cell>
          <cell r="P126">
            <v>249.273391043228</v>
          </cell>
          <cell r="Q126">
            <v>261.73706059538944</v>
          </cell>
          <cell r="R126">
            <v>274.82391362515892</v>
          </cell>
          <cell r="S126">
            <v>288.5651093064169</v>
          </cell>
          <cell r="T126">
            <v>302.99336477173773</v>
          </cell>
        </row>
        <row r="127">
          <cell r="K127" t="str">
            <v>USAConsultingTech82NA</v>
          </cell>
          <cell r="L127" t="str">
            <v>Sr. Executive</v>
          </cell>
          <cell r="M127">
            <v>149.33333333333334</v>
          </cell>
          <cell r="N127">
            <v>253.29952607865266</v>
          </cell>
          <cell r="O127">
            <v>262.75604087459061</v>
          </cell>
          <cell r="P127">
            <v>273.26628250957424</v>
          </cell>
          <cell r="Q127">
            <v>286.92959663505297</v>
          </cell>
          <cell r="R127">
            <v>301.27607646680565</v>
          </cell>
          <cell r="S127">
            <v>316.33988029014597</v>
          </cell>
          <cell r="T127">
            <v>332.15687430465329</v>
          </cell>
        </row>
        <row r="128">
          <cell r="K128" t="str">
            <v>USAConsultingTech83NA</v>
          </cell>
          <cell r="L128" t="str">
            <v>Sr. Executive</v>
          </cell>
          <cell r="M128">
            <v>149.33333333333334</v>
          </cell>
          <cell r="N128">
            <v>278.28264075219971</v>
          </cell>
          <cell r="O128">
            <v>288.67185841267303</v>
          </cell>
          <cell r="P128">
            <v>300.21873274917999</v>
          </cell>
          <cell r="Q128">
            <v>315.22966938663899</v>
          </cell>
          <cell r="R128">
            <v>330.99115285597094</v>
          </cell>
          <cell r="S128">
            <v>347.5407104987695</v>
          </cell>
          <cell r="T128">
            <v>364.91774602370799</v>
          </cell>
        </row>
        <row r="129">
          <cell r="K129" t="str">
            <v>USAConsultingTech84NA</v>
          </cell>
          <cell r="L129" t="str">
            <v>Sr. Executive</v>
          </cell>
          <cell r="M129">
            <v>149.33333333333334</v>
          </cell>
          <cell r="N129">
            <v>307.62102572935612</v>
          </cell>
          <cell r="O129">
            <v>319.10554299784866</v>
          </cell>
          <cell r="P129">
            <v>331.86976471776262</v>
          </cell>
          <cell r="Q129">
            <v>348.46325295365079</v>
          </cell>
          <cell r="R129">
            <v>365.88641560133334</v>
          </cell>
          <cell r="S129">
            <v>384.18073638140004</v>
          </cell>
          <cell r="T129">
            <v>403.38977320047007</v>
          </cell>
        </row>
        <row r="130">
          <cell r="K130" t="str">
            <v>USAConsultingTech85NA</v>
          </cell>
          <cell r="L130" t="str">
            <v>Sr. Executive</v>
          </cell>
          <cell r="M130">
            <v>149.33333333333334</v>
          </cell>
          <cell r="N130">
            <v>325.56046954585713</v>
          </cell>
          <cell r="O130">
            <v>337.71472599036758</v>
          </cell>
          <cell r="P130">
            <v>351.2233150299823</v>
          </cell>
          <cell r="Q130">
            <v>368.78448078148142</v>
          </cell>
          <cell r="R130">
            <v>387.2237048205555</v>
          </cell>
          <cell r="S130">
            <v>406.58489006158328</v>
          </cell>
          <cell r="T130">
            <v>426.91413456466245</v>
          </cell>
        </row>
        <row r="131">
          <cell r="K131" t="str">
            <v>USAConsultingTech86NA</v>
          </cell>
          <cell r="L131" t="str">
            <v>Sr. Executive</v>
          </cell>
          <cell r="M131">
            <v>149.33333333333334</v>
          </cell>
          <cell r="N131">
            <v>354.09075893026147</v>
          </cell>
          <cell r="O131">
            <v>367.31014608335539</v>
          </cell>
          <cell r="P131">
            <v>382.00255192668965</v>
          </cell>
          <cell r="Q131">
            <v>401.10267952302416</v>
          </cell>
          <cell r="R131">
            <v>421.1578134991754</v>
          </cell>
          <cell r="S131">
            <v>442.2157041741342</v>
          </cell>
          <cell r="T131">
            <v>464.32648938284092</v>
          </cell>
        </row>
        <row r="132">
          <cell r="K132" t="str">
            <v>USAConsultingTech87NA</v>
          </cell>
          <cell r="L132" t="str">
            <v>Sr. Executive</v>
          </cell>
          <cell r="M132">
            <v>149.33333333333334</v>
          </cell>
          <cell r="N132">
            <v>374.52114374184839</v>
          </cell>
          <cell r="O132">
            <v>388.50326519314029</v>
          </cell>
          <cell r="P132">
            <v>404.04339580086594</v>
          </cell>
          <cell r="Q132">
            <v>424.24556559090928</v>
          </cell>
          <cell r="R132">
            <v>445.45784387045478</v>
          </cell>
          <cell r="S132">
            <v>467.73073606397753</v>
          </cell>
          <cell r="T132">
            <v>491.11727286717644</v>
          </cell>
        </row>
        <row r="133">
          <cell r="K133" t="str">
            <v>USAConsultingTech88NA</v>
          </cell>
          <cell r="L133" t="str">
            <v>Sr. Executive</v>
          </cell>
          <cell r="M133">
            <v>149.33333333333334</v>
          </cell>
          <cell r="N133">
            <v>413.01019107221913</v>
          </cell>
          <cell r="O133">
            <v>428.42923682888136</v>
          </cell>
          <cell r="P133">
            <v>445.56640630203663</v>
          </cell>
          <cell r="Q133">
            <v>467.84472661713846</v>
          </cell>
          <cell r="R133">
            <v>491.23696294799538</v>
          </cell>
          <cell r="S133">
            <v>515.79881109539519</v>
          </cell>
          <cell r="T133">
            <v>541.58875165016502</v>
          </cell>
        </row>
        <row r="134">
          <cell r="K134" t="str">
            <v>USAConsultingTech89NA</v>
          </cell>
          <cell r="L134" t="str">
            <v>Sr. Executive</v>
          </cell>
          <cell r="M134">
            <v>149.33333333333334</v>
          </cell>
          <cell r="N134">
            <v>453.81676338156552</v>
          </cell>
          <cell r="O134">
            <v>470.75925436842147</v>
          </cell>
          <cell r="P134">
            <v>489.58962454315832</v>
          </cell>
          <cell r="Q134">
            <v>514.06910577031624</v>
          </cell>
          <cell r="R134">
            <v>539.77256105883203</v>
          </cell>
          <cell r="S134">
            <v>566.76118911177366</v>
          </cell>
          <cell r="T134">
            <v>595.09924856736234</v>
          </cell>
        </row>
        <row r="135">
          <cell r="K135" t="str">
            <v>USAConsultingTech90NA</v>
          </cell>
          <cell r="L135" t="str">
            <v>Sr. Executive</v>
          </cell>
          <cell r="M135">
            <v>149.33333333333334</v>
          </cell>
          <cell r="N135">
            <v>565.56600022773762</v>
          </cell>
          <cell r="O135">
            <v>586.68046235101986</v>
          </cell>
          <cell r="P135">
            <v>610.14768084506068</v>
          </cell>
          <cell r="Q135">
            <v>640.65506488731376</v>
          </cell>
          <cell r="R135">
            <v>672.68781813167948</v>
          </cell>
          <cell r="S135">
            <v>706.32220903826351</v>
          </cell>
          <cell r="T135">
            <v>741.63831949017674</v>
          </cell>
        </row>
        <row r="136">
          <cell r="K136" t="str">
            <v>USAConsultingTech91NA</v>
          </cell>
          <cell r="L136" t="str">
            <v>Sr. Executive</v>
          </cell>
          <cell r="M136">
            <v>149.33333333333334</v>
          </cell>
          <cell r="N136">
            <v>740.21308028177725</v>
          </cell>
          <cell r="O136">
            <v>767.84769947825339</v>
          </cell>
          <cell r="P136">
            <v>798.5616074573835</v>
          </cell>
          <cell r="Q136">
            <v>838.48968783025271</v>
          </cell>
          <cell r="R136">
            <v>880.4141722217654</v>
          </cell>
          <cell r="S136">
            <v>924.43488083285365</v>
          </cell>
          <cell r="T136">
            <v>970.6566248744964</v>
          </cell>
        </row>
        <row r="137">
          <cell r="K137" t="str">
            <v>USAConsultingTech92NA</v>
          </cell>
          <cell r="L137" t="str">
            <v>Sr. Executive</v>
          </cell>
          <cell r="M137">
            <v>149.33333333333334</v>
          </cell>
          <cell r="N137">
            <v>925.56247776193618</v>
          </cell>
          <cell r="O137">
            <v>960.11680717984029</v>
          </cell>
          <cell r="P137">
            <v>998.52147946703394</v>
          </cell>
          <cell r="Q137">
            <v>1048.4475534403857</v>
          </cell>
          <cell r="R137">
            <v>1100.8699311124051</v>
          </cell>
          <cell r="S137">
            <v>1155.9134276680254</v>
          </cell>
          <cell r="T137">
            <v>1213.7090990514266</v>
          </cell>
        </row>
        <row r="138">
          <cell r="K138" t="str">
            <v>USAConsultingTech93NA</v>
          </cell>
          <cell r="L138" t="str">
            <v>Sr. Executive</v>
          </cell>
          <cell r="M138">
            <v>149.33333333333334</v>
          </cell>
          <cell r="N138">
            <v>1270.3945220061421</v>
          </cell>
          <cell r="O138">
            <v>1317.8225799263898</v>
          </cell>
          <cell r="P138">
            <v>1370.5354831234454</v>
          </cell>
          <cell r="Q138">
            <v>1439.0622572796176</v>
          </cell>
          <cell r="R138">
            <v>1511.0153701435986</v>
          </cell>
          <cell r="S138">
            <v>1586.5661386507786</v>
          </cell>
          <cell r="T138">
            <v>1665.8944455833175</v>
          </cell>
        </row>
        <row r="139">
          <cell r="K139" t="str">
            <v>USAConsultingTech94NA</v>
          </cell>
          <cell r="L139" t="str">
            <v>Sr. Executive</v>
          </cell>
          <cell r="M139">
            <v>149.33333333333334</v>
          </cell>
          <cell r="N139">
            <v>2818.3236577334869</v>
          </cell>
          <cell r="O139">
            <v>2923.5410648944585</v>
          </cell>
          <cell r="P139">
            <v>3040.4827074902369</v>
          </cell>
          <cell r="Q139">
            <v>3192.5068428647487</v>
          </cell>
          <cell r="R139">
            <v>3352.1321850079862</v>
          </cell>
          <cell r="S139">
            <v>3519.7387942583855</v>
          </cell>
          <cell r="T139">
            <v>3695.7257339713051</v>
          </cell>
        </row>
        <row r="140">
          <cell r="K140" t="str">
            <v>USAConsultingTech95NA</v>
          </cell>
          <cell r="L140" t="str">
            <v>Sr. Executive</v>
          </cell>
          <cell r="M140">
            <v>149.33333333333334</v>
          </cell>
          <cell r="N140">
            <v>3191.8378807396248</v>
          </cell>
          <cell r="O140">
            <v>3310.9998176477779</v>
          </cell>
          <cell r="P140">
            <v>3443.4398103536892</v>
          </cell>
          <cell r="Q140">
            <v>3615.6118008713738</v>
          </cell>
          <cell r="R140">
            <v>3796.3923909149426</v>
          </cell>
          <cell r="S140">
            <v>3986.2120104606897</v>
          </cell>
          <cell r="T140">
            <v>4185.522610983724</v>
          </cell>
        </row>
        <row r="141">
          <cell r="K141" t="str">
            <v>USAConsultingTech96NA</v>
          </cell>
          <cell r="L141" t="str">
            <v>Sr. Executive</v>
          </cell>
          <cell r="M141">
            <v>149.33333333333334</v>
          </cell>
          <cell r="N141">
            <v>3565.3521037457622</v>
          </cell>
          <cell r="O141">
            <v>3698.4585704010969</v>
          </cell>
          <cell r="P141">
            <v>3846.396913217141</v>
          </cell>
          <cell r="Q141">
            <v>4038.716758877998</v>
          </cell>
          <cell r="R141">
            <v>4240.6525968218984</v>
          </cell>
          <cell r="S141">
            <v>4452.685226662994</v>
          </cell>
          <cell r="T141">
            <v>4675.3194879961438</v>
          </cell>
        </row>
        <row r="142">
          <cell r="K142" t="str">
            <v>USAConsultingTech97NA</v>
          </cell>
          <cell r="L142" t="str">
            <v>Sr. Executive</v>
          </cell>
          <cell r="M142">
            <v>149.33333333333334</v>
          </cell>
          <cell r="N142">
            <v>3938.8663267518996</v>
          </cell>
          <cell r="O142">
            <v>4085.9173231544164</v>
          </cell>
          <cell r="P142">
            <v>4249.3540160805933</v>
          </cell>
          <cell r="Q142">
            <v>4461.8217168846231</v>
          </cell>
          <cell r="R142">
            <v>4684.9128027288543</v>
          </cell>
          <cell r="S142">
            <v>4919.1584428652968</v>
          </cell>
          <cell r="T142">
            <v>5165.1163650085618</v>
          </cell>
        </row>
        <row r="143">
          <cell r="K143" t="str">
            <v>USAConsultingTech98NA</v>
          </cell>
          <cell r="L143" t="str">
            <v>Sr. Executive</v>
          </cell>
          <cell r="M143">
            <v>149.33333333333334</v>
          </cell>
          <cell r="N143">
            <v>4312.3810166508147</v>
          </cell>
          <cell r="O143">
            <v>4473.3765602311751</v>
          </cell>
          <cell r="P143">
            <v>4652.3116226404218</v>
          </cell>
          <cell r="Q143">
            <v>4884.9272037724431</v>
          </cell>
          <cell r="R143">
            <v>5129.1735639610652</v>
          </cell>
          <cell r="S143">
            <v>5385.6322421591185</v>
          </cell>
          <cell r="T143">
            <v>5654.9138542670744</v>
          </cell>
        </row>
        <row r="144">
          <cell r="K144" t="str">
            <v>USAConsultingTech67NA</v>
          </cell>
          <cell r="L144" t="str">
            <v>Sr. Manager</v>
          </cell>
          <cell r="M144">
            <v>149.33333333333334</v>
          </cell>
          <cell r="N144">
            <v>144.71694149248799</v>
          </cell>
          <cell r="O144">
            <v>150.11970682581776</v>
          </cell>
          <cell r="P144">
            <v>156.12449509885047</v>
          </cell>
          <cell r="Q144">
            <v>163.93071985379299</v>
          </cell>
          <cell r="R144">
            <v>172.12725584648265</v>
          </cell>
          <cell r="S144">
            <v>180.7336186388068</v>
          </cell>
          <cell r="T144">
            <v>189.77029957074714</v>
          </cell>
        </row>
        <row r="145">
          <cell r="K145" t="str">
            <v>USAConsultingTech68NA</v>
          </cell>
          <cell r="L145" t="str">
            <v>Sr. Manager</v>
          </cell>
          <cell r="M145">
            <v>149.33333333333334</v>
          </cell>
          <cell r="N145">
            <v>168.08528660719037</v>
          </cell>
          <cell r="O145">
            <v>174.36047008024119</v>
          </cell>
          <cell r="P145">
            <v>181.33488888345084</v>
          </cell>
          <cell r="Q145">
            <v>190.40163332762339</v>
          </cell>
          <cell r="R145">
            <v>199.92171499400456</v>
          </cell>
          <cell r="S145">
            <v>209.91780074370479</v>
          </cell>
          <cell r="T145">
            <v>220.41369078089005</v>
          </cell>
        </row>
        <row r="146">
          <cell r="K146" t="str">
            <v>USAConsultingTech69NA</v>
          </cell>
          <cell r="L146" t="str">
            <v>Sr. Manager</v>
          </cell>
          <cell r="M146">
            <v>149.33333333333334</v>
          </cell>
          <cell r="N146">
            <v>191.9181622827634</v>
          </cell>
          <cell r="O146">
            <v>199.08310636825937</v>
          </cell>
          <cell r="P146">
            <v>207.04643062298976</v>
          </cell>
          <cell r="Q146">
            <v>217.39875215413926</v>
          </cell>
          <cell r="R146">
            <v>228.26868976184622</v>
          </cell>
          <cell r="S146">
            <v>239.68212424993854</v>
          </cell>
          <cell r="T146">
            <v>251.66623046243546</v>
          </cell>
        </row>
        <row r="147">
          <cell r="K147" t="str">
            <v>USAConsultingTech70NA</v>
          </cell>
          <cell r="L147" t="str">
            <v>Sr. Manager</v>
          </cell>
          <cell r="M147">
            <v>149.33333333333334</v>
          </cell>
          <cell r="N147">
            <v>225.08397726634098</v>
          </cell>
          <cell r="O147">
            <v>233.48711166733779</v>
          </cell>
          <cell r="P147">
            <v>242.82659613403129</v>
          </cell>
          <cell r="Q147">
            <v>254.96792594073287</v>
          </cell>
          <cell r="R147">
            <v>267.71632223776953</v>
          </cell>
          <cell r="S147">
            <v>281.10213834965805</v>
          </cell>
          <cell r="T147">
            <v>295.15724526714098</v>
          </cell>
        </row>
        <row r="148">
          <cell r="K148" t="str">
            <v>USAConsultingTech71NA</v>
          </cell>
          <cell r="L148" t="str">
            <v>Sr. Manager</v>
          </cell>
          <cell r="M148">
            <v>149.33333333333334</v>
          </cell>
          <cell r="N148">
            <v>278.62749485800765</v>
          </cell>
          <cell r="O148">
            <v>289.02958707061498</v>
          </cell>
          <cell r="P148">
            <v>300.5907705534396</v>
          </cell>
          <cell r="Q148">
            <v>315.6203090811116</v>
          </cell>
          <cell r="R148">
            <v>331.40132453516719</v>
          </cell>
          <cell r="S148">
            <v>347.97139076192559</v>
          </cell>
          <cell r="T148">
            <v>365.36996030002189</v>
          </cell>
        </row>
        <row r="149">
          <cell r="K149" t="str">
            <v>USAConsultingTech72NA</v>
          </cell>
          <cell r="L149" t="str">
            <v>Sr. Manager</v>
          </cell>
          <cell r="M149">
            <v>149.33333333333334</v>
          </cell>
          <cell r="N149">
            <v>358.27780684029904</v>
          </cell>
          <cell r="O149">
            <v>371.65351043474419</v>
          </cell>
          <cell r="P149">
            <v>386.51965085213396</v>
          </cell>
          <cell r="Q149">
            <v>405.84563339474067</v>
          </cell>
          <cell r="R149">
            <v>426.13791506447774</v>
          </cell>
          <cell r="S149">
            <v>447.44481081770164</v>
          </cell>
          <cell r="T149">
            <v>469.81705135858675</v>
          </cell>
        </row>
        <row r="150">
          <cell r="K150" t="str">
            <v>USAEnterpriseFederal ENT30NA</v>
          </cell>
          <cell r="L150" t="str">
            <v>Analyst</v>
          </cell>
          <cell r="M150">
            <v>153.5</v>
          </cell>
          <cell r="N150">
            <v>47.86170882490935</v>
          </cell>
          <cell r="O150">
            <v>49.297560089656635</v>
          </cell>
          <cell r="P150">
            <v>50.776486892346334</v>
          </cell>
          <cell r="Q150">
            <v>52.299781499116726</v>
          </cell>
          <cell r="R150">
            <v>53.868774944090227</v>
          </cell>
          <cell r="S150">
            <v>55.484838192412937</v>
          </cell>
          <cell r="T150">
            <v>57.149383338185324</v>
          </cell>
        </row>
        <row r="151">
          <cell r="K151" t="str">
            <v>USAEnterpriseFederal ENT31NA</v>
          </cell>
          <cell r="L151" t="str">
            <v>Analyst</v>
          </cell>
          <cell r="M151">
            <v>153.5</v>
          </cell>
          <cell r="N151">
            <v>53.625669084684453</v>
          </cell>
          <cell r="O151">
            <v>55.23443915722499</v>
          </cell>
          <cell r="P151">
            <v>56.891472331941742</v>
          </cell>
          <cell r="Q151">
            <v>58.598216501899998</v>
          </cell>
          <cell r="R151">
            <v>60.356162996956996</v>
          </cell>
          <cell r="S151">
            <v>62.16684788686571</v>
          </cell>
          <cell r="T151">
            <v>64.03185332347168</v>
          </cell>
        </row>
        <row r="152">
          <cell r="K152" t="str">
            <v>USAEnterpriseFederal ENT32NA</v>
          </cell>
          <cell r="L152" t="str">
            <v>Analyst</v>
          </cell>
          <cell r="M152">
            <v>153.5</v>
          </cell>
          <cell r="N152">
            <v>58.869981575530204</v>
          </cell>
          <cell r="O152">
            <v>60.636081022796112</v>
          </cell>
          <cell r="P152">
            <v>62.455163453479997</v>
          </cell>
          <cell r="Q152">
            <v>64.328818357084401</v>
          </cell>
          <cell r="R152">
            <v>66.258682907796938</v>
          </cell>
          <cell r="S152">
            <v>68.246443395030852</v>
          </cell>
          <cell r="T152">
            <v>70.293836696881783</v>
          </cell>
        </row>
        <row r="153">
          <cell r="K153" t="str">
            <v>USAEnterpriseFederal ENT33NA</v>
          </cell>
          <cell r="L153" t="str">
            <v>Analyst</v>
          </cell>
          <cell r="M153">
            <v>153.5</v>
          </cell>
          <cell r="N153">
            <v>65.856248150730309</v>
          </cell>
          <cell r="O153">
            <v>67.831935595252219</v>
          </cell>
          <cell r="P153">
            <v>69.866893663109792</v>
          </cell>
          <cell r="Q153">
            <v>71.962900473003089</v>
          </cell>
          <cell r="R153">
            <v>74.121787487193188</v>
          </cell>
          <cell r="S153">
            <v>76.345441111808981</v>
          </cell>
          <cell r="T153">
            <v>78.635804345163251</v>
          </cell>
        </row>
        <row r="154">
          <cell r="K154" t="str">
            <v>USAEnterpriseFederal ENT22NA</v>
          </cell>
          <cell r="L154" t="str">
            <v>Assistant</v>
          </cell>
          <cell r="M154">
            <v>153.5</v>
          </cell>
          <cell r="N154">
            <v>36.625683448184404</v>
          </cell>
          <cell r="O154">
            <v>37.72445395162994</v>
          </cell>
          <cell r="P154">
            <v>38.85618757017884</v>
          </cell>
          <cell r="Q154">
            <v>40.021873197284208</v>
          </cell>
          <cell r="R154">
            <v>41.222529393202734</v>
          </cell>
          <cell r="S154">
            <v>42.459205274998816</v>
          </cell>
          <cell r="T154">
            <v>43.732981433248781</v>
          </cell>
        </row>
        <row r="155">
          <cell r="K155" t="str">
            <v>USAEnterpriseFederal ENT23NA</v>
          </cell>
          <cell r="L155" t="str">
            <v>Assistant</v>
          </cell>
          <cell r="M155">
            <v>153.5</v>
          </cell>
          <cell r="N155">
            <v>41.860833885438751</v>
          </cell>
          <cell r="O155">
            <v>43.116658902001916</v>
          </cell>
          <cell r="P155">
            <v>44.410158669061971</v>
          </cell>
          <cell r="Q155">
            <v>45.742463429133835</v>
          </cell>
          <cell r="R155">
            <v>47.114737332007849</v>
          </cell>
          <cell r="S155">
            <v>48.528179451968086</v>
          </cell>
          <cell r="T155">
            <v>49.98402483552713</v>
          </cell>
        </row>
        <row r="156">
          <cell r="K156" t="str">
            <v>USAEnterpriseFederal ENT24NA</v>
          </cell>
          <cell r="L156" t="str">
            <v>Assistant</v>
          </cell>
          <cell r="M156">
            <v>153.5</v>
          </cell>
          <cell r="N156">
            <v>47.144827780421402</v>
          </cell>
          <cell r="O156">
            <v>48.559172613834043</v>
          </cell>
          <cell r="P156">
            <v>50.015947792249065</v>
          </cell>
          <cell r="Q156">
            <v>51.516426226016542</v>
          </cell>
          <cell r="R156">
            <v>53.061919012797041</v>
          </cell>
          <cell r="S156">
            <v>54.653776583180957</v>
          </cell>
          <cell r="T156">
            <v>56.293389880676386</v>
          </cell>
        </row>
        <row r="157">
          <cell r="K157" t="str">
            <v>USAEnterpriseFederal ENT60NA</v>
          </cell>
          <cell r="L157" t="str">
            <v>Manager</v>
          </cell>
          <cell r="M157">
            <v>153.5</v>
          </cell>
          <cell r="N157">
            <v>103.14783129889035</v>
          </cell>
          <cell r="O157">
            <v>106.24226623785707</v>
          </cell>
          <cell r="P157">
            <v>109.42953422499278</v>
          </cell>
          <cell r="Q157">
            <v>112.71242025174257</v>
          </cell>
          <cell r="R157">
            <v>116.09379285929485</v>
          </cell>
          <cell r="S157">
            <v>119.5766066450737</v>
          </cell>
          <cell r="T157">
            <v>123.16390484442591</v>
          </cell>
        </row>
        <row r="158">
          <cell r="K158" t="str">
            <v>USAEnterpriseFederal ENT61NA</v>
          </cell>
          <cell r="L158" t="str">
            <v>Manager</v>
          </cell>
          <cell r="M158">
            <v>153.5</v>
          </cell>
          <cell r="N158">
            <v>115.61231584811476</v>
          </cell>
          <cell r="O158">
            <v>119.08068532355821</v>
          </cell>
          <cell r="P158">
            <v>122.65310588326497</v>
          </cell>
          <cell r="Q158">
            <v>126.33269905976292</v>
          </cell>
          <cell r="R158">
            <v>130.1226800315558</v>
          </cell>
          <cell r="S158">
            <v>134.02636043250249</v>
          </cell>
          <cell r="T158">
            <v>138.04715124547755</v>
          </cell>
        </row>
        <row r="159">
          <cell r="K159" t="str">
            <v>USAEnterpriseFederal ENT62NA</v>
          </cell>
          <cell r="L159" t="str">
            <v>Manager</v>
          </cell>
          <cell r="M159">
            <v>153.5</v>
          </cell>
          <cell r="N159">
            <v>126.8134934745456</v>
          </cell>
          <cell r="O159">
            <v>130.61789827878198</v>
          </cell>
          <cell r="P159">
            <v>134.53643522714543</v>
          </cell>
          <cell r="Q159">
            <v>138.5725282839598</v>
          </cell>
          <cell r="R159">
            <v>142.72970413247859</v>
          </cell>
          <cell r="S159">
            <v>147.01159525645295</v>
          </cell>
          <cell r="T159">
            <v>151.42194311414653</v>
          </cell>
        </row>
        <row r="160">
          <cell r="K160" t="str">
            <v>USAEnterpriseFederal ENT63NA</v>
          </cell>
          <cell r="L160" t="str">
            <v>Manager</v>
          </cell>
          <cell r="M160">
            <v>153.5</v>
          </cell>
          <cell r="N160">
            <v>140.94951911843671</v>
          </cell>
          <cell r="O160">
            <v>145.17800469198983</v>
          </cell>
          <cell r="P160">
            <v>149.53334483274952</v>
          </cell>
          <cell r="Q160">
            <v>154.01934517773202</v>
          </cell>
          <cell r="R160">
            <v>158.63992553306397</v>
          </cell>
          <cell r="S160">
            <v>163.3991232990559</v>
          </cell>
          <cell r="T160">
            <v>168.30109699802759</v>
          </cell>
        </row>
        <row r="161">
          <cell r="K161" t="str">
            <v>USAEnterpriseFederal ENT64NA</v>
          </cell>
          <cell r="L161" t="str">
            <v>Manager</v>
          </cell>
          <cell r="M161">
            <v>153.5</v>
          </cell>
          <cell r="N161">
            <v>160.72533731537462</v>
          </cell>
          <cell r="O161">
            <v>165.54709743483585</v>
          </cell>
          <cell r="P161">
            <v>170.51351035788093</v>
          </cell>
          <cell r="Q161">
            <v>175.62891566861737</v>
          </cell>
          <cell r="R161">
            <v>180.89778313867589</v>
          </cell>
          <cell r="S161">
            <v>186.32471663283619</v>
          </cell>
          <cell r="T161">
            <v>191.91445813182128</v>
          </cell>
        </row>
        <row r="162">
          <cell r="K162" t="str">
            <v>USAEnterpriseFederal ENT50NA</v>
          </cell>
          <cell r="L162" t="str">
            <v>Specialist</v>
          </cell>
          <cell r="M162">
            <v>153.5</v>
          </cell>
          <cell r="N162">
            <v>69.750606550785761</v>
          </cell>
          <cell r="O162">
            <v>71.843124747309332</v>
          </cell>
          <cell r="P162">
            <v>73.998418489728607</v>
          </cell>
          <cell r="Q162">
            <v>76.218371044420465</v>
          </cell>
          <cell r="R162">
            <v>78.50492217575308</v>
          </cell>
          <cell r="S162">
            <v>80.860069841025677</v>
          </cell>
          <cell r="T162">
            <v>83.285871936256456</v>
          </cell>
        </row>
        <row r="163">
          <cell r="K163" t="str">
            <v>USAEnterpriseFederal ENT51NA</v>
          </cell>
          <cell r="L163" t="str">
            <v>Specialist</v>
          </cell>
          <cell r="M163">
            <v>153.5</v>
          </cell>
          <cell r="N163">
            <v>80.807179043324695</v>
          </cell>
          <cell r="O163">
            <v>83.231394414624432</v>
          </cell>
          <cell r="P163">
            <v>85.728336247063169</v>
          </cell>
          <cell r="Q163">
            <v>88.300186334475072</v>
          </cell>
          <cell r="R163">
            <v>90.949191924509321</v>
          </cell>
          <cell r="S163">
            <v>93.677667682244603</v>
          </cell>
          <cell r="T163">
            <v>96.487997712711945</v>
          </cell>
        </row>
        <row r="164">
          <cell r="K164" t="str">
            <v>USAEnterpriseFederal ENT52NA</v>
          </cell>
          <cell r="L164" t="str">
            <v>Specialist</v>
          </cell>
          <cell r="M164">
            <v>153.5</v>
          </cell>
          <cell r="N164">
            <v>90.65308144736791</v>
          </cell>
          <cell r="O164">
            <v>93.372673890788946</v>
          </cell>
          <cell r="P164">
            <v>96.173854107512611</v>
          </cell>
          <cell r="Q164">
            <v>99.059069730737988</v>
          </cell>
          <cell r="R164">
            <v>102.03084182266014</v>
          </cell>
          <cell r="S164">
            <v>105.09176707733994</v>
          </cell>
          <cell r="T164">
            <v>108.24452008966014</v>
          </cell>
        </row>
        <row r="165">
          <cell r="K165" t="str">
            <v>USAEnterpriseFederal ENT53NA</v>
          </cell>
          <cell r="L165" t="str">
            <v>Specialist</v>
          </cell>
          <cell r="M165">
            <v>153.5</v>
          </cell>
          <cell r="N165">
            <v>97.659104561886153</v>
          </cell>
          <cell r="O165">
            <v>100.58887769874273</v>
          </cell>
          <cell r="P165">
            <v>103.60654402970502</v>
          </cell>
          <cell r="Q165">
            <v>106.71474035059617</v>
          </cell>
          <cell r="R165">
            <v>109.91618256111406</v>
          </cell>
          <cell r="S165">
            <v>113.21366803794749</v>
          </cell>
          <cell r="T165">
            <v>116.61007807908591</v>
          </cell>
        </row>
        <row r="166">
          <cell r="K166" t="str">
            <v>USAEnterpriseFederal ENT54NA</v>
          </cell>
          <cell r="L166" t="str">
            <v>Specialist</v>
          </cell>
          <cell r="M166">
            <v>153.5</v>
          </cell>
          <cell r="N166">
            <v>107.11828960702516</v>
          </cell>
          <cell r="O166">
            <v>110.33183829523593</v>
          </cell>
          <cell r="P166">
            <v>113.64179344409301</v>
          </cell>
          <cell r="Q166">
            <v>117.05104724741581</v>
          </cell>
          <cell r="R166">
            <v>120.56257866483828</v>
          </cell>
          <cell r="S166">
            <v>124.17945602478343</v>
          </cell>
          <cell r="T166">
            <v>127.90483970552694</v>
          </cell>
        </row>
        <row r="167">
          <cell r="K167" t="str">
            <v>USAEnterpriseFederal ENT80NA</v>
          </cell>
          <cell r="L167" t="str">
            <v>Sr. Executive</v>
          </cell>
          <cell r="M167">
            <v>153.5</v>
          </cell>
          <cell r="N167">
            <v>202.93827670352164</v>
          </cell>
          <cell r="O167">
            <v>209.0264250046273</v>
          </cell>
          <cell r="P167">
            <v>215.29721775476614</v>
          </cell>
          <cell r="Q167">
            <v>221.75613428740914</v>
          </cell>
          <cell r="R167">
            <v>228.40881831603141</v>
          </cell>
          <cell r="S167">
            <v>235.26108286551235</v>
          </cell>
          <cell r="T167">
            <v>242.31891535147773</v>
          </cell>
        </row>
        <row r="168">
          <cell r="K168" t="str">
            <v>USAEnterpriseFederal ENT81NA</v>
          </cell>
          <cell r="L168" t="str">
            <v>Sr. Executive</v>
          </cell>
          <cell r="M168">
            <v>153.5</v>
          </cell>
          <cell r="N168">
            <v>225.74198418409892</v>
          </cell>
          <cell r="O168">
            <v>232.51424370962189</v>
          </cell>
          <cell r="P168">
            <v>239.48967102091055</v>
          </cell>
          <cell r="Q168">
            <v>246.67436115153788</v>
          </cell>
          <cell r="R168">
            <v>254.07459198608402</v>
          </cell>
          <cell r="S168">
            <v>261.69682974566655</v>
          </cell>
          <cell r="T168">
            <v>269.54773463803656</v>
          </cell>
        </row>
        <row r="169">
          <cell r="K169" t="str">
            <v>USAEnterpriseFederal ENT82NA</v>
          </cell>
          <cell r="L169" t="str">
            <v>Sr. Executive</v>
          </cell>
          <cell r="M169">
            <v>153.5</v>
          </cell>
          <cell r="N169">
            <v>244.76204898060257</v>
          </cell>
          <cell r="O169">
            <v>252.10491045002067</v>
          </cell>
          <cell r="P169">
            <v>259.66805776352129</v>
          </cell>
          <cell r="Q169">
            <v>267.45809949642694</v>
          </cell>
          <cell r="R169">
            <v>275.48184248131975</v>
          </cell>
          <cell r="S169">
            <v>283.74629775575937</v>
          </cell>
          <cell r="T169">
            <v>292.25868668843214</v>
          </cell>
        </row>
        <row r="170">
          <cell r="K170" t="str">
            <v>USAEnterpriseFederal ENT83NA</v>
          </cell>
          <cell r="L170" t="str">
            <v>Sr. Executive</v>
          </cell>
          <cell r="M170">
            <v>153.5</v>
          </cell>
          <cell r="N170">
            <v>265.34502703968212</v>
          </cell>
          <cell r="O170">
            <v>273.30537785087262</v>
          </cell>
          <cell r="P170">
            <v>281.5045391863988</v>
          </cell>
          <cell r="Q170">
            <v>289.94967536199078</v>
          </cell>
          <cell r="R170">
            <v>298.64816562285051</v>
          </cell>
          <cell r="S170">
            <v>307.60761059153606</v>
          </cell>
          <cell r="T170">
            <v>316.83583890928213</v>
          </cell>
        </row>
        <row r="171">
          <cell r="K171" t="str">
            <v>USAEnterpriseFederal ENT84NA</v>
          </cell>
          <cell r="L171" t="str">
            <v>Sr. Executive</v>
          </cell>
          <cell r="M171">
            <v>153.5</v>
          </cell>
          <cell r="N171">
            <v>287.94494170824527</v>
          </cell>
          <cell r="O171">
            <v>296.58328995949262</v>
          </cell>
          <cell r="P171">
            <v>305.48078865827739</v>
          </cell>
          <cell r="Q171">
            <v>314.6452123180257</v>
          </cell>
          <cell r="R171">
            <v>324.0845686875665</v>
          </cell>
          <cell r="S171">
            <v>333.80710574819352</v>
          </cell>
          <cell r="T171">
            <v>343.82131892063933</v>
          </cell>
        </row>
        <row r="172">
          <cell r="K172" t="str">
            <v>USAEnterpriseFederal ENT85NA</v>
          </cell>
          <cell r="L172" t="str">
            <v>Sr. Executive</v>
          </cell>
          <cell r="M172">
            <v>153.5</v>
          </cell>
          <cell r="N172">
            <v>319.59809707520162</v>
          </cell>
          <cell r="O172">
            <v>329.18603998745766</v>
          </cell>
          <cell r="P172">
            <v>339.06162118708141</v>
          </cell>
          <cell r="Q172">
            <v>349.23346982269385</v>
          </cell>
          <cell r="R172">
            <v>359.71047391737466</v>
          </cell>
          <cell r="S172">
            <v>370.50178813489589</v>
          </cell>
          <cell r="T172">
            <v>381.61684177894278</v>
          </cell>
        </row>
        <row r="173">
          <cell r="K173" t="str">
            <v>USAEnterpriseFederal ENT86NA</v>
          </cell>
          <cell r="L173" t="str">
            <v>Sr. Executive</v>
          </cell>
          <cell r="M173">
            <v>153.5</v>
          </cell>
          <cell r="N173">
            <v>362.97467196600786</v>
          </cell>
          <cell r="O173">
            <v>373.86391212498813</v>
          </cell>
          <cell r="P173">
            <v>385.0798294887378</v>
          </cell>
          <cell r="Q173">
            <v>396.63222437339994</v>
          </cell>
          <cell r="R173">
            <v>408.53119110460193</v>
          </cell>
          <cell r="S173">
            <v>420.78712683774</v>
          </cell>
          <cell r="T173">
            <v>433.41074064287221</v>
          </cell>
        </row>
        <row r="174">
          <cell r="K174" t="str">
            <v>USAEnterpriseFederal ENT87NA</v>
          </cell>
          <cell r="L174" t="str">
            <v>Sr. Executive</v>
          </cell>
          <cell r="M174">
            <v>153.5</v>
          </cell>
          <cell r="N174">
            <v>383.53513721679724</v>
          </cell>
          <cell r="O174">
            <v>395.04119133330119</v>
          </cell>
          <cell r="P174">
            <v>406.89242707330021</v>
          </cell>
          <cell r="Q174">
            <v>419.09919988549922</v>
          </cell>
          <cell r="R174">
            <v>431.67217588206421</v>
          </cell>
          <cell r="S174">
            <v>444.62234115852613</v>
          </cell>
          <cell r="T174">
            <v>457.96101139328192</v>
          </cell>
        </row>
        <row r="175">
          <cell r="K175" t="str">
            <v>USAEnterpriseFederal ENT88NA</v>
          </cell>
          <cell r="L175" t="str">
            <v>Sr. Executive</v>
          </cell>
          <cell r="M175">
            <v>153.5</v>
          </cell>
          <cell r="N175">
            <v>418.54396566262096</v>
          </cell>
          <cell r="O175">
            <v>431.10028463249961</v>
          </cell>
          <cell r="P175">
            <v>444.03329317147461</v>
          </cell>
          <cell r="Q175">
            <v>457.35429196661886</v>
          </cell>
          <cell r="R175">
            <v>471.07492072561746</v>
          </cell>
          <cell r="S175">
            <v>485.20716834738602</v>
          </cell>
          <cell r="T175">
            <v>499.76338339780762</v>
          </cell>
        </row>
        <row r="176">
          <cell r="K176" t="str">
            <v>USAEnterpriseFederal ENT89NA</v>
          </cell>
          <cell r="L176" t="str">
            <v>Sr. Executive</v>
          </cell>
          <cell r="M176">
            <v>153.5</v>
          </cell>
          <cell r="N176">
            <v>454.36091215995816</v>
          </cell>
          <cell r="O176">
            <v>467.99173952475689</v>
          </cell>
          <cell r="P176">
            <v>482.03149171049961</v>
          </cell>
          <cell r="Q176">
            <v>496.49243646181463</v>
          </cell>
          <cell r="R176">
            <v>511.38720955566907</v>
          </cell>
          <cell r="S176">
            <v>526.72882584233912</v>
          </cell>
          <cell r="T176">
            <v>542.53069061760925</v>
          </cell>
        </row>
        <row r="177">
          <cell r="K177" t="str">
            <v>USAEnterpriseFederal ENT90NA</v>
          </cell>
          <cell r="L177" t="str">
            <v>Sr. Executive</v>
          </cell>
          <cell r="M177">
            <v>153.5</v>
          </cell>
          <cell r="N177">
            <v>522.63287310276405</v>
          </cell>
          <cell r="O177">
            <v>538.31185929584694</v>
          </cell>
          <cell r="P177">
            <v>554.46121507472242</v>
          </cell>
          <cell r="Q177">
            <v>571.09505152696408</v>
          </cell>
          <cell r="R177">
            <v>588.22790307277307</v>
          </cell>
          <cell r="S177">
            <v>605.87474016495628</v>
          </cell>
          <cell r="T177">
            <v>624.050982369905</v>
          </cell>
        </row>
        <row r="178">
          <cell r="K178" t="str">
            <v>USAEnterpriseFederal ENT91NA</v>
          </cell>
          <cell r="L178" t="str">
            <v>Sr. Executive</v>
          </cell>
          <cell r="M178">
            <v>153.5</v>
          </cell>
          <cell r="N178">
            <v>657.98501512154542</v>
          </cell>
          <cell r="O178">
            <v>677.72456557519183</v>
          </cell>
          <cell r="P178">
            <v>698.05630254244761</v>
          </cell>
          <cell r="Q178">
            <v>718.99799161872102</v>
          </cell>
          <cell r="R178">
            <v>740.56793136728265</v>
          </cell>
          <cell r="S178">
            <v>762.78496930830113</v>
          </cell>
          <cell r="T178">
            <v>785.66851838755019</v>
          </cell>
        </row>
        <row r="179">
          <cell r="K179" t="str">
            <v>USAEnterpriseFederal ENT92NA</v>
          </cell>
          <cell r="L179" t="str">
            <v>Sr. Executive</v>
          </cell>
          <cell r="M179">
            <v>153.5</v>
          </cell>
          <cell r="N179">
            <v>835.04945247944761</v>
          </cell>
          <cell r="O179">
            <v>860.10093605383111</v>
          </cell>
          <cell r="P179">
            <v>885.90396413544602</v>
          </cell>
          <cell r="Q179">
            <v>912.48108305950939</v>
          </cell>
          <cell r="R179">
            <v>939.85551555129473</v>
          </cell>
          <cell r="S179">
            <v>968.05118101783364</v>
          </cell>
          <cell r="T179">
            <v>997.09271644836872</v>
          </cell>
        </row>
        <row r="180">
          <cell r="K180" t="str">
            <v>USAEnterpriseFederal ENT93NA</v>
          </cell>
          <cell r="L180" t="str">
            <v>Sr. Executive</v>
          </cell>
          <cell r="M180">
            <v>153.5</v>
          </cell>
          <cell r="N180">
            <v>1761.4758836556136</v>
          </cell>
          <cell r="O180">
            <v>1814.320160165282</v>
          </cell>
          <cell r="P180">
            <v>1868.7497649702404</v>
          </cell>
          <cell r="Q180">
            <v>1924.8122579193478</v>
          </cell>
          <cell r="R180">
            <v>1982.5566256569282</v>
          </cell>
          <cell r="S180">
            <v>2042.033324426636</v>
          </cell>
          <cell r="T180">
            <v>2103.2943241594353</v>
          </cell>
        </row>
        <row r="181">
          <cell r="K181" t="str">
            <v>USAEnterpriseFederal ENT94NA</v>
          </cell>
          <cell r="L181" t="str">
            <v>Sr. Executive</v>
          </cell>
          <cell r="M181">
            <v>153.5</v>
          </cell>
          <cell r="N181">
            <v>2672.0929900676883</v>
          </cell>
          <cell r="O181">
            <v>2752.2557797697191</v>
          </cell>
          <cell r="P181">
            <v>2834.8234531628109</v>
          </cell>
          <cell r="Q181">
            <v>2919.8681567576955</v>
          </cell>
          <cell r="R181">
            <v>3007.4642014604265</v>
          </cell>
          <cell r="S181">
            <v>3097.6881275042392</v>
          </cell>
          <cell r="T181">
            <v>3190.6187713293666</v>
          </cell>
        </row>
        <row r="182">
          <cell r="K182" t="str">
            <v>USAEnterpriseFederal ENT95NA</v>
          </cell>
          <cell r="L182" t="str">
            <v>Sr. Executive</v>
          </cell>
          <cell r="M182">
            <v>153.5</v>
          </cell>
          <cell r="N182">
            <v>3026.2218647834925</v>
          </cell>
          <cell r="O182">
            <v>3117.0085207269972</v>
          </cell>
          <cell r="P182">
            <v>3210.518776348807</v>
          </cell>
          <cell r="Q182">
            <v>3306.8343396392711</v>
          </cell>
          <cell r="R182">
            <v>3406.0393698284493</v>
          </cell>
          <cell r="S182">
            <v>3508.2205509233027</v>
          </cell>
          <cell r="T182">
            <v>3613.4671674510018</v>
          </cell>
        </row>
        <row r="183">
          <cell r="K183" t="str">
            <v>USAEnterpriseFederal ENT96NA</v>
          </cell>
          <cell r="L183" t="str">
            <v>Sr. Executive</v>
          </cell>
          <cell r="M183">
            <v>153.5</v>
          </cell>
          <cell r="N183">
            <v>3380.3507394992971</v>
          </cell>
          <cell r="O183">
            <v>3481.7612616842762</v>
          </cell>
          <cell r="P183">
            <v>3586.2140995348045</v>
          </cell>
          <cell r="Q183">
            <v>3693.800522520849</v>
          </cell>
          <cell r="R183">
            <v>3804.6145381964743</v>
          </cell>
          <cell r="S183">
            <v>3918.7529743423688</v>
          </cell>
          <cell r="T183">
            <v>4036.3155635726398</v>
          </cell>
        </row>
        <row r="184">
          <cell r="K184" t="str">
            <v>USAEnterpriseFederal ENT97NA</v>
          </cell>
          <cell r="L184" t="str">
            <v>Sr. Executive</v>
          </cell>
          <cell r="M184">
            <v>153.5</v>
          </cell>
          <cell r="N184">
            <v>3734.4796142151017</v>
          </cell>
          <cell r="O184">
            <v>3846.5140026415547</v>
          </cell>
          <cell r="P184">
            <v>3961.9094227208016</v>
          </cell>
          <cell r="Q184">
            <v>4080.7667054024255</v>
          </cell>
          <cell r="R184">
            <v>4203.189706564498</v>
          </cell>
          <cell r="S184">
            <v>4329.2853977614332</v>
          </cell>
          <cell r="T184">
            <v>4459.1639596942759</v>
          </cell>
        </row>
        <row r="185">
          <cell r="K185" t="str">
            <v>USAEnterpriseFederal ENT98NA</v>
          </cell>
          <cell r="L185" t="str">
            <v>Sr. Executive</v>
          </cell>
          <cell r="M185">
            <v>153.5</v>
          </cell>
          <cell r="N185">
            <v>4088.6089315919912</v>
          </cell>
          <cell r="O185">
            <v>4211.2671995397513</v>
          </cell>
          <cell r="P185">
            <v>4337.605215525944</v>
          </cell>
          <cell r="Q185">
            <v>4467.7333719917224</v>
          </cell>
          <cell r="R185">
            <v>4601.7653731514738</v>
          </cell>
          <cell r="S185">
            <v>4739.8183343460178</v>
          </cell>
          <cell r="T185">
            <v>4882.0128843763987</v>
          </cell>
        </row>
        <row r="186">
          <cell r="K186" t="str">
            <v>USAEnterpriseFederal ENT67NA</v>
          </cell>
          <cell r="L186" t="str">
            <v>Sr. Manager</v>
          </cell>
          <cell r="M186">
            <v>153.5</v>
          </cell>
          <cell r="N186">
            <v>148.82210845189425</v>
          </cell>
          <cell r="O186">
            <v>153.28677170545109</v>
          </cell>
          <cell r="P186">
            <v>157.88537485661462</v>
          </cell>
          <cell r="Q186">
            <v>162.62193610231307</v>
          </cell>
          <cell r="R186">
            <v>167.50059418538248</v>
          </cell>
          <cell r="S186">
            <v>172.52561201094397</v>
          </cell>
          <cell r="T186">
            <v>177.70138037127231</v>
          </cell>
        </row>
        <row r="187">
          <cell r="K187" t="str">
            <v>USAEnterpriseFederal ENT68NA</v>
          </cell>
          <cell r="L187" t="str">
            <v>Sr. Manager</v>
          </cell>
          <cell r="M187">
            <v>153.5</v>
          </cell>
          <cell r="N187">
            <v>186.28166729124499</v>
          </cell>
          <cell r="O187">
            <v>191.87011730998233</v>
          </cell>
          <cell r="P187">
            <v>197.62622082928181</v>
          </cell>
          <cell r="Q187">
            <v>203.55500745416026</v>
          </cell>
          <cell r="R187">
            <v>209.66165767778509</v>
          </cell>
          <cell r="S187">
            <v>215.95150740811866</v>
          </cell>
          <cell r="T187">
            <v>222.43005263036221</v>
          </cell>
        </row>
        <row r="188">
          <cell r="K188" t="str">
            <v>USAEnterpriseFederal ENT69NA</v>
          </cell>
          <cell r="L188" t="str">
            <v>Sr. Manager</v>
          </cell>
          <cell r="M188">
            <v>153.5</v>
          </cell>
          <cell r="N188">
            <v>250.14774077177719</v>
          </cell>
          <cell r="O188">
            <v>257.65217299493054</v>
          </cell>
          <cell r="P188">
            <v>265.38173818477844</v>
          </cell>
          <cell r="Q188">
            <v>273.34319033032182</v>
          </cell>
          <cell r="R188">
            <v>281.54348604023147</v>
          </cell>
          <cell r="S188">
            <v>289.98979062143843</v>
          </cell>
          <cell r="T188">
            <v>298.68948434008161</v>
          </cell>
        </row>
        <row r="189">
          <cell r="K189" t="str">
            <v>USAEnterpriseNA30NA</v>
          </cell>
          <cell r="L189" t="str">
            <v>ANALYST</v>
          </cell>
          <cell r="M189">
            <v>167.41666666666666</v>
          </cell>
          <cell r="N189">
            <v>47.86170882490935</v>
          </cell>
          <cell r="O189">
            <v>49.297560089656635</v>
          </cell>
          <cell r="P189">
            <v>50.973677132704964</v>
          </cell>
          <cell r="Q189">
            <v>52.910676863747753</v>
          </cell>
          <cell r="R189">
            <v>54.921282584570172</v>
          </cell>
          <cell r="S189">
            <v>57.00829132278384</v>
          </cell>
          <cell r="T189">
            <v>59.174606393049629</v>
          </cell>
        </row>
        <row r="190">
          <cell r="K190" t="str">
            <v>USAEnterpriseNA31NA</v>
          </cell>
          <cell r="L190" t="str">
            <v>ANALYST</v>
          </cell>
          <cell r="M190">
            <v>167.41666666666666</v>
          </cell>
          <cell r="N190">
            <v>53.625669084684453</v>
          </cell>
          <cell r="O190">
            <v>55.23443915722499</v>
          </cell>
          <cell r="P190">
            <v>57.112410088570641</v>
          </cell>
          <cell r="Q190">
            <v>59.282681671936331</v>
          </cell>
          <cell r="R190">
            <v>61.535423575469913</v>
          </cell>
          <cell r="S190">
            <v>63.873769671337769</v>
          </cell>
          <cell r="T190">
            <v>66.300972918848601</v>
          </cell>
        </row>
        <row r="191">
          <cell r="K191" t="str">
            <v>USAEnterpriseNA32NA</v>
          </cell>
          <cell r="L191" t="str">
            <v>ANALYST</v>
          </cell>
          <cell r="M191">
            <v>167.41666666666666</v>
          </cell>
          <cell r="N191">
            <v>58.869981575530204</v>
          </cell>
          <cell r="O191">
            <v>60.636081022796112</v>
          </cell>
          <cell r="P191">
            <v>62.697707777571182</v>
          </cell>
          <cell r="Q191">
            <v>65.080220673118887</v>
          </cell>
          <cell r="R191">
            <v>67.55326905869741</v>
          </cell>
          <cell r="S191">
            <v>70.120293282927918</v>
          </cell>
          <cell r="T191">
            <v>72.784864427679182</v>
          </cell>
        </row>
        <row r="192">
          <cell r="K192" t="str">
            <v>USAEnterpriseNA33NA</v>
          </cell>
          <cell r="L192" t="str">
            <v>ANALYST</v>
          </cell>
          <cell r="M192">
            <v>167.41666666666666</v>
          </cell>
          <cell r="N192">
            <v>65.856248150730309</v>
          </cell>
          <cell r="O192">
            <v>67.831935595252219</v>
          </cell>
          <cell r="P192">
            <v>70.138221405490796</v>
          </cell>
          <cell r="Q192">
            <v>72.803473818899448</v>
          </cell>
          <cell r="R192">
            <v>75.570005824017628</v>
          </cell>
          <cell r="S192">
            <v>78.441666045330294</v>
          </cell>
          <cell r="T192">
            <v>81.422449355052848</v>
          </cell>
        </row>
        <row r="193">
          <cell r="K193" t="str">
            <v>USAEnterpriseNA22NA</v>
          </cell>
          <cell r="L193" t="str">
            <v>ASSISTANT</v>
          </cell>
          <cell r="M193">
            <v>159.5</v>
          </cell>
          <cell r="N193">
            <v>36.625683448184404</v>
          </cell>
          <cell r="O193">
            <v>37.72445395162994</v>
          </cell>
          <cell r="P193">
            <v>39.007085385985356</v>
          </cell>
          <cell r="Q193">
            <v>40.489354630652798</v>
          </cell>
          <cell r="R193">
            <v>42.027950106617602</v>
          </cell>
          <cell r="S193">
            <v>43.62501221066907</v>
          </cell>
          <cell r="T193">
            <v>45.282762674674494</v>
          </cell>
        </row>
        <row r="194">
          <cell r="K194" t="str">
            <v>USAEnterpriseNA23NA</v>
          </cell>
          <cell r="L194" t="str">
            <v>ASSISTANT</v>
          </cell>
          <cell r="M194">
            <v>159.5</v>
          </cell>
          <cell r="N194">
            <v>41.860833885438751</v>
          </cell>
          <cell r="O194">
            <v>43.116658902001916</v>
          </cell>
          <cell r="P194">
            <v>44.582625304669982</v>
          </cell>
          <cell r="Q194">
            <v>46.276765066247442</v>
          </cell>
          <cell r="R194">
            <v>48.035282138764849</v>
          </cell>
          <cell r="S194">
            <v>49.860622860037914</v>
          </cell>
          <cell r="T194">
            <v>51.755326528719358</v>
          </cell>
        </row>
        <row r="195">
          <cell r="K195" t="str">
            <v>USAEnterpriseNA24NA</v>
          </cell>
          <cell r="L195" t="str">
            <v>ASSISTANT</v>
          </cell>
          <cell r="M195">
            <v>159.5</v>
          </cell>
          <cell r="N195">
            <v>47.144827780421402</v>
          </cell>
          <cell r="O195">
            <v>48.559172613834043</v>
          </cell>
          <cell r="P195">
            <v>50.210184482704399</v>
          </cell>
          <cell r="Q195">
            <v>52.118171493047171</v>
          </cell>
          <cell r="R195">
            <v>54.098662009782963</v>
          </cell>
          <cell r="S195">
            <v>56.154411166154716</v>
          </cell>
          <cell r="T195">
            <v>58.288278790468596</v>
          </cell>
        </row>
        <row r="196">
          <cell r="K196" t="str">
            <v>USAEnterpriseNA60NA</v>
          </cell>
          <cell r="L196" t="str">
            <v>MANAGER</v>
          </cell>
          <cell r="M196">
            <v>150.66666666666666</v>
          </cell>
          <cell r="N196">
            <v>103.14783129889035</v>
          </cell>
          <cell r="O196">
            <v>106.24226623785707</v>
          </cell>
          <cell r="P196">
            <v>109.8545032899442</v>
          </cell>
          <cell r="Q196">
            <v>114.02897441496209</v>
          </cell>
          <cell r="R196">
            <v>118.36207544273066</v>
          </cell>
          <cell r="S196">
            <v>122.85983430955443</v>
          </cell>
          <cell r="T196">
            <v>127.52850801331751</v>
          </cell>
        </row>
        <row r="197">
          <cell r="K197" t="str">
            <v>USAEnterpriseNA61NA</v>
          </cell>
          <cell r="L197" t="str">
            <v>MANAGER</v>
          </cell>
          <cell r="M197">
            <v>150.66666666666666</v>
          </cell>
          <cell r="N197">
            <v>115.61231584811476</v>
          </cell>
          <cell r="O197">
            <v>119.08068532355821</v>
          </cell>
          <cell r="P197">
            <v>123.1294286245592</v>
          </cell>
          <cell r="Q197">
            <v>127.80834691229245</v>
          </cell>
          <cell r="R197">
            <v>132.66506409495958</v>
          </cell>
          <cell r="S197">
            <v>137.70633653056805</v>
          </cell>
          <cell r="T197">
            <v>142.93917731872963</v>
          </cell>
        </row>
        <row r="198">
          <cell r="K198" t="str">
            <v>USAEnterpriseNA62NA</v>
          </cell>
          <cell r="L198" t="str">
            <v>MANAGER</v>
          </cell>
          <cell r="M198">
            <v>150.66666666666666</v>
          </cell>
          <cell r="N198">
            <v>126.8134934745456</v>
          </cell>
          <cell r="O198">
            <v>130.61789827878198</v>
          </cell>
          <cell r="P198">
            <v>135.05890682026057</v>
          </cell>
          <cell r="Q198">
            <v>140.19114527943049</v>
          </cell>
          <cell r="R198">
            <v>145.51840880004886</v>
          </cell>
          <cell r="S198">
            <v>151.04810833445072</v>
          </cell>
          <cell r="T198">
            <v>156.78793645115985</v>
          </cell>
        </row>
        <row r="199">
          <cell r="K199" t="str">
            <v>USAEnterpriseNA63NA</v>
          </cell>
          <cell r="L199" t="str">
            <v>MANAGER</v>
          </cell>
          <cell r="M199">
            <v>150.66666666666666</v>
          </cell>
          <cell r="N199">
            <v>140.94951911843671</v>
          </cell>
          <cell r="O199">
            <v>145.17800469198983</v>
          </cell>
          <cell r="P199">
            <v>150.11405685151749</v>
          </cell>
          <cell r="Q199">
            <v>155.81839101187515</v>
          </cell>
          <cell r="R199">
            <v>161.73948987032642</v>
          </cell>
          <cell r="S199">
            <v>167.88559048539884</v>
          </cell>
          <cell r="T199">
            <v>174.265242923844</v>
          </cell>
        </row>
        <row r="200">
          <cell r="K200" t="str">
            <v>USAEnterpriseNA64NA</v>
          </cell>
          <cell r="L200" t="str">
            <v>MANAGER</v>
          </cell>
          <cell r="M200">
            <v>150.66666666666666</v>
          </cell>
          <cell r="N200">
            <v>160.72533731537462</v>
          </cell>
          <cell r="O200">
            <v>165.54709743483585</v>
          </cell>
          <cell r="P200">
            <v>171.17569874762026</v>
          </cell>
          <cell r="Q200">
            <v>177.68037530002982</v>
          </cell>
          <cell r="R200">
            <v>184.43222956143097</v>
          </cell>
          <cell r="S200">
            <v>191.44065428476534</v>
          </cell>
          <cell r="T200">
            <v>198.71539914758642</v>
          </cell>
        </row>
        <row r="201">
          <cell r="K201" t="str">
            <v>USAEnterpriseNA50NA</v>
          </cell>
          <cell r="L201" t="str">
            <v>SPECIALIST</v>
          </cell>
          <cell r="M201">
            <v>152</v>
          </cell>
          <cell r="N201">
            <v>69.750606550785761</v>
          </cell>
          <cell r="O201">
            <v>71.843124747309332</v>
          </cell>
          <cell r="P201">
            <v>74.285790988717849</v>
          </cell>
          <cell r="Q201">
            <v>77.108651046289125</v>
          </cell>
          <cell r="R201">
            <v>80.03877978604811</v>
          </cell>
          <cell r="S201">
            <v>83.080253417917945</v>
          </cell>
          <cell r="T201">
            <v>86.237303047798832</v>
          </cell>
        </row>
        <row r="202">
          <cell r="K202" t="str">
            <v>USAEnterpriseNA51NA</v>
          </cell>
          <cell r="L202" t="str">
            <v>SPECIALIST</v>
          </cell>
          <cell r="M202">
            <v>152</v>
          </cell>
          <cell r="N202">
            <v>80.807179043324695</v>
          </cell>
          <cell r="O202">
            <v>83.231394414624432</v>
          </cell>
          <cell r="P202">
            <v>86.061261824721669</v>
          </cell>
          <cell r="Q202">
            <v>89.331589774061101</v>
          </cell>
          <cell r="R202">
            <v>92.726190185475431</v>
          </cell>
          <cell r="S202">
            <v>96.249785412523508</v>
          </cell>
          <cell r="T202">
            <v>99.9072772581994</v>
          </cell>
        </row>
        <row r="203">
          <cell r="K203" t="str">
            <v>USAEnterpriseNA52NA</v>
          </cell>
          <cell r="L203" t="str">
            <v>SPECIALIST</v>
          </cell>
          <cell r="M203">
            <v>152</v>
          </cell>
          <cell r="N203">
            <v>90.65308144736791</v>
          </cell>
          <cell r="O203">
            <v>93.372673890788946</v>
          </cell>
          <cell r="P203">
            <v>96.547344803075774</v>
          </cell>
          <cell r="Q203">
            <v>100.21614390559266</v>
          </cell>
          <cell r="R203">
            <v>104.02435737400518</v>
          </cell>
          <cell r="S203">
            <v>107.97728295421737</v>
          </cell>
          <cell r="T203">
            <v>112.08041970647764</v>
          </cell>
        </row>
        <row r="204">
          <cell r="K204" t="str">
            <v>USAEnterpriseNA53NA</v>
          </cell>
          <cell r="L204" t="str">
            <v>SPECIALIST</v>
          </cell>
          <cell r="M204">
            <v>152</v>
          </cell>
          <cell r="N204">
            <v>97.659104561886153</v>
          </cell>
          <cell r="O204">
            <v>100.58887769874273</v>
          </cell>
          <cell r="P204">
            <v>104.0088995405</v>
          </cell>
          <cell r="Q204">
            <v>107.96123772303901</v>
          </cell>
          <cell r="R204">
            <v>112.06376475651449</v>
          </cell>
          <cell r="S204">
            <v>116.32218781726205</v>
          </cell>
          <cell r="T204">
            <v>120.74243095431801</v>
          </cell>
        </row>
        <row r="205">
          <cell r="K205" t="str">
            <v>USAEnterpriseNA54NA</v>
          </cell>
          <cell r="L205" t="str">
            <v>SPECIALIST</v>
          </cell>
          <cell r="M205">
            <v>152</v>
          </cell>
          <cell r="N205">
            <v>107.11828960702516</v>
          </cell>
          <cell r="O205">
            <v>110.33183829523593</v>
          </cell>
          <cell r="P205">
            <v>114.08312079727395</v>
          </cell>
          <cell r="Q205">
            <v>118.41827938757037</v>
          </cell>
          <cell r="R205">
            <v>122.91817400429804</v>
          </cell>
          <cell r="S205">
            <v>127.58906461646137</v>
          </cell>
          <cell r="T205">
            <v>132.4374490718869</v>
          </cell>
        </row>
        <row r="206">
          <cell r="K206" t="str">
            <v>USAEnterpriseNA80NA</v>
          </cell>
          <cell r="L206" t="str">
            <v>SR. EXECUTIVE</v>
          </cell>
          <cell r="M206">
            <v>150.66666666666666</v>
          </cell>
          <cell r="N206">
            <v>202.93827670352164</v>
          </cell>
          <cell r="O206">
            <v>209.0264250046273</v>
          </cell>
          <cell r="P206">
            <v>216.13332345478463</v>
          </cell>
          <cell r="Q206">
            <v>224.34638974606645</v>
          </cell>
          <cell r="R206">
            <v>232.87155255641699</v>
          </cell>
          <cell r="S206">
            <v>241.72067155356083</v>
          </cell>
          <cell r="T206">
            <v>250.90605707259616</v>
          </cell>
        </row>
        <row r="207">
          <cell r="K207" t="str">
            <v>USAEnterpriseNA81NA</v>
          </cell>
          <cell r="L207" t="str">
            <v>SR. EXECUTIVE</v>
          </cell>
          <cell r="M207">
            <v>150.66666666666666</v>
          </cell>
          <cell r="N207">
            <v>225.74198418409892</v>
          </cell>
          <cell r="O207">
            <v>232.51424370962189</v>
          </cell>
          <cell r="P207">
            <v>240.41972799574904</v>
          </cell>
          <cell r="Q207">
            <v>249.5556776595875</v>
          </cell>
          <cell r="R207">
            <v>259.03879341065186</v>
          </cell>
          <cell r="S207">
            <v>268.88226756025665</v>
          </cell>
          <cell r="T207">
            <v>279.0997937275464</v>
          </cell>
        </row>
        <row r="208">
          <cell r="K208" t="str">
            <v>USAEnterpriseNA82NA</v>
          </cell>
          <cell r="L208" t="str">
            <v>SR. EXECUTIVE</v>
          </cell>
          <cell r="M208">
            <v>150.66666666666666</v>
          </cell>
          <cell r="N208">
            <v>244.76204898060257</v>
          </cell>
          <cell r="O208">
            <v>252.10491045002067</v>
          </cell>
          <cell r="P208">
            <v>260.67647740532141</v>
          </cell>
          <cell r="Q208">
            <v>270.58218354672363</v>
          </cell>
          <cell r="R208">
            <v>280.86430652149915</v>
          </cell>
          <cell r="S208">
            <v>291.53715016931613</v>
          </cell>
          <cell r="T208">
            <v>302.61556187575013</v>
          </cell>
        </row>
        <row r="209">
          <cell r="K209" t="str">
            <v>USAEnterpriseNA83NA</v>
          </cell>
          <cell r="L209" t="str">
            <v>SR. EXECUTIVE</v>
          </cell>
          <cell r="M209">
            <v>150.66666666666666</v>
          </cell>
          <cell r="N209">
            <v>265.34502703968212</v>
          </cell>
          <cell r="O209">
            <v>273.30537785087262</v>
          </cell>
          <cell r="P209">
            <v>282.5977606978023</v>
          </cell>
          <cell r="Q209">
            <v>293.33647560431882</v>
          </cell>
          <cell r="R209">
            <v>304.48326167728294</v>
          </cell>
          <cell r="S209">
            <v>316.05362562101971</v>
          </cell>
          <cell r="T209">
            <v>328.06366339461846</v>
          </cell>
        </row>
        <row r="210">
          <cell r="K210" t="str">
            <v>USAEnterpriseNA84NA</v>
          </cell>
          <cell r="L210" t="str">
            <v>SR. EXECUTIVE</v>
          </cell>
          <cell r="M210">
            <v>150.66666666666666</v>
          </cell>
          <cell r="N210">
            <v>287.94494170824527</v>
          </cell>
          <cell r="O210">
            <v>296.58328995949262</v>
          </cell>
          <cell r="P210">
            <v>306.66712181811539</v>
          </cell>
          <cell r="Q210">
            <v>318.32047244720377</v>
          </cell>
          <cell r="R210">
            <v>330.41665040019751</v>
          </cell>
          <cell r="S210">
            <v>342.97248311540505</v>
          </cell>
          <cell r="T210">
            <v>356.00543747379044</v>
          </cell>
        </row>
        <row r="211">
          <cell r="K211" t="str">
            <v>USAEnterpriseNA85NA</v>
          </cell>
          <cell r="L211" t="str">
            <v>SR. EXECUTIVE</v>
          </cell>
          <cell r="M211">
            <v>150.66666666666666</v>
          </cell>
          <cell r="N211">
            <v>319.59809707520162</v>
          </cell>
          <cell r="O211">
            <v>329.18603998745766</v>
          </cell>
          <cell r="P211">
            <v>340.37836534703121</v>
          </cell>
          <cell r="Q211">
            <v>353.31274323021842</v>
          </cell>
          <cell r="R211">
            <v>366.73862747296675</v>
          </cell>
          <cell r="S211">
            <v>380.67469531693951</v>
          </cell>
          <cell r="T211">
            <v>395.1403337389832</v>
          </cell>
        </row>
        <row r="212">
          <cell r="K212" t="str">
            <v>USAEnterpriseNA86NA</v>
          </cell>
          <cell r="L212" t="str">
            <v>SR. EXECUTIVE</v>
          </cell>
          <cell r="M212">
            <v>150.66666666666666</v>
          </cell>
          <cell r="N212">
            <v>362.97467196600786</v>
          </cell>
          <cell r="O212">
            <v>373.86391212498813</v>
          </cell>
          <cell r="P212">
            <v>386.57528513723776</v>
          </cell>
          <cell r="Q212">
            <v>401.26514597245279</v>
          </cell>
          <cell r="R212">
            <v>416.51322151940599</v>
          </cell>
          <cell r="S212">
            <v>432.34072393714342</v>
          </cell>
          <cell r="T212">
            <v>448.7696714467549</v>
          </cell>
        </row>
        <row r="213">
          <cell r="K213" t="str">
            <v>USAEnterpriseNA87NA</v>
          </cell>
          <cell r="L213" t="str">
            <v>SR. EXECUTIVE</v>
          </cell>
          <cell r="M213">
            <v>150.66666666666666</v>
          </cell>
          <cell r="N213">
            <v>383.53513721679724</v>
          </cell>
          <cell r="O213">
            <v>395.04119133330119</v>
          </cell>
          <cell r="P213">
            <v>408.47259183863343</v>
          </cell>
          <cell r="Q213">
            <v>423.99455032850153</v>
          </cell>
          <cell r="R213">
            <v>440.10634324098459</v>
          </cell>
          <cell r="S213">
            <v>456.83038428414204</v>
          </cell>
          <cell r="T213">
            <v>474.18993888693944</v>
          </cell>
        </row>
        <row r="214">
          <cell r="K214" t="str">
            <v>USAEnterpriseNA88NA</v>
          </cell>
          <cell r="L214" t="str">
            <v>SR. EXECUTIVE</v>
          </cell>
          <cell r="M214">
            <v>150.66666666666666</v>
          </cell>
          <cell r="N214">
            <v>418.54396566262096</v>
          </cell>
          <cell r="O214">
            <v>431.10028463249961</v>
          </cell>
          <cell r="P214">
            <v>445.75769431000458</v>
          </cell>
          <cell r="Q214">
            <v>462.69648669378478</v>
          </cell>
          <cell r="R214">
            <v>480.27895318814859</v>
          </cell>
          <cell r="S214">
            <v>498.52955340929827</v>
          </cell>
          <cell r="T214">
            <v>517.47367643885161</v>
          </cell>
        </row>
        <row r="215">
          <cell r="K215" t="str">
            <v>USAEnterpriseNA89NA</v>
          </cell>
          <cell r="L215" t="str">
            <v>SR. EXECUTIVE</v>
          </cell>
          <cell r="M215">
            <v>150.66666666666666</v>
          </cell>
          <cell r="N215">
            <v>454.36091215995816</v>
          </cell>
          <cell r="O215">
            <v>467.99173952475689</v>
          </cell>
          <cell r="P215">
            <v>483.90345866859866</v>
          </cell>
          <cell r="Q215">
            <v>502.29179009800544</v>
          </cell>
          <cell r="R215">
            <v>521.37887812172971</v>
          </cell>
          <cell r="S215">
            <v>541.19127549035545</v>
          </cell>
          <cell r="T215">
            <v>561.75654395898903</v>
          </cell>
        </row>
        <row r="216">
          <cell r="K216" t="str">
            <v>USAEnterpriseNA90NA</v>
          </cell>
          <cell r="L216" t="str">
            <v>SR. EXECUTIVE</v>
          </cell>
          <cell r="M216">
            <v>150.66666666666666</v>
          </cell>
          <cell r="N216">
            <v>522.63287310276405</v>
          </cell>
          <cell r="O216">
            <v>538.31185929584694</v>
          </cell>
          <cell r="P216">
            <v>556.6144625119058</v>
          </cell>
          <cell r="Q216">
            <v>577.7658120873582</v>
          </cell>
          <cell r="R216">
            <v>599.7209129466778</v>
          </cell>
          <cell r="S216">
            <v>622.51030763865162</v>
          </cell>
          <cell r="T216">
            <v>646.16569932892037</v>
          </cell>
        </row>
        <row r="217">
          <cell r="K217" t="str">
            <v>USAEnterpriseNA91NA</v>
          </cell>
          <cell r="L217" t="str">
            <v>SR. EXECUTIVE</v>
          </cell>
          <cell r="M217">
            <v>150.66666666666666</v>
          </cell>
          <cell r="N217">
            <v>657.98501512154542</v>
          </cell>
          <cell r="O217">
            <v>677.72456557519183</v>
          </cell>
          <cell r="P217">
            <v>700.76720080474843</v>
          </cell>
          <cell r="Q217">
            <v>727.39635443532893</v>
          </cell>
          <cell r="R217">
            <v>755.03741590387142</v>
          </cell>
          <cell r="S217">
            <v>783.72883770821852</v>
          </cell>
          <cell r="T217">
            <v>813.51053354113083</v>
          </cell>
        </row>
        <row r="218">
          <cell r="K218" t="str">
            <v>USAEnterpriseNA92NA</v>
          </cell>
          <cell r="L218" t="str">
            <v>SR. EXECUTIVE</v>
          </cell>
          <cell r="M218">
            <v>150.66666666666666</v>
          </cell>
          <cell r="N218">
            <v>835.04945247944761</v>
          </cell>
          <cell r="O218">
            <v>860.10093605383111</v>
          </cell>
          <cell r="P218">
            <v>889.34436787966138</v>
          </cell>
          <cell r="Q218">
            <v>923.13945385908858</v>
          </cell>
          <cell r="R218">
            <v>958.21875310573398</v>
          </cell>
          <cell r="S218">
            <v>994.63106572375193</v>
          </cell>
          <cell r="T218">
            <v>1032.4270462212546</v>
          </cell>
        </row>
        <row r="219">
          <cell r="K219" t="str">
            <v>USAEnterpriseNA93NA</v>
          </cell>
          <cell r="L219" t="str">
            <v>SR. EXECUTIVE</v>
          </cell>
          <cell r="M219">
            <v>150.66666666666666</v>
          </cell>
          <cell r="N219">
            <v>1761.4758836556136</v>
          </cell>
          <cell r="O219">
            <v>1814.320160165282</v>
          </cell>
          <cell r="P219">
            <v>1876.0070456109017</v>
          </cell>
          <cell r="Q219">
            <v>1947.295313344116</v>
          </cell>
          <cell r="R219">
            <v>2021.2925352511925</v>
          </cell>
          <cell r="S219">
            <v>2098.1016515907377</v>
          </cell>
          <cell r="T219">
            <v>2177.8295143511859</v>
          </cell>
        </row>
        <row r="220">
          <cell r="K220" t="str">
            <v>USAEnterpriseNA94NA</v>
          </cell>
          <cell r="L220" t="str">
            <v>SR. EXECUTIVE</v>
          </cell>
          <cell r="M220">
            <v>150.66666666666666</v>
          </cell>
          <cell r="N220">
            <v>2672.0929900676883</v>
          </cell>
          <cell r="O220">
            <v>2752.2557797697191</v>
          </cell>
          <cell r="P220">
            <v>2845.8324762818897</v>
          </cell>
          <cell r="Q220">
            <v>2953.9741103806018</v>
          </cell>
          <cell r="R220">
            <v>3066.2251265750647</v>
          </cell>
          <cell r="S220">
            <v>3182.7416813849172</v>
          </cell>
          <cell r="T220">
            <v>3303.6858652775441</v>
          </cell>
        </row>
        <row r="221">
          <cell r="K221" t="str">
            <v>USAEnterpriseNA95NA</v>
          </cell>
          <cell r="L221" t="str">
            <v>SR. EXECUTIVE</v>
          </cell>
          <cell r="M221">
            <v>150.66666666666666</v>
          </cell>
          <cell r="N221">
            <v>3026.2218647834925</v>
          </cell>
          <cell r="O221">
            <v>3117.0085207269972</v>
          </cell>
          <cell r="P221">
            <v>3222.9868104317152</v>
          </cell>
          <cell r="Q221">
            <v>3345.4603092281204</v>
          </cell>
          <cell r="R221">
            <v>3472.5878009787889</v>
          </cell>
          <cell r="S221">
            <v>3604.5461374159831</v>
          </cell>
          <cell r="T221">
            <v>3741.5188906377907</v>
          </cell>
        </row>
        <row r="222">
          <cell r="K222" t="str">
            <v>USAEnterpriseNA96NA</v>
          </cell>
          <cell r="L222" t="str">
            <v>SR. EXECUTIVE</v>
          </cell>
          <cell r="M222">
            <v>150.66666666666666</v>
          </cell>
          <cell r="N222">
            <v>3380.3507394992971</v>
          </cell>
          <cell r="O222">
            <v>3481.7612616842762</v>
          </cell>
          <cell r="P222">
            <v>3600.1411445815415</v>
          </cell>
          <cell r="Q222">
            <v>3736.9465080756404</v>
          </cell>
          <cell r="R222">
            <v>3878.9504753825149</v>
          </cell>
          <cell r="S222">
            <v>4026.3505934470504</v>
          </cell>
          <cell r="T222">
            <v>4179.3519159980387</v>
          </cell>
        </row>
        <row r="223">
          <cell r="K223" t="str">
            <v>USAEnterpriseNA97NA</v>
          </cell>
          <cell r="L223" t="str">
            <v>SR. EXECUTIVE</v>
          </cell>
          <cell r="M223">
            <v>150.66666666666666</v>
          </cell>
          <cell r="N223">
            <v>3734.4796142151017</v>
          </cell>
          <cell r="O223">
            <v>3846.5140026415547</v>
          </cell>
          <cell r="P223">
            <v>3977.2954787313679</v>
          </cell>
          <cell r="Q223">
            <v>4128.4327069231604</v>
          </cell>
          <cell r="R223">
            <v>4285.3131497862405</v>
          </cell>
          <cell r="S223">
            <v>4448.1550494781177</v>
          </cell>
          <cell r="T223">
            <v>4617.1849413582859</v>
          </cell>
        </row>
        <row r="224">
          <cell r="K224" t="str">
            <v>USAEnterpriseNA98NA</v>
          </cell>
          <cell r="L224" t="str">
            <v>SR. EXECUTIVE</v>
          </cell>
          <cell r="M224">
            <v>150.66666666666666</v>
          </cell>
          <cell r="N224">
            <v>4088.6089315919912</v>
          </cell>
          <cell r="O224">
            <v>4211.2671995397513</v>
          </cell>
          <cell r="P224">
            <v>4354.4502843241034</v>
          </cell>
          <cell r="Q224">
            <v>4519.9193951284196</v>
          </cell>
          <cell r="R224">
            <v>4691.6763321433</v>
          </cell>
          <cell r="S224">
            <v>4869.9600327647458</v>
          </cell>
          <cell r="T224">
            <v>5055.0185140098065</v>
          </cell>
        </row>
        <row r="225">
          <cell r="K225" t="str">
            <v>USAEnterpriseNA67NA</v>
          </cell>
          <cell r="L225" t="str">
            <v>SR. MANAGER</v>
          </cell>
          <cell r="M225">
            <v>150.66666666666666</v>
          </cell>
          <cell r="N225">
            <v>148.82210845189425</v>
          </cell>
          <cell r="O225">
            <v>153.28677170545109</v>
          </cell>
          <cell r="P225">
            <v>158.49852194343643</v>
          </cell>
          <cell r="Q225">
            <v>164.52146577728701</v>
          </cell>
          <cell r="R225">
            <v>170.77328147682391</v>
          </cell>
          <cell r="S225">
            <v>177.26266617294323</v>
          </cell>
          <cell r="T225">
            <v>183.99864748751509</v>
          </cell>
        </row>
        <row r="226">
          <cell r="K226" t="str">
            <v>USAEnterpriseNA68NA</v>
          </cell>
          <cell r="L226" t="str">
            <v>SR. MANAGER</v>
          </cell>
          <cell r="M226">
            <v>150.66666666666666</v>
          </cell>
          <cell r="N226">
            <v>186.28166729124499</v>
          </cell>
          <cell r="O226">
            <v>191.87011730998233</v>
          </cell>
          <cell r="P226">
            <v>198.39370129852173</v>
          </cell>
          <cell r="Q226">
            <v>205.93266194786557</v>
          </cell>
          <cell r="R226">
            <v>213.75810310188447</v>
          </cell>
          <cell r="S226">
            <v>221.8809110197561</v>
          </cell>
          <cell r="T226">
            <v>230.31238563850684</v>
          </cell>
        </row>
        <row r="227">
          <cell r="K227" t="str">
            <v>USAEnterpriseNA69NA</v>
          </cell>
          <cell r="L227" t="str">
            <v>SR. MANAGER</v>
          </cell>
          <cell r="M227">
            <v>150.66666666666666</v>
          </cell>
          <cell r="N227">
            <v>250.14774077177719</v>
          </cell>
          <cell r="O227">
            <v>257.65217299493054</v>
          </cell>
          <cell r="P227">
            <v>266.41234687675819</v>
          </cell>
          <cell r="Q227">
            <v>276.53601605807501</v>
          </cell>
          <cell r="R227">
            <v>287.04438466828185</v>
          </cell>
          <cell r="S227">
            <v>297.9520712856766</v>
          </cell>
          <cell r="T227">
            <v>309.27424999453234</v>
          </cell>
        </row>
        <row r="228">
          <cell r="K228" t="str">
            <v>USAServicesDelivery Center67LT</v>
          </cell>
          <cell r="L228" t="str">
            <v>Level A</v>
          </cell>
          <cell r="M228">
            <v>151.66666666666666</v>
          </cell>
          <cell r="N228">
            <v>131.16224305037625</v>
          </cell>
          <cell r="O228">
            <v>136.05896635371616</v>
          </cell>
          <cell r="P228">
            <v>140.8210301760962</v>
          </cell>
          <cell r="Q228">
            <v>146.45387138314004</v>
          </cell>
          <cell r="R228">
            <v>152.31202623846565</v>
          </cell>
          <cell r="S228">
            <v>158.40450728800428</v>
          </cell>
          <cell r="T228">
            <v>164.74068757952446</v>
          </cell>
        </row>
        <row r="229">
          <cell r="K229" t="str">
            <v>USAServicesDelivery Center67ST</v>
          </cell>
          <cell r="L229" t="str">
            <v>Level A</v>
          </cell>
          <cell r="M229">
            <v>151.66666666666666</v>
          </cell>
          <cell r="N229">
            <v>141.65522249440636</v>
          </cell>
          <cell r="O229">
            <v>146.94368366201346</v>
          </cell>
          <cell r="P229">
            <v>152.08671259018391</v>
          </cell>
          <cell r="Q229">
            <v>158.17018109379126</v>
          </cell>
          <cell r="R229">
            <v>164.49698833754292</v>
          </cell>
          <cell r="S229">
            <v>171.07686787104464</v>
          </cell>
          <cell r="T229">
            <v>177.91994258588645</v>
          </cell>
        </row>
        <row r="230">
          <cell r="K230" t="str">
            <v>USAServicesDelivery Center68LT</v>
          </cell>
          <cell r="L230" t="str">
            <v>Level A</v>
          </cell>
          <cell r="M230">
            <v>151.66666666666666</v>
          </cell>
          <cell r="N230">
            <v>151.66382893716499</v>
          </cell>
          <cell r="O230">
            <v>157.32594471193974</v>
          </cell>
          <cell r="P230">
            <v>162.83235277685762</v>
          </cell>
          <cell r="Q230">
            <v>169.34564688793193</v>
          </cell>
          <cell r="R230">
            <v>176.11947276344921</v>
          </cell>
          <cell r="S230">
            <v>183.1642516739872</v>
          </cell>
          <cell r="T230">
            <v>190.4908217409467</v>
          </cell>
        </row>
        <row r="231">
          <cell r="K231" t="str">
            <v>USAServicesDelivery Center68ST</v>
          </cell>
          <cell r="L231" t="str">
            <v>Level A</v>
          </cell>
          <cell r="M231">
            <v>151.66666666666666</v>
          </cell>
          <cell r="N231">
            <v>163.79693525213821</v>
          </cell>
          <cell r="O231">
            <v>169.91202028889492</v>
          </cell>
          <cell r="P231">
            <v>175.85894099900622</v>
          </cell>
          <cell r="Q231">
            <v>182.89329863896648</v>
          </cell>
          <cell r="R231">
            <v>190.20903058452515</v>
          </cell>
          <cell r="S231">
            <v>197.81739180790618</v>
          </cell>
          <cell r="T231">
            <v>205.73008748022244</v>
          </cell>
        </row>
        <row r="232">
          <cell r="K232" t="str">
            <v>USAServicesDelivery Center69LT</v>
          </cell>
          <cell r="L232" t="str">
            <v>Level A</v>
          </cell>
          <cell r="M232">
            <v>151.66666666666666</v>
          </cell>
          <cell r="N232">
            <v>170.68723311227001</v>
          </cell>
          <cell r="O232">
            <v>177.05955591283731</v>
          </cell>
          <cell r="P232">
            <v>183.2566403697866</v>
          </cell>
          <cell r="Q232">
            <v>190.58690598457807</v>
          </cell>
          <cell r="R232">
            <v>198.2103822239612</v>
          </cell>
          <cell r="S232">
            <v>206.13879751291967</v>
          </cell>
          <cell r="T232">
            <v>214.38434941343647</v>
          </cell>
        </row>
        <row r="233">
          <cell r="K233" t="str">
            <v>USAServicesDelivery Center69ST</v>
          </cell>
          <cell r="L233" t="str">
            <v>Level A</v>
          </cell>
          <cell r="M233">
            <v>151.66666666666666</v>
          </cell>
          <cell r="N233">
            <v>184.3422117612516</v>
          </cell>
          <cell r="O233">
            <v>191.2243203858643</v>
          </cell>
          <cell r="P233">
            <v>197.91717159936954</v>
          </cell>
          <cell r="Q233">
            <v>205.83385846334431</v>
          </cell>
          <cell r="R233">
            <v>214.0672128018781</v>
          </cell>
          <cell r="S233">
            <v>222.62990131395324</v>
          </cell>
          <cell r="T233">
            <v>231.53509736651137</v>
          </cell>
        </row>
        <row r="234">
          <cell r="K234" t="str">
            <v>USAServicesDelivery Center70LT</v>
          </cell>
          <cell r="L234" t="str">
            <v>Level A</v>
          </cell>
          <cell r="M234">
            <v>151.66666666666666</v>
          </cell>
          <cell r="N234">
            <v>186.77360899841375</v>
          </cell>
          <cell r="O234">
            <v>193.74648977844251</v>
          </cell>
          <cell r="P234">
            <v>200.52761692068799</v>
          </cell>
          <cell r="Q234">
            <v>208.54872159751551</v>
          </cell>
          <cell r="R234">
            <v>216.89067046141614</v>
          </cell>
          <cell r="S234">
            <v>225.5662972798728</v>
          </cell>
          <cell r="T234">
            <v>234.58894917106772</v>
          </cell>
        </row>
        <row r="235">
          <cell r="K235" t="str">
            <v>USAServicesDelivery Center70ST</v>
          </cell>
          <cell r="L235" t="str">
            <v>Level A</v>
          </cell>
          <cell r="M235">
            <v>151.66666666666666</v>
          </cell>
          <cell r="N235">
            <v>201.71549771828685</v>
          </cell>
          <cell r="O235">
            <v>209.24620896071792</v>
          </cell>
          <cell r="P235">
            <v>216.56982627434303</v>
          </cell>
          <cell r="Q235">
            <v>225.23261932531676</v>
          </cell>
          <cell r="R235">
            <v>234.24192409832943</v>
          </cell>
          <cell r="S235">
            <v>243.61160106226262</v>
          </cell>
          <cell r="T235">
            <v>253.35606510475313</v>
          </cell>
        </row>
        <row r="236">
          <cell r="K236" t="str">
            <v>USAServicesDelivery Center71LT</v>
          </cell>
          <cell r="L236" t="str">
            <v>Level A</v>
          </cell>
          <cell r="M236">
            <v>151.66666666666666</v>
          </cell>
          <cell r="N236">
            <v>210.01547782654998</v>
          </cell>
          <cell r="O236">
            <v>217.85605496535626</v>
          </cell>
          <cell r="P236">
            <v>225.48101688914372</v>
          </cell>
          <cell r="Q236">
            <v>234.50025756470947</v>
          </cell>
          <cell r="R236">
            <v>243.88026786729785</v>
          </cell>
          <cell r="S236">
            <v>253.63547858198976</v>
          </cell>
          <cell r="T236">
            <v>263.78089772526937</v>
          </cell>
        </row>
        <row r="237">
          <cell r="K237" t="str">
            <v>USAServicesDelivery Center71ST</v>
          </cell>
          <cell r="L237" t="str">
            <v>Level A</v>
          </cell>
          <cell r="M237">
            <v>151.66666666666666</v>
          </cell>
          <cell r="N237">
            <v>226.816716052674</v>
          </cell>
          <cell r="O237">
            <v>235.28453936258478</v>
          </cell>
          <cell r="P237">
            <v>243.51949824027523</v>
          </cell>
          <cell r="Q237">
            <v>253.26027816988625</v>
          </cell>
          <cell r="R237">
            <v>263.39068929668173</v>
          </cell>
          <cell r="S237">
            <v>273.92631686854901</v>
          </cell>
          <cell r="T237">
            <v>284.883369543291</v>
          </cell>
        </row>
        <row r="238">
          <cell r="K238" t="str">
            <v>USAServicesDelivery Center72LT</v>
          </cell>
          <cell r="L238" t="str">
            <v>Level A</v>
          </cell>
          <cell r="M238">
            <v>151.66666666666666</v>
          </cell>
          <cell r="N238">
            <v>269.77086527202374</v>
          </cell>
          <cell r="O238">
            <v>279.84231000960978</v>
          </cell>
          <cell r="P238">
            <v>289.63679085994607</v>
          </cell>
          <cell r="Q238">
            <v>301.22226249434391</v>
          </cell>
          <cell r="R238">
            <v>313.2711529941177</v>
          </cell>
          <cell r="S238">
            <v>325.8019991138824</v>
          </cell>
          <cell r="T238">
            <v>338.8340790784377</v>
          </cell>
        </row>
        <row r="239">
          <cell r="K239" t="str">
            <v>USAServicesDelivery Center72ST</v>
          </cell>
          <cell r="L239" t="str">
            <v>Level A</v>
          </cell>
          <cell r="M239">
            <v>151.66666666666666</v>
          </cell>
          <cell r="N239">
            <v>291.35253449378564</v>
          </cell>
          <cell r="O239">
            <v>302.22969481037853</v>
          </cell>
          <cell r="P239">
            <v>312.80773412874174</v>
          </cell>
          <cell r="Q239">
            <v>325.32004349389143</v>
          </cell>
          <cell r="R239">
            <v>338.33284523364711</v>
          </cell>
          <cell r="S239">
            <v>351.86615904299299</v>
          </cell>
          <cell r="T239">
            <v>365.94080540471271</v>
          </cell>
        </row>
        <row r="240">
          <cell r="K240" t="str">
            <v>USAServicesDelivery Center60LT</v>
          </cell>
          <cell r="L240" t="str">
            <v>Level B</v>
          </cell>
          <cell r="M240">
            <v>151.66666666666666</v>
          </cell>
          <cell r="N240">
            <v>98.528211129956262</v>
          </cell>
          <cell r="O240">
            <v>102.20659735038059</v>
          </cell>
          <cell r="P240">
            <v>105.7838282576439</v>
          </cell>
          <cell r="Q240">
            <v>110.01518138794967</v>
          </cell>
          <cell r="R240">
            <v>114.41578864346766</v>
          </cell>
          <cell r="S240">
            <v>118.99242018920637</v>
          </cell>
          <cell r="T240">
            <v>123.75211699677463</v>
          </cell>
        </row>
        <row r="241">
          <cell r="K241" t="str">
            <v>USAServicesDelivery Center60ST</v>
          </cell>
          <cell r="L241" t="str">
            <v>Level B</v>
          </cell>
          <cell r="M241">
            <v>151.66666666666666</v>
          </cell>
          <cell r="N241">
            <v>106.41046802035277</v>
          </cell>
          <cell r="O241">
            <v>110.38312513841105</v>
          </cell>
          <cell r="P241">
            <v>114.24653451825543</v>
          </cell>
          <cell r="Q241">
            <v>118.81639589898565</v>
          </cell>
          <cell r="R241">
            <v>123.56905173494508</v>
          </cell>
          <cell r="S241">
            <v>128.51181380434289</v>
          </cell>
          <cell r="T241">
            <v>133.65228635651661</v>
          </cell>
        </row>
        <row r="242">
          <cell r="K242" t="str">
            <v>USAServicesDelivery Center61LT</v>
          </cell>
          <cell r="L242" t="str">
            <v>Level B</v>
          </cell>
          <cell r="M242">
            <v>151.66666666666666</v>
          </cell>
          <cell r="N242">
            <v>112.69968460008876</v>
          </cell>
          <cell r="O242">
            <v>116.9071391161598</v>
          </cell>
          <cell r="P242">
            <v>120.99888898522538</v>
          </cell>
          <cell r="Q242">
            <v>125.8388445446344</v>
          </cell>
          <cell r="R242">
            <v>130.87239832641978</v>
          </cell>
          <cell r="S242">
            <v>136.10729425947659</v>
          </cell>
          <cell r="T242">
            <v>141.55158602985566</v>
          </cell>
        </row>
        <row r="243">
          <cell r="K243" t="str">
            <v>USAServicesDelivery Center61ST</v>
          </cell>
          <cell r="L243" t="str">
            <v>Level B</v>
          </cell>
          <cell r="M243">
            <v>151.66666666666666</v>
          </cell>
          <cell r="N243">
            <v>121.71565936809587</v>
          </cell>
          <cell r="O243">
            <v>126.2597102454526</v>
          </cell>
          <cell r="P243">
            <v>130.67880010404343</v>
          </cell>
          <cell r="Q243">
            <v>135.90595210820518</v>
          </cell>
          <cell r="R243">
            <v>141.34219019253339</v>
          </cell>
          <cell r="S243">
            <v>146.99587780023472</v>
          </cell>
          <cell r="T243">
            <v>152.87571291224413</v>
          </cell>
        </row>
        <row r="244">
          <cell r="K244" t="str">
            <v>USAServicesDelivery Center62LT</v>
          </cell>
          <cell r="L244" t="str">
            <v>Level B</v>
          </cell>
          <cell r="M244">
            <v>151.66666666666666</v>
          </cell>
          <cell r="N244">
            <v>126.70304220163001</v>
          </cell>
          <cell r="O244">
            <v>131.4332886881474</v>
          </cell>
          <cell r="P244">
            <v>136.03345379223254</v>
          </cell>
          <cell r="Q244">
            <v>141.47479194392184</v>
          </cell>
          <cell r="R244">
            <v>147.13378362167873</v>
          </cell>
          <cell r="S244">
            <v>153.01913496654589</v>
          </cell>
          <cell r="T244">
            <v>159.13990036520772</v>
          </cell>
        </row>
        <row r="245">
          <cell r="K245" t="str">
            <v>USAServicesDelivery Center62ST</v>
          </cell>
          <cell r="L245" t="str">
            <v>Level B</v>
          </cell>
          <cell r="M245">
            <v>151.66666666666666</v>
          </cell>
          <cell r="N245">
            <v>136.83928557776042</v>
          </cell>
          <cell r="O245">
            <v>141.94795178319919</v>
          </cell>
          <cell r="P245">
            <v>146.91613009561115</v>
          </cell>
          <cell r="Q245">
            <v>152.79277529943559</v>
          </cell>
          <cell r="R245">
            <v>158.90448631141302</v>
          </cell>
          <cell r="S245">
            <v>165.26066576386955</v>
          </cell>
          <cell r="T245">
            <v>171.87109239442435</v>
          </cell>
        </row>
        <row r="246">
          <cell r="K246" t="str">
            <v>USAServicesDelivery Center63LT</v>
          </cell>
          <cell r="L246" t="str">
            <v>Level B</v>
          </cell>
          <cell r="M246">
            <v>151.66666666666666</v>
          </cell>
          <cell r="N246">
            <v>140.84050022476376</v>
          </cell>
          <cell r="O246">
            <v>146.09854509701995</v>
          </cell>
          <cell r="P246">
            <v>151.21199417541564</v>
          </cell>
          <cell r="Q246">
            <v>157.26047394243227</v>
          </cell>
          <cell r="R246">
            <v>163.55089290012955</v>
          </cell>
          <cell r="S246">
            <v>170.09292861613474</v>
          </cell>
          <cell r="T246">
            <v>176.89664576078013</v>
          </cell>
        </row>
        <row r="247">
          <cell r="K247" t="str">
            <v>USAServicesDelivery Center63ST</v>
          </cell>
          <cell r="L247" t="str">
            <v>Level B</v>
          </cell>
          <cell r="M247">
            <v>151.66666666666666</v>
          </cell>
          <cell r="N247">
            <v>152.10774024274488</v>
          </cell>
          <cell r="O247">
            <v>157.78642870478157</v>
          </cell>
          <cell r="P247">
            <v>163.3089537094489</v>
          </cell>
          <cell r="Q247">
            <v>169.84131185782687</v>
          </cell>
          <cell r="R247">
            <v>176.63496433213996</v>
          </cell>
          <cell r="S247">
            <v>183.70036290542555</v>
          </cell>
          <cell r="T247">
            <v>191.04837742164258</v>
          </cell>
        </row>
        <row r="248">
          <cell r="K248" t="str">
            <v>USAServicesDelivery Center64LT</v>
          </cell>
          <cell r="L248" t="str">
            <v>Level B</v>
          </cell>
          <cell r="M248">
            <v>151.66666666666666</v>
          </cell>
          <cell r="N248">
            <v>149.78003635687625</v>
          </cell>
          <cell r="O248">
            <v>155.37182388159951</v>
          </cell>
          <cell r="P248">
            <v>160.80983771745548</v>
          </cell>
          <cell r="Q248">
            <v>167.24223122615371</v>
          </cell>
          <cell r="R248">
            <v>173.93192047519986</v>
          </cell>
          <cell r="S248">
            <v>180.88919729420786</v>
          </cell>
          <cell r="T248">
            <v>188.12476518597617</v>
          </cell>
        </row>
        <row r="249">
          <cell r="K249" t="str">
            <v>USAServicesDelivery Center64ST</v>
          </cell>
          <cell r="L249" t="str">
            <v>Level B</v>
          </cell>
          <cell r="M249">
            <v>151.66666666666666</v>
          </cell>
          <cell r="N249">
            <v>161.76243926542637</v>
          </cell>
          <cell r="O249">
            <v>167.80156979212748</v>
          </cell>
          <cell r="P249">
            <v>173.67462473485193</v>
          </cell>
          <cell r="Q249">
            <v>180.62160972424601</v>
          </cell>
          <cell r="R249">
            <v>187.84647411321586</v>
          </cell>
          <cell r="S249">
            <v>195.36033307774451</v>
          </cell>
          <cell r="T249">
            <v>203.1747464008543</v>
          </cell>
        </row>
        <row r="250">
          <cell r="K250" t="str">
            <v>USAServicesDelivery Center65LT</v>
          </cell>
          <cell r="L250" t="str">
            <v>Level B</v>
          </cell>
          <cell r="M250">
            <v>151.66666666666666</v>
          </cell>
          <cell r="N250">
            <v>162.36191051046376</v>
          </cell>
          <cell r="O250">
            <v>168.42342129498138</v>
          </cell>
          <cell r="P250">
            <v>174.31824104030571</v>
          </cell>
          <cell r="Q250">
            <v>181.29097068191794</v>
          </cell>
          <cell r="R250">
            <v>188.54260950919468</v>
          </cell>
          <cell r="S250">
            <v>196.08431388956248</v>
          </cell>
          <cell r="T250">
            <v>203.92768644514499</v>
          </cell>
        </row>
        <row r="251">
          <cell r="K251" t="str">
            <v>USAServicesDelivery Center65ST</v>
          </cell>
          <cell r="L251" t="str">
            <v>Level B</v>
          </cell>
          <cell r="M251">
            <v>151.66666666666666</v>
          </cell>
          <cell r="N251">
            <v>175.35086335130086</v>
          </cell>
          <cell r="O251">
            <v>181.89729499857989</v>
          </cell>
          <cell r="P251">
            <v>188.26370032353017</v>
          </cell>
          <cell r="Q251">
            <v>195.79424833647138</v>
          </cell>
          <cell r="R251">
            <v>203.62601826993026</v>
          </cell>
          <cell r="S251">
            <v>211.77105900072746</v>
          </cell>
          <cell r="T251">
            <v>220.24190136075657</v>
          </cell>
        </row>
        <row r="252">
          <cell r="K252" t="str">
            <v>USAServicesDelivery Center66LT</v>
          </cell>
          <cell r="L252" t="str">
            <v>Level B</v>
          </cell>
          <cell r="M252">
            <v>151.66666666666666</v>
          </cell>
          <cell r="N252">
            <v>186.84169977620374</v>
          </cell>
          <cell r="O252">
            <v>193.81712261170969</v>
          </cell>
          <cell r="P252">
            <v>200.60072190311951</v>
          </cell>
          <cell r="Q252">
            <v>208.62475077924429</v>
          </cell>
          <cell r="R252">
            <v>216.96974081041407</v>
          </cell>
          <cell r="S252">
            <v>225.64853044283063</v>
          </cell>
          <cell r="T252">
            <v>234.67447166054387</v>
          </cell>
        </row>
        <row r="253">
          <cell r="K253" t="str">
            <v>USAServicesDelivery Center66ST</v>
          </cell>
          <cell r="L253" t="str">
            <v>Level B</v>
          </cell>
          <cell r="M253">
            <v>151.66666666666666</v>
          </cell>
          <cell r="N253">
            <v>201.78903575830006</v>
          </cell>
          <cell r="O253">
            <v>209.32249242064648</v>
          </cell>
          <cell r="P253">
            <v>216.64877965536908</v>
          </cell>
          <cell r="Q253">
            <v>225.31473084158387</v>
          </cell>
          <cell r="R253">
            <v>234.32732007524723</v>
          </cell>
          <cell r="S253">
            <v>243.70041287825714</v>
          </cell>
          <cell r="T253">
            <v>253.44842939338744</v>
          </cell>
        </row>
        <row r="254">
          <cell r="K254" t="str">
            <v>USAServicesDelivery Center54LT</v>
          </cell>
          <cell r="L254" t="str">
            <v>Level C</v>
          </cell>
          <cell r="M254">
            <v>151.66666666666666</v>
          </cell>
          <cell r="N254">
            <v>77.051531552610001</v>
          </cell>
          <cell r="O254">
            <v>79.928121807069004</v>
          </cell>
          <cell r="P254">
            <v>82.725606070316417</v>
          </cell>
          <cell r="Q254">
            <v>86.034630313129071</v>
          </cell>
          <cell r="R254">
            <v>89.476015525654233</v>
          </cell>
          <cell r="S254">
            <v>93.0550561466804</v>
          </cell>
          <cell r="T254">
            <v>96.777258392547623</v>
          </cell>
        </row>
        <row r="255">
          <cell r="K255" t="str">
            <v>USAServicesDelivery Center54ST</v>
          </cell>
          <cell r="L255" t="str">
            <v>Level C</v>
          </cell>
          <cell r="M255">
            <v>151.66666666666666</v>
          </cell>
          <cell r="N255">
            <v>83.215654076818808</v>
          </cell>
          <cell r="O255">
            <v>86.322371551634532</v>
          </cell>
          <cell r="P255">
            <v>89.34365455594174</v>
          </cell>
          <cell r="Q255">
            <v>92.91740073817941</v>
          </cell>
          <cell r="R255">
            <v>96.634096767706595</v>
          </cell>
          <cell r="S255">
            <v>100.49946063841486</v>
          </cell>
          <cell r="T255">
            <v>104.51943906395145</v>
          </cell>
        </row>
        <row r="256">
          <cell r="K256" t="str">
            <v>USAServicesDelivery Center55LT</v>
          </cell>
          <cell r="L256" t="str">
            <v>Level C</v>
          </cell>
          <cell r="M256">
            <v>151.66666666666666</v>
          </cell>
          <cell r="N256">
            <v>93.768877426971244</v>
          </cell>
          <cell r="O256">
            <v>97.269581871681922</v>
          </cell>
          <cell r="P256">
            <v>100.67401723719078</v>
          </cell>
          <cell r="Q256">
            <v>104.70097792667842</v>
          </cell>
          <cell r="R256">
            <v>108.88901704374555</v>
          </cell>
          <cell r="S256">
            <v>113.24457772549538</v>
          </cell>
          <cell r="T256">
            <v>117.77436083451519</v>
          </cell>
        </row>
        <row r="257">
          <cell r="K257" t="str">
            <v>USAServicesDelivery Center55ST</v>
          </cell>
          <cell r="L257" t="str">
            <v>Level C</v>
          </cell>
          <cell r="M257">
            <v>151.66666666666666</v>
          </cell>
          <cell r="N257">
            <v>101.27038762112896</v>
          </cell>
          <cell r="O257">
            <v>105.05114842141649</v>
          </cell>
          <cell r="P257">
            <v>108.72793861616606</v>
          </cell>
          <cell r="Q257">
            <v>113.0770561608127</v>
          </cell>
          <cell r="R257">
            <v>117.60013840724521</v>
          </cell>
          <cell r="S257">
            <v>122.30414394353502</v>
          </cell>
          <cell r="T257">
            <v>127.19630970127643</v>
          </cell>
        </row>
        <row r="258">
          <cell r="K258" t="str">
            <v>USAServicesDelivery Center56LT</v>
          </cell>
          <cell r="L258" t="str">
            <v>Level C</v>
          </cell>
          <cell r="M258">
            <v>151.66666666666666</v>
          </cell>
          <cell r="N258">
            <v>109.36310656238126</v>
          </cell>
          <cell r="O258">
            <v>113.44599550949981</v>
          </cell>
          <cell r="P258">
            <v>117.4166053523323</v>
          </cell>
          <cell r="Q258">
            <v>122.11326956642559</v>
          </cell>
          <cell r="R258">
            <v>126.99780034908261</v>
          </cell>
          <cell r="S258">
            <v>132.07771236304592</v>
          </cell>
          <cell r="T258">
            <v>137.36082085756777</v>
          </cell>
        </row>
        <row r="259">
          <cell r="K259" t="str">
            <v>USAServicesDelivery Center56ST</v>
          </cell>
          <cell r="L259" t="str">
            <v>Level C</v>
          </cell>
          <cell r="M259">
            <v>151.66666666666666</v>
          </cell>
          <cell r="N259">
            <v>118.11215508737176</v>
          </cell>
          <cell r="O259">
            <v>122.5216751502598</v>
          </cell>
          <cell r="P259">
            <v>126.80993378051888</v>
          </cell>
          <cell r="Q259">
            <v>131.88233113173965</v>
          </cell>
          <cell r="R259">
            <v>137.15762437700923</v>
          </cell>
          <cell r="S259">
            <v>142.6439293520896</v>
          </cell>
          <cell r="T259">
            <v>148.3496865261732</v>
          </cell>
        </row>
        <row r="260">
          <cell r="K260" t="str">
            <v>USAServicesDelivery Center57LT</v>
          </cell>
          <cell r="L260" t="str">
            <v>Level C</v>
          </cell>
          <cell r="M260">
            <v>151.66666666666666</v>
          </cell>
          <cell r="N260">
            <v>131.62433844831</v>
          </cell>
          <cell r="O260">
            <v>136.53831331163246</v>
          </cell>
          <cell r="P260">
            <v>141.3171542775396</v>
          </cell>
          <cell r="Q260">
            <v>146.96984044864118</v>
          </cell>
          <cell r="R260">
            <v>152.84863406658684</v>
          </cell>
          <cell r="S260">
            <v>158.96257942925033</v>
          </cell>
          <cell r="T260">
            <v>165.32108260642033</v>
          </cell>
        </row>
        <row r="261">
          <cell r="K261" t="str">
            <v>USAServicesDelivery Center57ST</v>
          </cell>
          <cell r="L261" t="str">
            <v>Level C</v>
          </cell>
          <cell r="M261">
            <v>151.66666666666666</v>
          </cell>
          <cell r="N261">
            <v>142.15428552417481</v>
          </cell>
          <cell r="O261">
            <v>147.46137837656306</v>
          </cell>
          <cell r="P261">
            <v>152.62252661974276</v>
          </cell>
          <cell r="Q261">
            <v>158.72742768453247</v>
          </cell>
          <cell r="R261">
            <v>165.07652479191378</v>
          </cell>
          <cell r="S261">
            <v>171.67958578359034</v>
          </cell>
          <cell r="T261">
            <v>178.54676921493396</v>
          </cell>
        </row>
        <row r="262">
          <cell r="K262" t="str">
            <v>USAServicesDelivery Center50LT</v>
          </cell>
          <cell r="L262" t="str">
            <v>Level D</v>
          </cell>
          <cell r="M262">
            <v>151.66666666666666</v>
          </cell>
          <cell r="N262">
            <v>62.051996572438746</v>
          </cell>
          <cell r="O262">
            <v>64.368604237636475</v>
          </cell>
          <cell r="P262">
            <v>66.621505385953753</v>
          </cell>
          <cell r="Q262">
            <v>69.286365601391907</v>
          </cell>
          <cell r="R262">
            <v>72.057820225447585</v>
          </cell>
          <cell r="S262">
            <v>74.940133034465489</v>
          </cell>
          <cell r="T262">
            <v>77.937738355844118</v>
          </cell>
        </row>
        <row r="263">
          <cell r="K263" t="str">
            <v>USAServicesDelivery Center50ST</v>
          </cell>
          <cell r="L263" t="str">
            <v>Level D</v>
          </cell>
          <cell r="M263">
            <v>151.66666666666666</v>
          </cell>
          <cell r="N263">
            <v>67.016156298233852</v>
          </cell>
          <cell r="O263">
            <v>69.518092576647405</v>
          </cell>
          <cell r="P263">
            <v>71.95122581683006</v>
          </cell>
          <cell r="Q263">
            <v>74.829274849503264</v>
          </cell>
          <cell r="R263">
            <v>77.822445843483393</v>
          </cell>
          <cell r="S263">
            <v>80.935343677222733</v>
          </cell>
          <cell r="T263">
            <v>84.172757424311641</v>
          </cell>
        </row>
        <row r="264">
          <cell r="K264" t="str">
            <v>USAServicesDelivery Center51LT</v>
          </cell>
          <cell r="L264" t="str">
            <v>Level D</v>
          </cell>
          <cell r="M264">
            <v>151.66666666666666</v>
          </cell>
          <cell r="N264">
            <v>76.378591326208749</v>
          </cell>
          <cell r="O264">
            <v>79.230058481125241</v>
          </cell>
          <cell r="P264">
            <v>82.003110527964623</v>
          </cell>
          <cell r="Q264">
            <v>85.283234949083209</v>
          </cell>
          <cell r="R264">
            <v>88.694564347046537</v>
          </cell>
          <cell r="S264">
            <v>92.242346920928398</v>
          </cell>
          <cell r="T264">
            <v>95.932040797765538</v>
          </cell>
        </row>
        <row r="265">
          <cell r="K265" t="str">
            <v>USAServicesDelivery Center51ST</v>
          </cell>
          <cell r="L265" t="str">
            <v>Level D</v>
          </cell>
          <cell r="M265">
            <v>151.66666666666666</v>
          </cell>
          <cell r="N265">
            <v>82.488878632305457</v>
          </cell>
          <cell r="O265">
            <v>85.568463159615277</v>
          </cell>
          <cell r="P265">
            <v>88.563359370201809</v>
          </cell>
          <cell r="Q265">
            <v>92.10589374500988</v>
          </cell>
          <cell r="R265">
            <v>95.790129494810273</v>
          </cell>
          <cell r="S265">
            <v>99.621734674602692</v>
          </cell>
          <cell r="T265">
            <v>103.60660406158681</v>
          </cell>
        </row>
        <row r="266">
          <cell r="K266" t="str">
            <v>USAServicesDelivery Center52LT</v>
          </cell>
          <cell r="L266" t="str">
            <v>Level D</v>
          </cell>
          <cell r="M266">
            <v>151.66666666666666</v>
          </cell>
          <cell r="N266">
            <v>90.272179070103746</v>
          </cell>
          <cell r="O266">
            <v>93.642340121147029</v>
          </cell>
          <cell r="P266">
            <v>96.919822025387163</v>
          </cell>
          <cell r="Q266">
            <v>100.79661490640265</v>
          </cell>
          <cell r="R266">
            <v>104.82847950265877</v>
          </cell>
          <cell r="S266">
            <v>109.02161868276512</v>
          </cell>
          <cell r="T266">
            <v>113.38248343007574</v>
          </cell>
        </row>
        <row r="267">
          <cell r="K267" t="str">
            <v>USAServicesDelivery Center52ST</v>
          </cell>
          <cell r="L267" t="str">
            <v>Level D</v>
          </cell>
          <cell r="M267">
            <v>151.66666666666666</v>
          </cell>
          <cell r="N267">
            <v>97.493953395712055</v>
          </cell>
          <cell r="O267">
            <v>101.13372733083879</v>
          </cell>
          <cell r="P267">
            <v>104.67340778741814</v>
          </cell>
          <cell r="Q267">
            <v>108.86034409891487</v>
          </cell>
          <cell r="R267">
            <v>113.21475786287147</v>
          </cell>
          <cell r="S267">
            <v>117.74334817738632</v>
          </cell>
          <cell r="T267">
            <v>122.45308210448178</v>
          </cell>
        </row>
        <row r="268">
          <cell r="K268" t="str">
            <v>USAServicesDelivery Center53LT</v>
          </cell>
          <cell r="L268" t="str">
            <v>Level D</v>
          </cell>
          <cell r="M268">
            <v>151.66666666666666</v>
          </cell>
          <cell r="N268">
            <v>102.50960268500499</v>
          </cell>
          <cell r="O268">
            <v>106.33662751021318</v>
          </cell>
          <cell r="P268">
            <v>110.05840947307063</v>
          </cell>
          <cell r="Q268">
            <v>114.46074585199345</v>
          </cell>
          <cell r="R268">
            <v>119.03917568607319</v>
          </cell>
          <cell r="S268">
            <v>123.80074271351613</v>
          </cell>
          <cell r="T268">
            <v>128.75277242205678</v>
          </cell>
        </row>
        <row r="269">
          <cell r="K269" t="str">
            <v>USAServicesDelivery Center53ST</v>
          </cell>
          <cell r="L269" t="str">
            <v>Level D</v>
          </cell>
          <cell r="M269">
            <v>151.66666666666666</v>
          </cell>
          <cell r="N269">
            <v>110.7103708998054</v>
          </cell>
          <cell r="O269">
            <v>114.84355771103023</v>
          </cell>
          <cell r="P269">
            <v>118.86308223091628</v>
          </cell>
          <cell r="Q269">
            <v>123.61760552015294</v>
          </cell>
          <cell r="R269">
            <v>128.56230974095905</v>
          </cell>
          <cell r="S269">
            <v>133.70480213059741</v>
          </cell>
          <cell r="T269">
            <v>139.05299421582131</v>
          </cell>
        </row>
        <row r="270">
          <cell r="K270" t="str">
            <v>USAServicesDelivery Center34LT</v>
          </cell>
          <cell r="L270" t="str">
            <v>Level E</v>
          </cell>
          <cell r="M270">
            <v>151.66666666666666</v>
          </cell>
          <cell r="N270">
            <v>46.808572242845003</v>
          </cell>
          <cell r="O270">
            <v>48.556092117215975</v>
          </cell>
          <cell r="P270">
            <v>50.255555341318534</v>
          </cell>
          <cell r="Q270">
            <v>52.26577755497128</v>
          </cell>
          <cell r="R270">
            <v>54.356408657170135</v>
          </cell>
          <cell r="S270">
            <v>56.530665003456946</v>
          </cell>
          <cell r="T270">
            <v>58.791891603595225</v>
          </cell>
        </row>
        <row r="271">
          <cell r="K271" t="str">
            <v>USAServicesDelivery Center34ST</v>
          </cell>
          <cell r="L271" t="str">
            <v>Level E</v>
          </cell>
          <cell r="M271">
            <v>151.66666666666666</v>
          </cell>
          <cell r="N271">
            <v>50.553258022272601</v>
          </cell>
          <cell r="O271">
            <v>52.440579486593258</v>
          </cell>
          <cell r="P271">
            <v>54.275999768624018</v>
          </cell>
          <cell r="Q271">
            <v>56.447039759368984</v>
          </cell>
          <cell r="R271">
            <v>58.704921349743742</v>
          </cell>
          <cell r="S271">
            <v>61.053118203733497</v>
          </cell>
          <cell r="T271">
            <v>63.495242931882842</v>
          </cell>
        </row>
        <row r="272">
          <cell r="K272" t="str">
            <v>USAServicesDelivery Center35LT</v>
          </cell>
          <cell r="L272" t="str">
            <v>Level E</v>
          </cell>
          <cell r="M272">
            <v>151.66666666666666</v>
          </cell>
          <cell r="N272">
            <v>59.696149841283756</v>
          </cell>
          <cell r="O272">
            <v>61.92480590303785</v>
          </cell>
          <cell r="P272">
            <v>64.092174109644176</v>
          </cell>
          <cell r="Q272">
            <v>66.655861074029943</v>
          </cell>
          <cell r="R272">
            <v>69.322095516991141</v>
          </cell>
          <cell r="S272">
            <v>72.094979337670793</v>
          </cell>
          <cell r="T272">
            <v>74.978778511177623</v>
          </cell>
        </row>
        <row r="273">
          <cell r="K273" t="str">
            <v>USAServicesDelivery Center35ST</v>
          </cell>
          <cell r="L273" t="str">
            <v>Level E</v>
          </cell>
          <cell r="M273">
            <v>151.66666666666666</v>
          </cell>
          <cell r="N273">
            <v>64.471841828586463</v>
          </cell>
          <cell r="O273">
            <v>66.878790375280886</v>
          </cell>
          <cell r="P273">
            <v>69.219548038415709</v>
          </cell>
          <cell r="Q273">
            <v>71.988329959952338</v>
          </cell>
          <cell r="R273">
            <v>74.867863158350431</v>
          </cell>
          <cell r="S273">
            <v>77.862577684684453</v>
          </cell>
          <cell r="T273">
            <v>80.977080792071831</v>
          </cell>
        </row>
        <row r="274">
          <cell r="K274" t="str">
            <v>USAServicesDelivery Center36LT</v>
          </cell>
          <cell r="L274" t="str">
            <v>Level E</v>
          </cell>
          <cell r="M274">
            <v>151.66666666666666</v>
          </cell>
          <cell r="N274">
            <v>74.591898904308749</v>
          </cell>
          <cell r="O274">
            <v>77.376662881429951</v>
          </cell>
          <cell r="P274">
            <v>80.084846082279995</v>
          </cell>
          <cell r="Q274">
            <v>83.288239925571204</v>
          </cell>
          <cell r="R274">
            <v>86.619769522594055</v>
          </cell>
          <cell r="S274">
            <v>90.084560303497824</v>
          </cell>
          <cell r="T274">
            <v>93.687942715637746</v>
          </cell>
        </row>
        <row r="275">
          <cell r="K275" t="str">
            <v>USAServicesDelivery Center36ST</v>
          </cell>
          <cell r="L275" t="str">
            <v>Level E</v>
          </cell>
          <cell r="M275">
            <v>151.66666666666666</v>
          </cell>
          <cell r="N275">
            <v>80.55925081665346</v>
          </cell>
          <cell r="O275">
            <v>83.566795911944354</v>
          </cell>
          <cell r="P275">
            <v>86.4916337688624</v>
          </cell>
          <cell r="Q275">
            <v>89.951299119616905</v>
          </cell>
          <cell r="R275">
            <v>93.549351084401579</v>
          </cell>
          <cell r="S275">
            <v>97.29132512777764</v>
          </cell>
          <cell r="T275">
            <v>101.18297813288875</v>
          </cell>
        </row>
        <row r="276">
          <cell r="K276" t="str">
            <v>USAServicesDelivery Center30LT</v>
          </cell>
          <cell r="L276" t="str">
            <v>Level F</v>
          </cell>
          <cell r="M276">
            <v>151.66666666666666</v>
          </cell>
          <cell r="N276">
            <v>37.305534579804998</v>
          </cell>
          <cell r="O276">
            <v>38.69827441309927</v>
          </cell>
          <cell r="P276">
            <v>40.05271401755774</v>
          </cell>
          <cell r="Q276">
            <v>41.654822578260053</v>
          </cell>
          <cell r="R276">
            <v>43.321015481390454</v>
          </cell>
          <cell r="S276">
            <v>45.053856100646072</v>
          </cell>
          <cell r="T276">
            <v>46.856010344671915</v>
          </cell>
        </row>
        <row r="277">
          <cell r="K277" t="str">
            <v>USAServicesDelivery Center30ST</v>
          </cell>
          <cell r="L277" t="str">
            <v>Level F</v>
          </cell>
          <cell r="M277">
            <v>151.66666666666666</v>
          </cell>
          <cell r="N277">
            <v>40.289977346189403</v>
          </cell>
          <cell r="O277">
            <v>41.794136366147221</v>
          </cell>
          <cell r="P277">
            <v>43.256931138962372</v>
          </cell>
          <cell r="Q277">
            <v>44.987208384520869</v>
          </cell>
          <cell r="R277">
            <v>46.786696719901705</v>
          </cell>
          <cell r="S277">
            <v>48.658164588697773</v>
          </cell>
          <cell r="T277">
            <v>50.604491172245687</v>
          </cell>
        </row>
        <row r="278">
          <cell r="K278" t="str">
            <v>USAServicesDelivery Center31LT</v>
          </cell>
          <cell r="L278" t="str">
            <v>Level F</v>
          </cell>
          <cell r="M278">
            <v>151.66666666666666</v>
          </cell>
          <cell r="N278">
            <v>45.70878082321375</v>
          </cell>
          <cell r="O278">
            <v>47.415241821584466</v>
          </cell>
          <cell r="P278">
            <v>49.074775285339918</v>
          </cell>
          <cell r="Q278">
            <v>51.037766296753517</v>
          </cell>
          <cell r="R278">
            <v>53.079276948623658</v>
          </cell>
          <cell r="S278">
            <v>55.202448026568604</v>
          </cell>
          <cell r="T278">
            <v>57.410545947631348</v>
          </cell>
        </row>
        <row r="279">
          <cell r="K279" t="str">
            <v>USAServicesDelivery Center31ST</v>
          </cell>
          <cell r="L279" t="str">
            <v>Level F</v>
          </cell>
          <cell r="M279">
            <v>151.66666666666666</v>
          </cell>
          <cell r="N279">
            <v>49.365483289070852</v>
          </cell>
          <cell r="O279">
            <v>51.208461167311221</v>
          </cell>
          <cell r="P279">
            <v>53.00075730816711</v>
          </cell>
          <cell r="Q279">
            <v>55.120787600493799</v>
          </cell>
          <cell r="R279">
            <v>57.325619104513549</v>
          </cell>
          <cell r="S279">
            <v>59.618643868694093</v>
          </cell>
          <cell r="T279">
            <v>62.003389623441862</v>
          </cell>
        </row>
        <row r="280">
          <cell r="K280" t="str">
            <v>USAServicesDelivery Center32LT</v>
          </cell>
          <cell r="L280" t="str">
            <v>Level F</v>
          </cell>
          <cell r="M280">
            <v>151.66666666666666</v>
          </cell>
          <cell r="N280">
            <v>51.924180267827502</v>
          </cell>
          <cell r="O280">
            <v>53.862682824745796</v>
          </cell>
          <cell r="P280">
            <v>55.747876723611895</v>
          </cell>
          <cell r="Q280">
            <v>57.977791792556374</v>
          </cell>
          <cell r="R280">
            <v>60.296903464258634</v>
          </cell>
          <cell r="S280">
            <v>62.708779602828983</v>
          </cell>
          <cell r="T280">
            <v>65.21713078694215</v>
          </cell>
        </row>
        <row r="281">
          <cell r="K281" t="str">
            <v>USAServicesDelivery Center32ST</v>
          </cell>
          <cell r="L281" t="str">
            <v>Level F</v>
          </cell>
          <cell r="M281">
            <v>151.66666666666666</v>
          </cell>
          <cell r="N281">
            <v>56.078114689253709</v>
          </cell>
          <cell r="O281">
            <v>58.171697450725468</v>
          </cell>
          <cell r="P281">
            <v>60.207706861500853</v>
          </cell>
          <cell r="Q281">
            <v>62.616015135960886</v>
          </cell>
          <cell r="R281">
            <v>65.120655741399318</v>
          </cell>
          <cell r="S281">
            <v>67.725481971055288</v>
          </cell>
          <cell r="T281">
            <v>70.434501249897508</v>
          </cell>
        </row>
        <row r="282">
          <cell r="K282" t="str">
            <v>USAServicesDelivery Center33LT</v>
          </cell>
          <cell r="L282" t="str">
            <v>Level F</v>
          </cell>
          <cell r="M282">
            <v>151.66666666666666</v>
          </cell>
          <cell r="N282">
            <v>60.165649925683752</v>
          </cell>
          <cell r="O282">
            <v>62.411833989023783</v>
          </cell>
          <cell r="P282">
            <v>64.596248178639613</v>
          </cell>
          <cell r="Q282">
            <v>67.180098105785206</v>
          </cell>
          <cell r="R282">
            <v>69.867302030016617</v>
          </cell>
          <cell r="S282">
            <v>72.661994111217282</v>
          </cell>
          <cell r="T282">
            <v>75.568473875665973</v>
          </cell>
        </row>
        <row r="283">
          <cell r="K283" t="str">
            <v>USAServicesDelivery Center33ST</v>
          </cell>
          <cell r="L283" t="str">
            <v>Level F</v>
          </cell>
          <cell r="M283">
            <v>151.66666666666666</v>
          </cell>
          <cell r="N283">
            <v>64.978901919738448</v>
          </cell>
          <cell r="O283">
            <v>67.40478070814568</v>
          </cell>
          <cell r="P283">
            <v>69.76394803293077</v>
          </cell>
          <cell r="Q283">
            <v>72.554505954248</v>
          </cell>
          <cell r="R283">
            <v>75.456686192417919</v>
          </cell>
          <cell r="S283">
            <v>78.474953640114634</v>
          </cell>
          <cell r="T283">
            <v>81.613951785719223</v>
          </cell>
        </row>
        <row r="284">
          <cell r="K284" t="str">
            <v>USAServicesDelivery Center24LT</v>
          </cell>
          <cell r="L284" t="str">
            <v>Level G</v>
          </cell>
          <cell r="M284">
            <v>151.66666666666666</v>
          </cell>
          <cell r="N284">
            <v>30.87849746324375</v>
          </cell>
          <cell r="O284">
            <v>32.031294598943191</v>
          </cell>
          <cell r="P284">
            <v>33.152389909906198</v>
          </cell>
          <cell r="Q284">
            <v>34.478485506302448</v>
          </cell>
          <cell r="R284">
            <v>35.85762492655455</v>
          </cell>
          <cell r="S284">
            <v>37.291929923616735</v>
          </cell>
          <cell r="T284">
            <v>38.783607120561406</v>
          </cell>
        </row>
        <row r="285">
          <cell r="K285" t="str">
            <v>USAServicesDelivery Center24ST</v>
          </cell>
          <cell r="L285" t="str">
            <v>Level G</v>
          </cell>
          <cell r="M285">
            <v>151.66666666666666</v>
          </cell>
          <cell r="N285">
            <v>33.348777260303251</v>
          </cell>
          <cell r="O285">
            <v>34.593798166858647</v>
          </cell>
          <cell r="P285">
            <v>35.804581102698698</v>
          </cell>
          <cell r="Q285">
            <v>37.236764346806645</v>
          </cell>
          <cell r="R285">
            <v>38.726234920678912</v>
          </cell>
          <cell r="S285">
            <v>40.27528431750607</v>
          </cell>
          <cell r="T285">
            <v>41.886295690206317</v>
          </cell>
        </row>
        <row r="286">
          <cell r="K286" t="str">
            <v>USAServicesDelivery Center25LT</v>
          </cell>
          <cell r="L286" t="str">
            <v>Level G</v>
          </cell>
          <cell r="M286">
            <v>151.66666666666666</v>
          </cell>
          <cell r="N286">
            <v>38.314351164067503</v>
          </cell>
          <cell r="O286">
            <v>39.744753479811521</v>
          </cell>
          <cell r="P286">
            <v>41.135819851604921</v>
          </cell>
          <cell r="Q286">
            <v>42.78125264566912</v>
          </cell>
          <cell r="R286">
            <v>44.492502751495884</v>
          </cell>
          <cell r="S286">
            <v>46.272202861555719</v>
          </cell>
          <cell r="T286">
            <v>48.123090976017949</v>
          </cell>
        </row>
        <row r="287">
          <cell r="K287" t="str">
            <v>USAServicesDelivery Center25ST</v>
          </cell>
          <cell r="L287" t="str">
            <v>Level G</v>
          </cell>
          <cell r="M287">
            <v>151.66666666666666</v>
          </cell>
          <cell r="N287">
            <v>41.379499257192904</v>
          </cell>
          <cell r="O287">
            <v>42.924333758196447</v>
          </cell>
          <cell r="P287">
            <v>44.426685439733319</v>
          </cell>
          <cell r="Q287">
            <v>46.203752857322655</v>
          </cell>
          <cell r="R287">
            <v>48.051902971615561</v>
          </cell>
          <cell r="S287">
            <v>49.973979090480185</v>
          </cell>
          <cell r="T287">
            <v>51.972938254099397</v>
          </cell>
        </row>
        <row r="288">
          <cell r="K288" t="str">
            <v>USAServicesDelivery Center26LT</v>
          </cell>
          <cell r="L288" t="str">
            <v>Level G</v>
          </cell>
          <cell r="M288">
            <v>151.66666666666666</v>
          </cell>
          <cell r="N288">
            <v>51.475141232601246</v>
          </cell>
          <cell r="O288">
            <v>53.396879667034554</v>
          </cell>
          <cell r="P288">
            <v>55.26577045538076</v>
          </cell>
          <cell r="Q288">
            <v>57.476401273595989</v>
          </cell>
          <cell r="R288">
            <v>59.775457324539829</v>
          </cell>
          <cell r="S288">
            <v>62.166475617521421</v>
          </cell>
          <cell r="T288">
            <v>64.653134642222284</v>
          </cell>
        </row>
        <row r="289">
          <cell r="K289" t="str">
            <v>USAServicesDelivery Center26ST</v>
          </cell>
          <cell r="L289" t="str">
            <v>Level G</v>
          </cell>
          <cell r="M289">
            <v>151.66666666666666</v>
          </cell>
          <cell r="N289">
            <v>55.593152531209356</v>
          </cell>
          <cell r="O289">
            <v>57.668630040397332</v>
          </cell>
          <cell r="P289">
            <v>59.687032091811233</v>
          </cell>
          <cell r="Q289">
            <v>62.074513375483683</v>
          </cell>
          <cell r="R289">
            <v>64.557493910503027</v>
          </cell>
          <cell r="S289">
            <v>67.139793666923154</v>
          </cell>
          <cell r="T289">
            <v>69.825385413600088</v>
          </cell>
        </row>
        <row r="290">
          <cell r="K290" t="str">
            <v>USAServicesDelivery Center22LT</v>
          </cell>
          <cell r="L290" t="str">
            <v>Level H</v>
          </cell>
          <cell r="M290">
            <v>151.66666666666666</v>
          </cell>
          <cell r="N290">
            <v>24.805767745345001</v>
          </cell>
          <cell r="O290">
            <v>25.731849658485324</v>
          </cell>
          <cell r="P290">
            <v>26.632464396532306</v>
          </cell>
          <cell r="Q290">
            <v>27.697762972393601</v>
          </cell>
          <cell r="R290">
            <v>28.805673491289348</v>
          </cell>
          <cell r="S290">
            <v>29.957900430940921</v>
          </cell>
          <cell r="T290">
            <v>31.156216448178558</v>
          </cell>
        </row>
        <row r="291">
          <cell r="K291" t="str">
            <v>USAServicesDelivery Center22ST</v>
          </cell>
          <cell r="L291" t="str">
            <v>Level H</v>
          </cell>
          <cell r="M291">
            <v>151.66666666666666</v>
          </cell>
          <cell r="N291">
            <v>26.790229164972605</v>
          </cell>
          <cell r="O291">
            <v>27.790397631164154</v>
          </cell>
          <cell r="P291">
            <v>28.763061548254896</v>
          </cell>
          <cell r="Q291">
            <v>29.913584010185094</v>
          </cell>
          <cell r="R291">
            <v>31.110127370592497</v>
          </cell>
          <cell r="S291">
            <v>32.354532465416199</v>
          </cell>
          <cell r="T291">
            <v>33.648713764032848</v>
          </cell>
        </row>
        <row r="292">
          <cell r="K292" t="str">
            <v>USAServicesDelivery Center23LT</v>
          </cell>
          <cell r="L292" t="str">
            <v>Level H</v>
          </cell>
          <cell r="M292">
            <v>151.66666666666666</v>
          </cell>
          <cell r="N292">
            <v>32.348319523599997</v>
          </cell>
          <cell r="O292">
            <v>33.555990011319999</v>
          </cell>
          <cell r="P292">
            <v>34.730449661716193</v>
          </cell>
          <cell r="Q292">
            <v>36.119667648184844</v>
          </cell>
          <cell r="R292">
            <v>37.564454354112236</v>
          </cell>
          <cell r="S292">
            <v>39.067032528276727</v>
          </cell>
          <cell r="T292">
            <v>40.629713829407798</v>
          </cell>
        </row>
        <row r="293">
          <cell r="K293" t="str">
            <v>USAServicesDelivery Center23ST</v>
          </cell>
          <cell r="L293" t="str">
            <v>Level H</v>
          </cell>
          <cell r="M293">
            <v>151.66666666666666</v>
          </cell>
          <cell r="N293">
            <v>34.936185085487999</v>
          </cell>
          <cell r="O293">
            <v>36.240469212225605</v>
          </cell>
          <cell r="P293">
            <v>37.508885634653495</v>
          </cell>
          <cell r="Q293">
            <v>39.009241060039635</v>
          </cell>
          <cell r="R293">
            <v>40.569610702441224</v>
          </cell>
          <cell r="S293">
            <v>42.192395130538877</v>
          </cell>
          <cell r="T293">
            <v>43.880090935760435</v>
          </cell>
        </row>
        <row r="294">
          <cell r="K294" t="str">
            <v>USAServicesDelivery Center80LT</v>
          </cell>
          <cell r="L294" t="str">
            <v>Sr. Executive</v>
          </cell>
          <cell r="M294">
            <v>151.66666666666666</v>
          </cell>
          <cell r="N294">
            <v>185.08176873057874</v>
          </cell>
          <cell r="O294">
            <v>191.99148747958114</v>
          </cell>
          <cell r="P294">
            <v>198.71118954136645</v>
          </cell>
          <cell r="Q294">
            <v>206.65963712302113</v>
          </cell>
          <cell r="R294">
            <v>214.92602260794197</v>
          </cell>
          <cell r="S294">
            <v>223.52306351225965</v>
          </cell>
          <cell r="T294">
            <v>232.46398605275004</v>
          </cell>
        </row>
        <row r="295">
          <cell r="K295" t="str">
            <v>USAServicesDelivery Center80ST</v>
          </cell>
          <cell r="L295" t="str">
            <v>Sr. Executive</v>
          </cell>
          <cell r="M295">
            <v>151.66666666666666</v>
          </cell>
          <cell r="N295">
            <v>199.88831022902505</v>
          </cell>
          <cell r="O295">
            <v>207.35080647794763</v>
          </cell>
          <cell r="P295">
            <v>214.60808470467578</v>
          </cell>
          <cell r="Q295">
            <v>223.19240809286282</v>
          </cell>
          <cell r="R295">
            <v>232.12010441657733</v>
          </cell>
          <cell r="S295">
            <v>241.40490859324044</v>
          </cell>
          <cell r="T295">
            <v>251.06110493697005</v>
          </cell>
        </row>
        <row r="296">
          <cell r="K296" t="str">
            <v>USAServicesDelivery Center81LT</v>
          </cell>
          <cell r="L296" t="str">
            <v>Sr. Executive</v>
          </cell>
          <cell r="M296">
            <v>151.66666666666666</v>
          </cell>
          <cell r="N296">
            <v>209.74360764176751</v>
          </cell>
          <cell r="O296">
            <v>217.57403496124815</v>
          </cell>
          <cell r="P296">
            <v>225.18912618489182</v>
          </cell>
          <cell r="Q296">
            <v>234.19669123228749</v>
          </cell>
          <cell r="R296">
            <v>243.56455888157899</v>
          </cell>
          <cell r="S296">
            <v>253.30714123684217</v>
          </cell>
          <cell r="T296">
            <v>263.43942688631586</v>
          </cell>
        </row>
        <row r="297">
          <cell r="K297" t="str">
            <v>USAServicesDelivery Center81ST</v>
          </cell>
          <cell r="L297" t="str">
            <v>Sr. Executive</v>
          </cell>
          <cell r="M297">
            <v>151.66666666666666</v>
          </cell>
          <cell r="N297">
            <v>226.52309625310892</v>
          </cell>
          <cell r="O297">
            <v>234.979957758148</v>
          </cell>
          <cell r="P297">
            <v>243.20425627968316</v>
          </cell>
          <cell r="Q297">
            <v>252.93242653087049</v>
          </cell>
          <cell r="R297">
            <v>263.04972359210529</v>
          </cell>
          <cell r="S297">
            <v>273.57171253578952</v>
          </cell>
          <cell r="T297">
            <v>284.51458103722109</v>
          </cell>
        </row>
        <row r="298">
          <cell r="K298" t="str">
            <v>USAServicesDelivery Center82LT</v>
          </cell>
          <cell r="L298" t="str">
            <v>Sr. Executive</v>
          </cell>
          <cell r="M298">
            <v>151.66666666666666</v>
          </cell>
          <cell r="N298">
            <v>229.62772705034499</v>
          </cell>
          <cell r="O298">
            <v>238.20049476146545</v>
          </cell>
          <cell r="P298">
            <v>246.53751207811672</v>
          </cell>
          <cell r="Q298">
            <v>256.39901256124142</v>
          </cell>
          <cell r="R298">
            <v>266.6549730636911</v>
          </cell>
          <cell r="S298">
            <v>277.32117198623877</v>
          </cell>
          <cell r="T298">
            <v>288.41401886568832</v>
          </cell>
        </row>
        <row r="299">
          <cell r="K299" t="str">
            <v>USAServicesDelivery Center82ST</v>
          </cell>
          <cell r="L299" t="str">
            <v>Sr. Executive</v>
          </cell>
          <cell r="M299">
            <v>151.66666666666666</v>
          </cell>
          <cell r="N299">
            <v>247.99794521437261</v>
          </cell>
          <cell r="O299">
            <v>257.25653434238274</v>
          </cell>
          <cell r="P299">
            <v>266.26051304436612</v>
          </cell>
          <cell r="Q299">
            <v>276.91093356614078</v>
          </cell>
          <cell r="R299">
            <v>287.98737090878643</v>
          </cell>
          <cell r="S299">
            <v>299.50686574513787</v>
          </cell>
          <cell r="T299">
            <v>311.48714037494341</v>
          </cell>
        </row>
        <row r="300">
          <cell r="K300" t="str">
            <v>USAServicesDelivery Center83LT</v>
          </cell>
          <cell r="L300" t="str">
            <v>Sr. Executive</v>
          </cell>
          <cell r="M300">
            <v>151.66666666666666</v>
          </cell>
          <cell r="N300">
            <v>248.78544673523749</v>
          </cell>
          <cell r="O300">
            <v>258.07343591740153</v>
          </cell>
          <cell r="P300">
            <v>267.10600617451058</v>
          </cell>
          <cell r="Q300">
            <v>277.79024642149102</v>
          </cell>
          <cell r="R300">
            <v>288.90185627835069</v>
          </cell>
          <cell r="S300">
            <v>300.45793052948471</v>
          </cell>
          <cell r="T300">
            <v>312.47624775066413</v>
          </cell>
        </row>
        <row r="301">
          <cell r="K301" t="str">
            <v>USAServicesDelivery Center83ST</v>
          </cell>
          <cell r="L301" t="str">
            <v>Sr. Executive</v>
          </cell>
          <cell r="M301">
            <v>151.66666666666666</v>
          </cell>
          <cell r="N301">
            <v>268.68828247405651</v>
          </cell>
          <cell r="O301">
            <v>278.71931079079371</v>
          </cell>
          <cell r="P301">
            <v>288.47448666847146</v>
          </cell>
          <cell r="Q301">
            <v>300.01346613521031</v>
          </cell>
          <cell r="R301">
            <v>312.01400478061873</v>
          </cell>
          <cell r="S301">
            <v>324.49456497184349</v>
          </cell>
          <cell r="T301">
            <v>337.47434757071721</v>
          </cell>
        </row>
        <row r="302">
          <cell r="K302" t="str">
            <v>USAServicesDelivery Center84LT</v>
          </cell>
          <cell r="L302" t="str">
            <v>Sr. Executive</v>
          </cell>
          <cell r="M302">
            <v>151.66666666666666</v>
          </cell>
          <cell r="N302">
            <v>280.20191013087123</v>
          </cell>
          <cell r="O302">
            <v>290.66278050841743</v>
          </cell>
          <cell r="P302">
            <v>300.835977826212</v>
          </cell>
          <cell r="Q302">
            <v>312.86941693926047</v>
          </cell>
          <cell r="R302">
            <v>325.38419361683088</v>
          </cell>
          <cell r="S302">
            <v>338.39956136150414</v>
          </cell>
          <cell r="T302">
            <v>351.93554381596431</v>
          </cell>
        </row>
        <row r="303">
          <cell r="K303" t="str">
            <v>USAServicesDelivery Center84ST</v>
          </cell>
          <cell r="L303" t="str">
            <v>Sr. Executive</v>
          </cell>
          <cell r="M303">
            <v>151.66666666666666</v>
          </cell>
          <cell r="N303">
            <v>302.61806294134095</v>
          </cell>
          <cell r="O303">
            <v>313.91580294909085</v>
          </cell>
          <cell r="P303">
            <v>324.90285605230901</v>
          </cell>
          <cell r="Q303">
            <v>337.89897029440135</v>
          </cell>
          <cell r="R303">
            <v>351.4149291061774</v>
          </cell>
          <cell r="S303">
            <v>365.47152627042448</v>
          </cell>
          <cell r="T303">
            <v>380.09038732124145</v>
          </cell>
        </row>
        <row r="304">
          <cell r="K304" t="str">
            <v>USAServicesStandard67Borrowed</v>
          </cell>
          <cell r="L304" t="str">
            <v>Level A</v>
          </cell>
          <cell r="M304">
            <v>149.33333333333334</v>
          </cell>
          <cell r="N304">
            <v>158.14343811685276</v>
          </cell>
          <cell r="O304">
            <v>164.04745927940382</v>
          </cell>
          <cell r="P304">
            <v>169.78912035418296</v>
          </cell>
          <cell r="Q304">
            <v>176.58068516835027</v>
          </cell>
          <cell r="R304">
            <v>183.6439125750843</v>
          </cell>
          <cell r="S304">
            <v>190.98966907808767</v>
          </cell>
          <cell r="T304">
            <v>198.62925584121118</v>
          </cell>
        </row>
        <row r="305">
          <cell r="K305" t="str">
            <v>USAServicesStandard67Dedicated</v>
          </cell>
          <cell r="L305" t="str">
            <v>Level A</v>
          </cell>
          <cell r="M305">
            <v>149.33333333333334</v>
          </cell>
          <cell r="N305">
            <v>117.143287493965</v>
          </cell>
          <cell r="O305">
            <v>121.51663650326208</v>
          </cell>
          <cell r="P305">
            <v>125.76971878087625</v>
          </cell>
          <cell r="Q305">
            <v>130.80050753211131</v>
          </cell>
          <cell r="R305">
            <v>136.03252783339576</v>
          </cell>
          <cell r="S305">
            <v>141.4738289467316</v>
          </cell>
          <cell r="T305">
            <v>147.13278210460086</v>
          </cell>
        </row>
        <row r="306">
          <cell r="K306" t="str">
            <v>USAServicesStandard68Borrowed</v>
          </cell>
          <cell r="L306" t="str">
            <v>Level A</v>
          </cell>
          <cell r="M306">
            <v>149.33333333333334</v>
          </cell>
          <cell r="N306">
            <v>187.46354017927126</v>
          </cell>
          <cell r="O306">
            <v>194.46217838775226</v>
          </cell>
          <cell r="P306">
            <v>201.26835463132358</v>
          </cell>
          <cell r="Q306">
            <v>209.31908881657654</v>
          </cell>
          <cell r="R306">
            <v>217.6918523692396</v>
          </cell>
          <cell r="S306">
            <v>226.3995264640092</v>
          </cell>
          <cell r="T306">
            <v>235.45550752256958</v>
          </cell>
        </row>
        <row r="307">
          <cell r="K307" t="str">
            <v>USAServicesStandard68Dedicated</v>
          </cell>
          <cell r="L307" t="str">
            <v>Level A</v>
          </cell>
          <cell r="M307">
            <v>149.33333333333334</v>
          </cell>
          <cell r="N307">
            <v>138.86188161427501</v>
          </cell>
          <cell r="O307">
            <v>144.04605806500169</v>
          </cell>
          <cell r="P307">
            <v>149.08767009727674</v>
          </cell>
          <cell r="Q307">
            <v>155.05117690116782</v>
          </cell>
          <cell r="R307">
            <v>161.25322397721453</v>
          </cell>
          <cell r="S307">
            <v>167.70335293630311</v>
          </cell>
          <cell r="T307">
            <v>174.41148705375522</v>
          </cell>
        </row>
        <row r="308">
          <cell r="K308" t="str">
            <v>USAServicesStandard69Borrowed</v>
          </cell>
          <cell r="L308" t="str">
            <v>Level A</v>
          </cell>
          <cell r="M308">
            <v>149.33333333333334</v>
          </cell>
          <cell r="N308">
            <v>209.417261820237</v>
          </cell>
          <cell r="O308">
            <v>217.23550556346831</v>
          </cell>
          <cell r="P308">
            <v>224.83874825818967</v>
          </cell>
          <cell r="Q308">
            <v>233.83229818851726</v>
          </cell>
          <cell r="R308">
            <v>243.18559011605797</v>
          </cell>
          <cell r="S308">
            <v>252.91301372070029</v>
          </cell>
          <cell r="T308">
            <v>263.02953426952831</v>
          </cell>
        </row>
        <row r="309">
          <cell r="K309" t="str">
            <v>USAServicesStandard69Dedicated</v>
          </cell>
          <cell r="L309" t="str">
            <v>Level A</v>
          </cell>
          <cell r="M309">
            <v>149.33333333333334</v>
          </cell>
          <cell r="N309">
            <v>155.12389764462</v>
          </cell>
          <cell r="O309">
            <v>160.91518930627282</v>
          </cell>
          <cell r="P309">
            <v>166.54722093199237</v>
          </cell>
          <cell r="Q309">
            <v>173.20910976927206</v>
          </cell>
          <cell r="R309">
            <v>180.13747416004296</v>
          </cell>
          <cell r="S309">
            <v>187.34297312644469</v>
          </cell>
          <cell r="T309">
            <v>194.8366920515025</v>
          </cell>
        </row>
        <row r="310">
          <cell r="K310" t="str">
            <v>USAServicesStandard70Borrowed</v>
          </cell>
          <cell r="L310" t="str">
            <v>Level A</v>
          </cell>
          <cell r="M310">
            <v>149.33333333333334</v>
          </cell>
          <cell r="N310">
            <v>225.86041053840646</v>
          </cell>
          <cell r="O310">
            <v>234.29253177897226</v>
          </cell>
          <cell r="P310">
            <v>242.49277039123626</v>
          </cell>
          <cell r="Q310">
            <v>252.19248120688573</v>
          </cell>
          <cell r="R310">
            <v>262.28018045516114</v>
          </cell>
          <cell r="S310">
            <v>272.7713876733676</v>
          </cell>
          <cell r="T310">
            <v>283.68224318030229</v>
          </cell>
        </row>
        <row r="311">
          <cell r="K311" t="str">
            <v>USAServicesStandard70Dedicated</v>
          </cell>
          <cell r="L311" t="str">
            <v>Level A</v>
          </cell>
          <cell r="M311">
            <v>149.33333333333334</v>
          </cell>
          <cell r="N311">
            <v>167.30400780622699</v>
          </cell>
          <cell r="O311">
            <v>173.55002353997943</v>
          </cell>
          <cell r="P311">
            <v>179.6242743638787</v>
          </cell>
          <cell r="Q311">
            <v>186.80924533843384</v>
          </cell>
          <cell r="R311">
            <v>194.28161515197121</v>
          </cell>
          <cell r="S311">
            <v>202.05287975805007</v>
          </cell>
          <cell r="T311">
            <v>210.13499494837208</v>
          </cell>
        </row>
        <row r="312">
          <cell r="K312" t="str">
            <v>USAServicesStandard71Borrowed</v>
          </cell>
          <cell r="L312" t="str">
            <v>Level A</v>
          </cell>
          <cell r="M312">
            <v>149.33333333333334</v>
          </cell>
          <cell r="N312">
            <v>255.18401101465111</v>
          </cell>
          <cell r="O312">
            <v>264.71087990858473</v>
          </cell>
          <cell r="P312">
            <v>273.9757607053852</v>
          </cell>
          <cell r="Q312">
            <v>284.93479113360064</v>
          </cell>
          <cell r="R312">
            <v>296.33218277894468</v>
          </cell>
          <cell r="S312">
            <v>308.18547009010246</v>
          </cell>
          <cell r="T312">
            <v>320.51288889370659</v>
          </cell>
        </row>
        <row r="313">
          <cell r="K313" t="str">
            <v>USAServicesStandard71Dedicated</v>
          </cell>
          <cell r="L313" t="str">
            <v>Level A</v>
          </cell>
          <cell r="M313">
            <v>149.33333333333334</v>
          </cell>
          <cell r="N313">
            <v>189.02519334418599</v>
          </cell>
          <cell r="O313">
            <v>196.0821332656183</v>
          </cell>
          <cell r="P313">
            <v>202.94500792991491</v>
          </cell>
          <cell r="Q313">
            <v>211.06280824711152</v>
          </cell>
          <cell r="R313">
            <v>219.50532057699598</v>
          </cell>
          <cell r="S313">
            <v>228.28553340007582</v>
          </cell>
          <cell r="T313">
            <v>237.41695473607885</v>
          </cell>
        </row>
        <row r="314">
          <cell r="K314" t="str">
            <v>USAServicesStandard72Borrowed</v>
          </cell>
          <cell r="L314" t="str">
            <v>Level A</v>
          </cell>
          <cell r="M314">
            <v>149.33333333333334</v>
          </cell>
          <cell r="N314">
            <v>330.37575422937482</v>
          </cell>
          <cell r="O314">
            <v>342.70978128601899</v>
          </cell>
          <cell r="P314">
            <v>354.70462363102962</v>
          </cell>
          <cell r="Q314">
            <v>368.8928085762708</v>
          </cell>
          <cell r="R314">
            <v>383.64852091932164</v>
          </cell>
          <cell r="S314">
            <v>398.99446175609449</v>
          </cell>
          <cell r="T314">
            <v>414.9542402263383</v>
          </cell>
        </row>
        <row r="315">
          <cell r="K315" t="str">
            <v>USAServicesStandard72Dedicated</v>
          </cell>
          <cell r="L315" t="str">
            <v>Level A</v>
          </cell>
          <cell r="M315">
            <v>149.33333333333334</v>
          </cell>
          <cell r="N315">
            <v>244.722780910648</v>
          </cell>
          <cell r="O315">
            <v>253.85909724890294</v>
          </cell>
          <cell r="P315">
            <v>262.74416565261453</v>
          </cell>
          <cell r="Q315">
            <v>273.25393227871911</v>
          </cell>
          <cell r="R315">
            <v>284.18408956986787</v>
          </cell>
          <cell r="S315">
            <v>295.55145315266259</v>
          </cell>
          <cell r="T315">
            <v>307.37351127876912</v>
          </cell>
        </row>
        <row r="316">
          <cell r="K316" t="str">
            <v>USAServicesStandard60Borrowed</v>
          </cell>
          <cell r="L316" t="str">
            <v>Level B</v>
          </cell>
          <cell r="M316">
            <v>149.33333333333334</v>
          </cell>
          <cell r="N316">
            <v>111.8469696794055</v>
          </cell>
          <cell r="O316">
            <v>116.02258950794675</v>
          </cell>
          <cell r="P316">
            <v>120.08338014072487</v>
          </cell>
          <cell r="Q316">
            <v>124.88671534635387</v>
          </cell>
          <cell r="R316">
            <v>129.88218396020804</v>
          </cell>
          <cell r="S316">
            <v>135.07747131861638</v>
          </cell>
          <cell r="T316">
            <v>140.48057017136102</v>
          </cell>
        </row>
        <row r="317">
          <cell r="K317" t="str">
            <v>USAServicesStandard60Dedicated</v>
          </cell>
          <cell r="L317" t="str">
            <v>Level B</v>
          </cell>
          <cell r="M317">
            <v>149.33333333333334</v>
          </cell>
          <cell r="N317">
            <v>82.849607169929996</v>
          </cell>
          <cell r="O317">
            <v>85.942658894775363</v>
          </cell>
          <cell r="P317">
            <v>88.9506519560925</v>
          </cell>
          <cell r="Q317">
            <v>92.508678034336199</v>
          </cell>
          <cell r="R317">
            <v>96.209025155709654</v>
          </cell>
          <cell r="S317">
            <v>100.05738616193804</v>
          </cell>
          <cell r="T317">
            <v>104.05968160841556</v>
          </cell>
        </row>
        <row r="318">
          <cell r="K318" t="str">
            <v>USAServicesStandard61Borrowed</v>
          </cell>
          <cell r="L318" t="str">
            <v>Level B</v>
          </cell>
          <cell r="M318">
            <v>149.33333333333334</v>
          </cell>
          <cell r="N318">
            <v>127.50207457660426</v>
          </cell>
          <cell r="O318">
            <v>132.26215160245724</v>
          </cell>
          <cell r="P318">
            <v>136.89132690854322</v>
          </cell>
          <cell r="Q318">
            <v>142.36697998488495</v>
          </cell>
          <cell r="R318">
            <v>148.06165918428036</v>
          </cell>
          <cell r="S318">
            <v>153.98412555165157</v>
          </cell>
          <cell r="T318">
            <v>160.14349057371763</v>
          </cell>
        </row>
        <row r="319">
          <cell r="K319" t="str">
            <v>USAServicesStandard61Dedicated</v>
          </cell>
          <cell r="L319" t="str">
            <v>Level B</v>
          </cell>
          <cell r="M319">
            <v>149.33333333333334</v>
          </cell>
          <cell r="N319">
            <v>94.445981167854995</v>
          </cell>
          <cell r="O319">
            <v>97.971964149968315</v>
          </cell>
          <cell r="P319">
            <v>101.4009828952172</v>
          </cell>
          <cell r="Q319">
            <v>105.45702221102589</v>
          </cell>
          <cell r="R319">
            <v>109.67530309946693</v>
          </cell>
          <cell r="S319">
            <v>114.06231522344561</v>
          </cell>
          <cell r="T319">
            <v>118.62480783238344</v>
          </cell>
        </row>
        <row r="320">
          <cell r="K320" t="str">
            <v>USAServicesStandard62Borrowed</v>
          </cell>
          <cell r="L320" t="str">
            <v>Level B</v>
          </cell>
          <cell r="M320">
            <v>149.33333333333334</v>
          </cell>
          <cell r="N320">
            <v>143.13907797480812</v>
          </cell>
          <cell r="O320">
            <v>148.48293640873737</v>
          </cell>
          <cell r="P320">
            <v>153.67983918304316</v>
          </cell>
          <cell r="Q320">
            <v>159.82703275036488</v>
          </cell>
          <cell r="R320">
            <v>166.22011406037947</v>
          </cell>
          <cell r="S320">
            <v>172.86891862279467</v>
          </cell>
          <cell r="T320">
            <v>179.78367536770645</v>
          </cell>
        </row>
        <row r="321">
          <cell r="K321" t="str">
            <v>USAServicesStandard62Dedicated</v>
          </cell>
          <cell r="L321" t="str">
            <v>Level B</v>
          </cell>
          <cell r="M321">
            <v>149.33333333333334</v>
          </cell>
          <cell r="N321">
            <v>106.028946648006</v>
          </cell>
          <cell r="O321">
            <v>109.98736030276841</v>
          </cell>
          <cell r="P321">
            <v>113.8369179133653</v>
          </cell>
          <cell r="Q321">
            <v>118.39039462989992</v>
          </cell>
          <cell r="R321">
            <v>123.12601041509592</v>
          </cell>
          <cell r="S321">
            <v>128.05105083169977</v>
          </cell>
          <cell r="T321">
            <v>133.17309286496777</v>
          </cell>
        </row>
        <row r="322">
          <cell r="K322" t="str">
            <v>USAServicesStandard63Borrowed</v>
          </cell>
          <cell r="L322" t="str">
            <v>Level B</v>
          </cell>
          <cell r="M322">
            <v>149.33333333333334</v>
          </cell>
          <cell r="N322">
            <v>159.01939198154386</v>
          </cell>
          <cell r="O322">
            <v>164.9561154187902</v>
          </cell>
          <cell r="P322">
            <v>170.72957945844786</v>
          </cell>
          <cell r="Q322">
            <v>177.55876263678579</v>
          </cell>
          <cell r="R322">
            <v>184.66111314225722</v>
          </cell>
          <cell r="S322">
            <v>192.04755766794753</v>
          </cell>
          <cell r="T322">
            <v>199.72945997466545</v>
          </cell>
        </row>
        <row r="323">
          <cell r="K323" t="str">
            <v>USAServicesStandard63Dedicated</v>
          </cell>
          <cell r="L323" t="str">
            <v>Level B</v>
          </cell>
          <cell r="M323">
            <v>149.33333333333334</v>
          </cell>
          <cell r="N323">
            <v>117.792142208551</v>
          </cell>
          <cell r="O323">
            <v>122.18971512502976</v>
          </cell>
          <cell r="P323">
            <v>126.46635515440579</v>
          </cell>
          <cell r="Q323">
            <v>131.52500936058203</v>
          </cell>
          <cell r="R323">
            <v>136.78600973500531</v>
          </cell>
          <cell r="S323">
            <v>142.25745012440552</v>
          </cell>
          <cell r="T323">
            <v>147.94774812938175</v>
          </cell>
        </row>
        <row r="324">
          <cell r="K324" t="str">
            <v>USAServicesStandard64Borrowed</v>
          </cell>
          <cell r="L324" t="str">
            <v>Level B</v>
          </cell>
          <cell r="M324">
            <v>149.33333333333334</v>
          </cell>
          <cell r="N324">
            <v>168.6806597838771</v>
          </cell>
          <cell r="O324">
            <v>174.97807052020633</v>
          </cell>
          <cell r="P324">
            <v>181.10230298841353</v>
          </cell>
          <cell r="Q324">
            <v>188.34639510795009</v>
          </cell>
          <cell r="R324">
            <v>195.88025091226811</v>
          </cell>
          <cell r="S324">
            <v>203.71546094875885</v>
          </cell>
          <cell r="T324">
            <v>211.86407938670919</v>
          </cell>
        </row>
        <row r="325">
          <cell r="K325" t="str">
            <v>USAServicesStandard64Dedicated</v>
          </cell>
          <cell r="L325" t="str">
            <v>Level B</v>
          </cell>
          <cell r="M325">
            <v>149.33333333333334</v>
          </cell>
          <cell r="N325">
            <v>124.948636876946</v>
          </cell>
          <cell r="O325">
            <v>129.61338557052321</v>
          </cell>
          <cell r="P325">
            <v>134.1498540654915</v>
          </cell>
          <cell r="Q325">
            <v>139.51584822811117</v>
          </cell>
          <cell r="R325">
            <v>145.09648215723561</v>
          </cell>
          <cell r="S325">
            <v>150.90034144352504</v>
          </cell>
          <cell r="T325">
            <v>156.93635510126603</v>
          </cell>
        </row>
        <row r="326">
          <cell r="K326" t="str">
            <v>USAServicesStandard65Borrowed</v>
          </cell>
          <cell r="L326" t="str">
            <v>Level B</v>
          </cell>
          <cell r="M326">
            <v>149.33333333333334</v>
          </cell>
          <cell r="N326">
            <v>183.80219231386306</v>
          </cell>
          <cell r="O326">
            <v>190.66414021423998</v>
          </cell>
          <cell r="P326">
            <v>197.33738512173835</v>
          </cell>
          <cell r="Q326">
            <v>205.2308805266079</v>
          </cell>
          <cell r="R326">
            <v>213.44011574767222</v>
          </cell>
          <cell r="S326">
            <v>221.97772037757912</v>
          </cell>
          <cell r="T326">
            <v>230.85682919268228</v>
          </cell>
        </row>
        <row r="327">
          <cell r="K327" t="str">
            <v>USAServicesStandard65Dedicated</v>
          </cell>
          <cell r="L327" t="str">
            <v>Level B</v>
          </cell>
          <cell r="M327">
            <v>149.33333333333334</v>
          </cell>
          <cell r="N327">
            <v>136.149772084343</v>
          </cell>
          <cell r="O327">
            <v>141.23269645499258</v>
          </cell>
          <cell r="P327">
            <v>146.17584083091731</v>
          </cell>
          <cell r="Q327">
            <v>152.022874464154</v>
          </cell>
          <cell r="R327">
            <v>158.10378944272017</v>
          </cell>
          <cell r="S327">
            <v>164.42794102042899</v>
          </cell>
          <cell r="T327">
            <v>171.00505866124615</v>
          </cell>
        </row>
        <row r="328">
          <cell r="K328" t="str">
            <v>USAServicesStandard66Borrowed</v>
          </cell>
          <cell r="L328" t="str">
            <v>Level B</v>
          </cell>
          <cell r="M328">
            <v>149.33333333333334</v>
          </cell>
          <cell r="N328">
            <v>200.21917688943302</v>
          </cell>
          <cell r="O328">
            <v>207.69402549257461</v>
          </cell>
          <cell r="P328">
            <v>214.9633163848147</v>
          </cell>
          <cell r="Q328">
            <v>223.56184904020731</v>
          </cell>
          <cell r="R328">
            <v>232.50432300181561</v>
          </cell>
          <cell r="S328">
            <v>241.80449592188825</v>
          </cell>
          <cell r="T328">
            <v>251.47667575876378</v>
          </cell>
        </row>
        <row r="329">
          <cell r="K329" t="str">
            <v>USAServicesStandard66Dedicated</v>
          </cell>
          <cell r="L329" t="str">
            <v>Level B</v>
          </cell>
          <cell r="M329">
            <v>149.33333333333334</v>
          </cell>
          <cell r="N329">
            <v>148.31050139958</v>
          </cell>
          <cell r="O329">
            <v>153.84742629079599</v>
          </cell>
          <cell r="P329">
            <v>159.23208621097385</v>
          </cell>
          <cell r="Q329">
            <v>165.6013696594128</v>
          </cell>
          <cell r="R329">
            <v>172.22542444578932</v>
          </cell>
          <cell r="S329">
            <v>179.11444142362089</v>
          </cell>
          <cell r="T329">
            <v>186.27901908056572</v>
          </cell>
        </row>
        <row r="330">
          <cell r="K330" t="str">
            <v>USAServicesStandard54Borrowed</v>
          </cell>
          <cell r="L330" t="str">
            <v>Level C</v>
          </cell>
          <cell r="M330">
            <v>150.66666666666666</v>
          </cell>
          <cell r="N330">
            <v>91.302538077528311</v>
          </cell>
          <cell r="O330">
            <v>94.711165861414244</v>
          </cell>
          <cell r="P330">
            <v>98.026056666563733</v>
          </cell>
          <cell r="Q330">
            <v>101.94709893322629</v>
          </cell>
          <cell r="R330">
            <v>106.02498289055534</v>
          </cell>
          <cell r="S330">
            <v>110.26598220617755</v>
          </cell>
          <cell r="T330">
            <v>114.67662149442467</v>
          </cell>
        </row>
        <row r="331">
          <cell r="K331" t="str">
            <v>USAServicesStandard54Dedicated</v>
          </cell>
          <cell r="L331" t="str">
            <v>Level C</v>
          </cell>
          <cell r="M331">
            <v>150.66666666666666</v>
          </cell>
          <cell r="N331">
            <v>67.631509687057999</v>
          </cell>
          <cell r="O331">
            <v>70.156419156603135</v>
          </cell>
          <cell r="P331">
            <v>72.611893827084245</v>
          </cell>
          <cell r="Q331">
            <v>75.51636958016762</v>
          </cell>
          <cell r="R331">
            <v>78.537024363374329</v>
          </cell>
          <cell r="S331">
            <v>81.6785053379093</v>
          </cell>
          <cell r="T331">
            <v>84.94564555142567</v>
          </cell>
        </row>
        <row r="332">
          <cell r="K332" t="str">
            <v>USAServicesStandard55Borrowed</v>
          </cell>
          <cell r="L332" t="str">
            <v>Level C</v>
          </cell>
          <cell r="M332">
            <v>150.66666666666666</v>
          </cell>
          <cell r="N332">
            <v>111.0906676848861</v>
          </cell>
          <cell r="O332">
            <v>115.2380522414863</v>
          </cell>
          <cell r="P332">
            <v>119.27138406993831</v>
          </cell>
          <cell r="Q332">
            <v>124.04223943273584</v>
          </cell>
          <cell r="R332">
            <v>129.00392901004528</v>
          </cell>
          <cell r="S332">
            <v>134.16408617044709</v>
          </cell>
          <cell r="T332">
            <v>139.53064961726497</v>
          </cell>
        </row>
        <row r="333">
          <cell r="K333" t="str">
            <v>USAServicesStandard55Dedicated</v>
          </cell>
          <cell r="L333" t="str">
            <v>Level C</v>
          </cell>
          <cell r="M333">
            <v>150.66666666666666</v>
          </cell>
          <cell r="N333">
            <v>82.289383470285998</v>
          </cell>
          <cell r="O333">
            <v>85.361520178878735</v>
          </cell>
          <cell r="P333">
            <v>88.34917338513948</v>
          </cell>
          <cell r="Q333">
            <v>91.883140320545067</v>
          </cell>
          <cell r="R333">
            <v>95.558465933366875</v>
          </cell>
          <cell r="S333">
            <v>99.380804570701557</v>
          </cell>
          <cell r="T333">
            <v>103.35603675352962</v>
          </cell>
        </row>
        <row r="334">
          <cell r="K334" t="str">
            <v>USAServicesStandard56Borrowed</v>
          </cell>
          <cell r="L334" t="str">
            <v>Level C</v>
          </cell>
          <cell r="M334">
            <v>150.66666666666666</v>
          </cell>
          <cell r="N334">
            <v>129.61181482557751</v>
          </cell>
          <cell r="O334">
            <v>134.4506554803597</v>
          </cell>
          <cell r="P334">
            <v>139.15642842217227</v>
          </cell>
          <cell r="Q334">
            <v>144.72268555905916</v>
          </cell>
          <cell r="R334">
            <v>150.51159298142153</v>
          </cell>
          <cell r="S334">
            <v>156.5320567006784</v>
          </cell>
          <cell r="T334">
            <v>162.79333896870554</v>
          </cell>
        </row>
        <row r="335">
          <cell r="K335" t="str">
            <v>USAServicesStandard56Dedicated</v>
          </cell>
          <cell r="L335" t="str">
            <v>Level C</v>
          </cell>
          <cell r="M335">
            <v>150.66666666666666</v>
          </cell>
          <cell r="N335">
            <v>96.008751722650004</v>
          </cell>
          <cell r="O335">
            <v>99.593078133599775</v>
          </cell>
          <cell r="P335">
            <v>103.07883586827576</v>
          </cell>
          <cell r="Q335">
            <v>107.2019893030068</v>
          </cell>
          <cell r="R335">
            <v>111.49006887512708</v>
          </cell>
          <cell r="S335">
            <v>115.94967163013217</v>
          </cell>
          <cell r="T335">
            <v>120.58765849533746</v>
          </cell>
        </row>
        <row r="336">
          <cell r="K336" t="str">
            <v>USAServicesStandard57Borrowed</v>
          </cell>
          <cell r="L336" t="str">
            <v>Level C</v>
          </cell>
          <cell r="M336">
            <v>150.66666666666666</v>
          </cell>
          <cell r="N336">
            <v>157.44922004000071</v>
          </cell>
          <cell r="O336">
            <v>163.32732372999669</v>
          </cell>
          <cell r="P336">
            <v>169.04378006054657</v>
          </cell>
          <cell r="Q336">
            <v>175.80553126296843</v>
          </cell>
          <cell r="R336">
            <v>182.83775251348717</v>
          </cell>
          <cell r="S336">
            <v>190.15126261402668</v>
          </cell>
          <cell r="T336">
            <v>197.75731311858775</v>
          </cell>
        </row>
        <row r="337">
          <cell r="K337" t="str">
            <v>USAServicesStandard57Dedicated</v>
          </cell>
          <cell r="L337" t="str">
            <v>Level C</v>
          </cell>
          <cell r="M337">
            <v>150.66666666666666</v>
          </cell>
          <cell r="N337">
            <v>116.629051881482</v>
          </cell>
          <cell r="O337">
            <v>120.98320276296049</v>
          </cell>
          <cell r="P337">
            <v>125.2176148596641</v>
          </cell>
          <cell r="Q337">
            <v>130.22631945405067</v>
          </cell>
          <cell r="R337">
            <v>135.4353722322127</v>
          </cell>
          <cell r="S337">
            <v>140.85278712150122</v>
          </cell>
          <cell r="T337">
            <v>146.48689860636128</v>
          </cell>
        </row>
        <row r="338">
          <cell r="K338" t="str">
            <v>USAServicesStandard50Borrowed</v>
          </cell>
          <cell r="L338" t="str">
            <v>Level D</v>
          </cell>
          <cell r="M338">
            <v>150.66666666666666</v>
          </cell>
          <cell r="N338">
            <v>74.649956782392906</v>
          </cell>
          <cell r="O338">
            <v>77.436888253435725</v>
          </cell>
          <cell r="P338">
            <v>80.147179342305975</v>
          </cell>
          <cell r="Q338">
            <v>83.353066515998222</v>
          </cell>
          <cell r="R338">
            <v>86.687189176638157</v>
          </cell>
          <cell r="S338">
            <v>90.154676743703689</v>
          </cell>
          <cell r="T338">
            <v>93.760863813451834</v>
          </cell>
        </row>
        <row r="339">
          <cell r="K339" t="str">
            <v>USAServicesStandard50Dedicated</v>
          </cell>
          <cell r="L339" t="str">
            <v>Level D</v>
          </cell>
          <cell r="M339">
            <v>150.66666666666666</v>
          </cell>
          <cell r="N339">
            <v>55.296264283253997</v>
          </cell>
          <cell r="O339">
            <v>57.360657965507933</v>
          </cell>
          <cell r="P339">
            <v>59.368280994300704</v>
          </cell>
          <cell r="Q339">
            <v>61.743012234072737</v>
          </cell>
          <cell r="R339">
            <v>64.21273272343565</v>
          </cell>
          <cell r="S339">
            <v>66.781242032373072</v>
          </cell>
          <cell r="T339">
            <v>69.452491713667996</v>
          </cell>
        </row>
        <row r="340">
          <cell r="K340" t="str">
            <v>USAServicesStandard51Borrowed</v>
          </cell>
          <cell r="L340" t="str">
            <v>Level D</v>
          </cell>
          <cell r="M340">
            <v>150.66666666666666</v>
          </cell>
          <cell r="N340">
            <v>94.98297969461251</v>
          </cell>
          <cell r="O340">
            <v>98.52901061993478</v>
          </cell>
          <cell r="P340">
            <v>101.97752599163249</v>
          </cell>
          <cell r="Q340">
            <v>106.05662703129779</v>
          </cell>
          <cell r="R340">
            <v>110.29889211254971</v>
          </cell>
          <cell r="S340">
            <v>114.7108477970517</v>
          </cell>
          <cell r="T340">
            <v>119.29928170893378</v>
          </cell>
        </row>
        <row r="341">
          <cell r="K341" t="str">
            <v>USAServicesStandard51Dedicated</v>
          </cell>
          <cell r="L341" t="str">
            <v>Level D</v>
          </cell>
          <cell r="M341">
            <v>150.66666666666666</v>
          </cell>
          <cell r="N341">
            <v>70.357762736750004</v>
          </cell>
          <cell r="O341">
            <v>72.984452311062796</v>
          </cell>
          <cell r="P341">
            <v>75.538908141949989</v>
          </cell>
          <cell r="Q341">
            <v>78.560464467627995</v>
          </cell>
          <cell r="R341">
            <v>81.702883046333113</v>
          </cell>
          <cell r="S341">
            <v>84.970998368186443</v>
          </cell>
          <cell r="T341">
            <v>88.369838302913905</v>
          </cell>
        </row>
        <row r="342">
          <cell r="K342" t="str">
            <v>USAServicesStandard52Borrowed</v>
          </cell>
          <cell r="L342" t="str">
            <v>Level D</v>
          </cell>
          <cell r="M342">
            <v>150.66666666666666</v>
          </cell>
          <cell r="N342">
            <v>120.24295070606776</v>
          </cell>
          <cell r="O342">
            <v>124.73202046495112</v>
          </cell>
          <cell r="P342">
            <v>129.09764118122439</v>
          </cell>
          <cell r="Q342">
            <v>134.26154682847337</v>
          </cell>
          <cell r="R342">
            <v>139.63200870161231</v>
          </cell>
          <cell r="S342">
            <v>145.21728904967679</v>
          </cell>
          <cell r="T342">
            <v>151.02598061166387</v>
          </cell>
        </row>
        <row r="343">
          <cell r="K343" t="str">
            <v>USAServicesStandard52Dedicated</v>
          </cell>
          <cell r="L343" t="str">
            <v>Level D</v>
          </cell>
          <cell r="M343">
            <v>150.66666666666666</v>
          </cell>
          <cell r="N343">
            <v>89.068852374865003</v>
          </cell>
          <cell r="O343">
            <v>92.394089233297123</v>
          </cell>
          <cell r="P343">
            <v>95.627882356462521</v>
          </cell>
          <cell r="Q343">
            <v>99.452997650721031</v>
          </cell>
          <cell r="R343">
            <v>103.43111755674988</v>
          </cell>
          <cell r="S343">
            <v>107.56836225901988</v>
          </cell>
          <cell r="T343">
            <v>111.87109674938068</v>
          </cell>
        </row>
        <row r="344">
          <cell r="K344" t="str">
            <v>USAServicesStandard53Borrowed</v>
          </cell>
          <cell r="L344" t="str">
            <v>Level D</v>
          </cell>
          <cell r="M344">
            <v>150.66666666666666</v>
          </cell>
          <cell r="N344">
            <v>182.20050845756194</v>
          </cell>
          <cell r="O344">
            <v>189.0026601659759</v>
          </cell>
          <cell r="P344">
            <v>195.61775327178503</v>
          </cell>
          <cell r="Q344">
            <v>203.44246340265644</v>
          </cell>
          <cell r="R344">
            <v>211.5801619387627</v>
          </cell>
          <cell r="S344">
            <v>220.04336841631323</v>
          </cell>
          <cell r="T344">
            <v>228.84510315296578</v>
          </cell>
        </row>
        <row r="345">
          <cell r="K345" t="str">
            <v>USAServicesStandard53Dedicated</v>
          </cell>
          <cell r="L345" t="str">
            <v>Level D</v>
          </cell>
          <cell r="M345">
            <v>150.66666666666666</v>
          </cell>
          <cell r="N345">
            <v>134.96333959819401</v>
          </cell>
          <cell r="O345">
            <v>140.00197049331547</v>
          </cell>
          <cell r="P345">
            <v>144.90203946058151</v>
          </cell>
          <cell r="Q345">
            <v>150.69812103900477</v>
          </cell>
          <cell r="R345">
            <v>156.72604588056498</v>
          </cell>
          <cell r="S345">
            <v>162.99508771578758</v>
          </cell>
          <cell r="T345">
            <v>169.51489122441907</v>
          </cell>
        </row>
        <row r="346">
          <cell r="K346" t="str">
            <v>USAServicesStandard34Borrowed</v>
          </cell>
          <cell r="L346" t="str">
            <v>Level E</v>
          </cell>
          <cell r="M346">
            <v>153.16666666666666</v>
          </cell>
          <cell r="N346">
            <v>54.181823835596404</v>
          </cell>
          <cell r="O346">
            <v>56.204611744852592</v>
          </cell>
          <cell r="P346">
            <v>58.17177315592243</v>
          </cell>
          <cell r="Q346">
            <v>60.498644082159331</v>
          </cell>
          <cell r="R346">
            <v>62.918589845445709</v>
          </cell>
          <cell r="S346">
            <v>65.435333439263545</v>
          </cell>
          <cell r="T346">
            <v>68.052746776834084</v>
          </cell>
        </row>
        <row r="347">
          <cell r="K347" t="str">
            <v>USAServicesStandard34Dedicated</v>
          </cell>
          <cell r="L347" t="str">
            <v>Level E</v>
          </cell>
          <cell r="M347">
            <v>153.16666666666666</v>
          </cell>
          <cell r="N347">
            <v>40.134684322664</v>
          </cell>
          <cell r="O347">
            <v>41.633045736927848</v>
          </cell>
          <cell r="P347">
            <v>43.090202337720321</v>
          </cell>
          <cell r="Q347">
            <v>44.813810431229136</v>
          </cell>
          <cell r="R347">
            <v>46.606362848478305</v>
          </cell>
          <cell r="S347">
            <v>48.470617362417443</v>
          </cell>
          <cell r="T347">
            <v>50.409442056914145</v>
          </cell>
        </row>
        <row r="348">
          <cell r="K348" t="str">
            <v>USAServicesStandard35Borrowed</v>
          </cell>
          <cell r="L348" t="str">
            <v>Level E</v>
          </cell>
          <cell r="M348">
            <v>153.16666666666666</v>
          </cell>
          <cell r="N348">
            <v>70.290147896588252</v>
          </cell>
          <cell r="O348">
            <v>72.914313183760385</v>
          </cell>
          <cell r="P348">
            <v>75.466314145191987</v>
          </cell>
          <cell r="Q348">
            <v>78.484966710999672</v>
          </cell>
          <cell r="R348">
            <v>81.624365379439666</v>
          </cell>
          <cell r="S348">
            <v>84.889339994617259</v>
          </cell>
          <cell r="T348">
            <v>88.284913594401957</v>
          </cell>
        </row>
        <row r="349">
          <cell r="K349" t="str">
            <v>USAServicesStandard35Dedicated</v>
          </cell>
          <cell r="L349" t="str">
            <v>Level E</v>
          </cell>
          <cell r="M349">
            <v>153.16666666666666</v>
          </cell>
          <cell r="N349">
            <v>52.066776219695001</v>
          </cell>
          <cell r="O349">
            <v>54.010602358341032</v>
          </cell>
          <cell r="P349">
            <v>55.900973440882964</v>
          </cell>
          <cell r="Q349">
            <v>58.137012378518286</v>
          </cell>
          <cell r="R349">
            <v>60.462492873659016</v>
          </cell>
          <cell r="S349">
            <v>62.88099258860538</v>
          </cell>
          <cell r="T349">
            <v>65.396232292149591</v>
          </cell>
        </row>
        <row r="350">
          <cell r="K350" t="str">
            <v>USAServicesStandard36Borrowed</v>
          </cell>
          <cell r="L350" t="str">
            <v>Level E</v>
          </cell>
          <cell r="M350">
            <v>153.16666666666666</v>
          </cell>
          <cell r="N350">
            <v>107.82966978951526</v>
          </cell>
          <cell r="O350">
            <v>111.85531043555828</v>
          </cell>
          <cell r="P350">
            <v>115.77024630080281</v>
          </cell>
          <cell r="Q350">
            <v>120.40105615283493</v>
          </cell>
          <cell r="R350">
            <v>125.21709839894832</v>
          </cell>
          <cell r="S350">
            <v>130.22578233490626</v>
          </cell>
          <cell r="T350">
            <v>135.43481362830252</v>
          </cell>
        </row>
        <row r="351">
          <cell r="K351" t="str">
            <v>USAServicesStandard36Dedicated</v>
          </cell>
          <cell r="L351" t="str">
            <v>Level E</v>
          </cell>
          <cell r="M351">
            <v>153.16666666666666</v>
          </cell>
          <cell r="N351">
            <v>79.873829473715006</v>
          </cell>
          <cell r="O351">
            <v>82.85578550782094</v>
          </cell>
          <cell r="P351">
            <v>85.755738000594661</v>
          </cell>
          <cell r="Q351">
            <v>89.185967520618448</v>
          </cell>
          <cell r="R351">
            <v>92.753406221443186</v>
          </cell>
          <cell r="S351">
            <v>96.463542470300922</v>
          </cell>
          <cell r="T351">
            <v>100.32208416911297</v>
          </cell>
        </row>
        <row r="352">
          <cell r="K352" t="str">
            <v>USAServicesStandard30Borrowed</v>
          </cell>
          <cell r="L352" t="str">
            <v>Level F</v>
          </cell>
          <cell r="M352">
            <v>152.5</v>
          </cell>
          <cell r="N352">
            <v>43.156841046781054</v>
          </cell>
          <cell r="O352">
            <v>44.768029635338081</v>
          </cell>
          <cell r="P352">
            <v>46.334910672574914</v>
          </cell>
          <cell r="Q352">
            <v>48.18830709947791</v>
          </cell>
          <cell r="R352">
            <v>50.115839383457029</v>
          </cell>
          <cell r="S352">
            <v>52.120472958795311</v>
          </cell>
          <cell r="T352">
            <v>54.205291877147125</v>
          </cell>
        </row>
        <row r="353">
          <cell r="K353" t="str">
            <v>USAServicesStandard30Dedicated</v>
          </cell>
          <cell r="L353" t="str">
            <v>Level F</v>
          </cell>
          <cell r="M353">
            <v>152.5</v>
          </cell>
          <cell r="N353">
            <v>31.968030405023001</v>
          </cell>
          <cell r="O353">
            <v>33.161503433583761</v>
          </cell>
          <cell r="P353">
            <v>34.322156053759187</v>
          </cell>
          <cell r="Q353">
            <v>35.695042295909559</v>
          </cell>
          <cell r="R353">
            <v>37.122843987745945</v>
          </cell>
          <cell r="S353">
            <v>38.607757747255782</v>
          </cell>
          <cell r="T353">
            <v>40.152068057146018</v>
          </cell>
        </row>
        <row r="354">
          <cell r="K354" t="str">
            <v>USAServicesStandard31Borrowed</v>
          </cell>
          <cell r="L354" t="str">
            <v>Level F</v>
          </cell>
          <cell r="M354">
            <v>152.5</v>
          </cell>
          <cell r="N354">
            <v>52.216925054271755</v>
          </cell>
          <cell r="O354">
            <v>54.16635674890815</v>
          </cell>
          <cell r="P354">
            <v>56.062179235119928</v>
          </cell>
          <cell r="Q354">
            <v>58.304666404524724</v>
          </cell>
          <cell r="R354">
            <v>60.636853060705718</v>
          </cell>
          <cell r="S354">
            <v>63.062327183133952</v>
          </cell>
          <cell r="T354">
            <v>65.584820270459318</v>
          </cell>
        </row>
        <row r="355">
          <cell r="K355" t="str">
            <v>USAServicesStandard31Dedicated</v>
          </cell>
          <cell r="L355" t="str">
            <v>Level F</v>
          </cell>
          <cell r="M355">
            <v>152.5</v>
          </cell>
          <cell r="N355">
            <v>38.679203743904999</v>
          </cell>
          <cell r="O355">
            <v>40.123227221413444</v>
          </cell>
          <cell r="P355">
            <v>41.527540174162908</v>
          </cell>
          <cell r="Q355">
            <v>43.188641781129427</v>
          </cell>
          <cell r="R355">
            <v>44.916187452374608</v>
          </cell>
          <cell r="S355">
            <v>46.712834950469592</v>
          </cell>
          <cell r="T355">
            <v>48.581348348488376</v>
          </cell>
        </row>
        <row r="356">
          <cell r="K356" t="str">
            <v>USAServicesStandard32Borrowed</v>
          </cell>
          <cell r="L356" t="str">
            <v>Level F</v>
          </cell>
          <cell r="M356">
            <v>152.5</v>
          </cell>
          <cell r="N356">
            <v>59.680193987431359</v>
          </cell>
          <cell r="O356">
            <v>61.908254364028153</v>
          </cell>
          <cell r="P356">
            <v>64.075043266769129</v>
          </cell>
          <cell r="Q356">
            <v>66.638044997439891</v>
          </cell>
          <cell r="R356">
            <v>69.303566797337496</v>
          </cell>
          <cell r="S356">
            <v>72.075709469231001</v>
          </cell>
          <cell r="T356">
            <v>74.95873784800024</v>
          </cell>
        </row>
        <row r="357">
          <cell r="K357" t="str">
            <v>USAServicesStandard32Dedicated</v>
          </cell>
          <cell r="L357" t="str">
            <v>Level F</v>
          </cell>
          <cell r="M357">
            <v>152.5</v>
          </cell>
          <cell r="N357">
            <v>44.207551101801002</v>
          </cell>
          <cell r="O357">
            <v>45.857966195576402</v>
          </cell>
          <cell r="P357">
            <v>47.462995012421572</v>
          </cell>
          <cell r="Q357">
            <v>49.361514812918436</v>
          </cell>
          <cell r="R357">
            <v>51.335975405435178</v>
          </cell>
          <cell r="S357">
            <v>53.389414421652589</v>
          </cell>
          <cell r="T357">
            <v>55.524990998518696</v>
          </cell>
        </row>
        <row r="358">
          <cell r="K358" t="str">
            <v>USAServicesStandard33Borrowed</v>
          </cell>
          <cell r="L358" t="str">
            <v>Level F</v>
          </cell>
          <cell r="M358">
            <v>152.5</v>
          </cell>
          <cell r="N358">
            <v>67.306466389428451</v>
          </cell>
          <cell r="O358">
            <v>69.819240910278893</v>
          </cell>
          <cell r="P358">
            <v>72.262914342138643</v>
          </cell>
          <cell r="Q358">
            <v>75.153430915824188</v>
          </cell>
          <cell r="R358">
            <v>78.159568152457155</v>
          </cell>
          <cell r="S358">
            <v>81.28595087855544</v>
          </cell>
          <cell r="T358">
            <v>84.537388913697654</v>
          </cell>
        </row>
        <row r="359">
          <cell r="K359" t="str">
            <v>USAServicesStandard33Dedicated</v>
          </cell>
          <cell r="L359" t="str">
            <v>Level F</v>
          </cell>
          <cell r="M359">
            <v>152.5</v>
          </cell>
          <cell r="N359">
            <v>49.856641769946997</v>
          </cell>
          <cell r="O359">
            <v>51.717956229836211</v>
          </cell>
          <cell r="P359">
            <v>53.528084697880473</v>
          </cell>
          <cell r="Q359">
            <v>55.669208085795695</v>
          </cell>
          <cell r="R359">
            <v>57.895976409227522</v>
          </cell>
          <cell r="S359">
            <v>60.211815465596622</v>
          </cell>
          <cell r="T359">
            <v>62.620288084220491</v>
          </cell>
        </row>
        <row r="360">
          <cell r="K360" t="str">
            <v>USAServicesStandard24Borrowed</v>
          </cell>
          <cell r="L360" t="str">
            <v>Level G</v>
          </cell>
          <cell r="M360">
            <v>156.75</v>
          </cell>
          <cell r="N360">
            <v>34.882595853439952</v>
          </cell>
          <cell r="O360">
            <v>36.18487931569306</v>
          </cell>
          <cell r="P360">
            <v>37.451350091742313</v>
          </cell>
          <cell r="Q360">
            <v>38.949404095412007</v>
          </cell>
          <cell r="R360">
            <v>40.507380259228491</v>
          </cell>
          <cell r="S360">
            <v>42.127675469597634</v>
          </cell>
          <cell r="T360">
            <v>43.812782488381544</v>
          </cell>
        </row>
        <row r="361">
          <cell r="K361" t="str">
            <v>USAServicesStandard24Dedicated</v>
          </cell>
          <cell r="L361" t="str">
            <v>Level G</v>
          </cell>
          <cell r="M361">
            <v>156.75</v>
          </cell>
          <cell r="N361">
            <v>25.838959891437</v>
          </cell>
          <cell r="O361">
            <v>26.803614307920782</v>
          </cell>
          <cell r="P361">
            <v>27.741740808698008</v>
          </cell>
          <cell r="Q361">
            <v>28.851410441045928</v>
          </cell>
          <cell r="R361">
            <v>30.005466858687765</v>
          </cell>
          <cell r="S361">
            <v>31.205685533035275</v>
          </cell>
          <cell r="T361">
            <v>32.453912954356689</v>
          </cell>
        </row>
        <row r="362">
          <cell r="K362" t="str">
            <v>USAServicesStandard25Borrowed</v>
          </cell>
          <cell r="L362" t="str">
            <v>Level G</v>
          </cell>
          <cell r="M362">
            <v>156.75</v>
          </cell>
          <cell r="N362">
            <v>42.070060726352104</v>
          </cell>
          <cell r="O362">
            <v>43.640676186569046</v>
          </cell>
          <cell r="P362">
            <v>45.168099853098958</v>
          </cell>
          <cell r="Q362">
            <v>46.974823847222922</v>
          </cell>
          <cell r="R362">
            <v>48.85381680111184</v>
          </cell>
          <cell r="S362">
            <v>50.807969473156312</v>
          </cell>
          <cell r="T362">
            <v>52.840288252082566</v>
          </cell>
        </row>
        <row r="363">
          <cell r="K363" t="str">
            <v>USAServicesStandard25Dedicated</v>
          </cell>
          <cell r="L363" t="str">
            <v>Level G</v>
          </cell>
          <cell r="M363">
            <v>156.75</v>
          </cell>
          <cell r="N363">
            <v>31.163007945446001</v>
          </cell>
          <cell r="O363">
            <v>32.32642680486596</v>
          </cell>
          <cell r="P363">
            <v>33.457851743036265</v>
          </cell>
          <cell r="Q363">
            <v>34.796165812757714</v>
          </cell>
          <cell r="R363">
            <v>36.188012445268022</v>
          </cell>
          <cell r="S363">
            <v>37.635532943078744</v>
          </cell>
          <cell r="T363">
            <v>39.140954260801898</v>
          </cell>
        </row>
        <row r="364">
          <cell r="K364" t="str">
            <v>USAServicesStandard26Borrowed</v>
          </cell>
          <cell r="L364" t="str">
            <v>Level G</v>
          </cell>
          <cell r="M364">
            <v>156.75</v>
          </cell>
          <cell r="N364">
            <v>54.736012139329347</v>
          </cell>
          <cell r="O364">
            <v>56.779489743410942</v>
          </cell>
          <cell r="P364">
            <v>58.76677188443032</v>
          </cell>
          <cell r="Q364">
            <v>61.117442759807531</v>
          </cell>
          <cell r="R364">
            <v>63.562140470199836</v>
          </cell>
          <cell r="S364">
            <v>66.104626089007837</v>
          </cell>
          <cell r="T364">
            <v>68.74881113256815</v>
          </cell>
        </row>
        <row r="365">
          <cell r="K365" t="str">
            <v>USAServicesStandard26Dedicated</v>
          </cell>
          <cell r="L365" t="str">
            <v>Level G</v>
          </cell>
          <cell r="M365">
            <v>156.75</v>
          </cell>
          <cell r="N365">
            <v>40.545194177280997</v>
          </cell>
          <cell r="O365">
            <v>42.05888129141551</v>
          </cell>
          <cell r="P365">
            <v>43.530942136615046</v>
          </cell>
          <cell r="Q365">
            <v>45.27217982207965</v>
          </cell>
          <cell r="R365">
            <v>47.083067014962836</v>
          </cell>
          <cell r="S365">
            <v>48.966389695561354</v>
          </cell>
          <cell r="T365">
            <v>50.92504528338381</v>
          </cell>
        </row>
        <row r="366">
          <cell r="K366" t="str">
            <v>USAServicesStandard22Borrowed</v>
          </cell>
          <cell r="L366" t="str">
            <v>Level H</v>
          </cell>
          <cell r="M366">
            <v>157.33333333333334</v>
          </cell>
          <cell r="N366">
            <v>27.423739864587603</v>
          </cell>
          <cell r="O366">
            <v>28.44755939478641</v>
          </cell>
          <cell r="P366">
            <v>29.443223973603931</v>
          </cell>
          <cell r="Q366">
            <v>30.620952932548089</v>
          </cell>
          <cell r="R366">
            <v>31.845791049850014</v>
          </cell>
          <cell r="S366">
            <v>33.119622691844015</v>
          </cell>
          <cell r="T366">
            <v>34.444407599517774</v>
          </cell>
        </row>
        <row r="367">
          <cell r="K367" t="str">
            <v>USAServicesStandard22Dedicated</v>
          </cell>
          <cell r="L367" t="str">
            <v>Level H</v>
          </cell>
          <cell r="M367">
            <v>157.33333333333334</v>
          </cell>
          <cell r="N367">
            <v>20.313881381176</v>
          </cell>
          <cell r="O367">
            <v>21.072266218360301</v>
          </cell>
          <cell r="P367">
            <v>21.809795536002909</v>
          </cell>
          <cell r="Q367">
            <v>22.682187357443027</v>
          </cell>
          <cell r="R367">
            <v>23.58947485174075</v>
          </cell>
          <cell r="S367">
            <v>24.533053845810382</v>
          </cell>
          <cell r="T367">
            <v>25.514375999642798</v>
          </cell>
        </row>
        <row r="368">
          <cell r="K368" t="str">
            <v>USAServicesStandard23Borrowed</v>
          </cell>
          <cell r="L368" t="str">
            <v>Level H</v>
          </cell>
          <cell r="M368">
            <v>157.33333333333334</v>
          </cell>
          <cell r="N368">
            <v>35.823384943483951</v>
          </cell>
          <cell r="O368">
            <v>37.160791195296071</v>
          </cell>
          <cell r="P368">
            <v>38.46141888713143</v>
          </cell>
          <cell r="Q368">
            <v>39.999875642616686</v>
          </cell>
          <cell r="R368">
            <v>41.599870668321358</v>
          </cell>
          <cell r="S368">
            <v>43.263865495054212</v>
          </cell>
          <cell r="T368">
            <v>44.994420114856382</v>
          </cell>
        </row>
        <row r="369">
          <cell r="K369" t="str">
            <v>USAServicesStandard23Dedicated</v>
          </cell>
          <cell r="L369" t="str">
            <v>Level H</v>
          </cell>
          <cell r="M369">
            <v>157.33333333333334</v>
          </cell>
          <cell r="N369">
            <v>26.535840698876999</v>
          </cell>
          <cell r="O369">
            <v>27.526511996515605</v>
          </cell>
          <cell r="P369">
            <v>28.489939916393649</v>
          </cell>
          <cell r="Q369">
            <v>29.629537513049396</v>
          </cell>
          <cell r="R369">
            <v>30.814719013571374</v>
          </cell>
          <cell r="S369">
            <v>32.04730777411423</v>
          </cell>
          <cell r="T369">
            <v>33.329200085078803</v>
          </cell>
        </row>
        <row r="370">
          <cell r="K370" t="str">
            <v>USAServicesStandard80Borrowed</v>
          </cell>
          <cell r="L370" t="str">
            <v>Sr. Executive</v>
          </cell>
          <cell r="M370">
            <v>149.33333333333334</v>
          </cell>
          <cell r="N370">
            <v>188.41600351185707</v>
          </cell>
          <cell r="O370">
            <v>195.4502003482464</v>
          </cell>
          <cell r="P370">
            <v>202.29095736043502</v>
          </cell>
          <cell r="Q370">
            <v>210.38259565485242</v>
          </cell>
          <cell r="R370">
            <v>218.79789948104653</v>
          </cell>
          <cell r="S370">
            <v>227.54981546028839</v>
          </cell>
          <cell r="T370">
            <v>236.65180807869993</v>
          </cell>
        </row>
        <row r="371">
          <cell r="K371" t="str">
            <v>USAServicesStandard80Dedicated</v>
          </cell>
          <cell r="L371" t="str">
            <v>Sr. Executive</v>
          </cell>
          <cell r="M371">
            <v>149.33333333333334</v>
          </cell>
          <cell r="N371">
            <v>139.56741000878301</v>
          </cell>
          <cell r="O371">
            <v>144.77792618388622</v>
          </cell>
          <cell r="P371">
            <v>149.84515360032222</v>
          </cell>
          <cell r="Q371">
            <v>155.83895974433511</v>
          </cell>
          <cell r="R371">
            <v>162.07251813410852</v>
          </cell>
          <cell r="S371">
            <v>168.55541885947287</v>
          </cell>
          <cell r="T371">
            <v>175.29763561385178</v>
          </cell>
        </row>
        <row r="372">
          <cell r="K372" t="str">
            <v>USAServicesStandard81Borrowed</v>
          </cell>
          <cell r="L372" t="str">
            <v>Sr. Executive</v>
          </cell>
          <cell r="M372">
            <v>149.33333333333334</v>
          </cell>
          <cell r="N372">
            <v>211.79568410462656</v>
          </cell>
          <cell r="O372">
            <v>219.70272227188036</v>
          </cell>
          <cell r="P372">
            <v>227.39231755139616</v>
          </cell>
          <cell r="Q372">
            <v>236.48801025345202</v>
          </cell>
          <cell r="R372">
            <v>245.9475306635901</v>
          </cell>
          <cell r="S372">
            <v>255.78543189013371</v>
          </cell>
          <cell r="T372">
            <v>266.01684916573907</v>
          </cell>
        </row>
        <row r="373">
          <cell r="K373" t="str">
            <v>USAServicesStandard81Dedicated</v>
          </cell>
          <cell r="L373" t="str">
            <v>Sr. Executive</v>
          </cell>
          <cell r="M373">
            <v>149.33333333333334</v>
          </cell>
          <cell r="N373">
            <v>156.88569192935299</v>
          </cell>
          <cell r="O373">
            <v>162.74275723842987</v>
          </cell>
          <cell r="P373">
            <v>168.43875374177492</v>
          </cell>
          <cell r="Q373">
            <v>175.17630389144591</v>
          </cell>
          <cell r="R373">
            <v>182.18335604710376</v>
          </cell>
          <cell r="S373">
            <v>189.47069028898792</v>
          </cell>
          <cell r="T373">
            <v>197.04951790054744</v>
          </cell>
        </row>
        <row r="374">
          <cell r="K374" t="str">
            <v>USAServicesStandard82Borrowed</v>
          </cell>
          <cell r="L374" t="str">
            <v>Sr. Executive</v>
          </cell>
          <cell r="M374">
            <v>149.33333333333334</v>
          </cell>
          <cell r="N374">
            <v>231.20431554289905</v>
          </cell>
          <cell r="O374">
            <v>239.83594255248624</v>
          </cell>
          <cell r="P374">
            <v>248.23020054182325</v>
          </cell>
          <cell r="Q374">
            <v>258.15940856349619</v>
          </cell>
          <cell r="R374">
            <v>268.48578490603603</v>
          </cell>
          <cell r="S374">
            <v>279.22521630227749</v>
          </cell>
          <cell r="T374">
            <v>290.39422495436861</v>
          </cell>
        </row>
        <row r="375">
          <cell r="K375" t="str">
            <v>USAServicesStandard82Dedicated</v>
          </cell>
          <cell r="L375" t="str">
            <v>Sr. Executive</v>
          </cell>
          <cell r="M375">
            <v>149.33333333333334</v>
          </cell>
          <cell r="N375">
            <v>171.262455957703</v>
          </cell>
          <cell r="O375">
            <v>177.65625374258241</v>
          </cell>
          <cell r="P375">
            <v>183.87422262357279</v>
          </cell>
          <cell r="Q375">
            <v>191.22919152851571</v>
          </cell>
          <cell r="R375">
            <v>198.87835918965635</v>
          </cell>
          <cell r="S375">
            <v>206.8334935572426</v>
          </cell>
          <cell r="T375">
            <v>215.10683329953233</v>
          </cell>
        </row>
        <row r="376">
          <cell r="K376" t="str">
            <v>USAServicesStandard83Borrowed</v>
          </cell>
          <cell r="L376" t="str">
            <v>Sr. Executive</v>
          </cell>
          <cell r="M376">
            <v>149.33333333333334</v>
          </cell>
          <cell r="N376">
            <v>253.73127539384416</v>
          </cell>
          <cell r="O376">
            <v>263.20390882944344</v>
          </cell>
          <cell r="P376">
            <v>272.41604563847392</v>
          </cell>
          <cell r="Q376">
            <v>283.31268746401287</v>
          </cell>
          <cell r="R376">
            <v>294.64519496257338</v>
          </cell>
          <cell r="S376">
            <v>306.43100276107634</v>
          </cell>
          <cell r="T376">
            <v>318.68824287151944</v>
          </cell>
        </row>
        <row r="377">
          <cell r="K377" t="str">
            <v>USAServicesStandard83Dedicated</v>
          </cell>
          <cell r="L377" t="str">
            <v>Sr. Executive</v>
          </cell>
          <cell r="M377">
            <v>149.33333333333334</v>
          </cell>
          <cell r="N377">
            <v>187.94909288432899</v>
          </cell>
          <cell r="O377">
            <v>194.96585839218031</v>
          </cell>
          <cell r="P377">
            <v>201.78966343590659</v>
          </cell>
          <cell r="Q377">
            <v>209.86124997334286</v>
          </cell>
          <cell r="R377">
            <v>218.25569997227657</v>
          </cell>
          <cell r="S377">
            <v>226.98592797116765</v>
          </cell>
          <cell r="T377">
            <v>236.06536509001438</v>
          </cell>
        </row>
        <row r="378">
          <cell r="K378" t="str">
            <v>USAServicesStandard84Borrowed</v>
          </cell>
          <cell r="L378" t="str">
            <v>Sr. Executive</v>
          </cell>
          <cell r="M378">
            <v>149.33333333333334</v>
          </cell>
          <cell r="N378">
            <v>287.14297920751801</v>
          </cell>
          <cell r="O378">
            <v>297.86298280745541</v>
          </cell>
          <cell r="P378">
            <v>308.28818720571633</v>
          </cell>
          <cell r="Q378">
            <v>320.61971469394501</v>
          </cell>
          <cell r="R378">
            <v>333.44450328170285</v>
          </cell>
          <cell r="S378">
            <v>346.78228341297097</v>
          </cell>
          <cell r="T378">
            <v>360.65357474948979</v>
          </cell>
        </row>
        <row r="379">
          <cell r="K379" t="str">
            <v>USAServicesStandard84Dedicated</v>
          </cell>
          <cell r="L379" t="str">
            <v>Sr. Executive</v>
          </cell>
          <cell r="M379">
            <v>149.33333333333334</v>
          </cell>
          <cell r="N379">
            <v>212.69850311668</v>
          </cell>
          <cell r="O379">
            <v>220.63924652404106</v>
          </cell>
          <cell r="P379">
            <v>228.36162015238247</v>
          </cell>
          <cell r="Q379">
            <v>237.49608495847778</v>
          </cell>
          <cell r="R379">
            <v>246.9959283568169</v>
          </cell>
          <cell r="S379">
            <v>256.87576549108957</v>
          </cell>
          <cell r="T379">
            <v>267.15079611073315</v>
          </cell>
        </row>
        <row r="380">
          <cell r="K380" t="str">
            <v>USAServicesStandard85Borrowed</v>
          </cell>
          <cell r="L380" t="str">
            <v>Sr. Executive</v>
          </cell>
          <cell r="M380">
            <v>149.33333333333334</v>
          </cell>
          <cell r="N380">
            <v>314.98606571891401</v>
          </cell>
          <cell r="O380">
            <v>326.74554445579992</v>
          </cell>
          <cell r="P380">
            <v>338.18163851175291</v>
          </cell>
          <cell r="Q380">
            <v>351.70890405222303</v>
          </cell>
          <cell r="R380">
            <v>365.77726021431198</v>
          </cell>
          <cell r="S380">
            <v>380.40835062288448</v>
          </cell>
          <cell r="T380">
            <v>395.62468464779988</v>
          </cell>
        </row>
        <row r="381">
          <cell r="K381" t="str">
            <v>USAServicesStandard85Dedicated</v>
          </cell>
          <cell r="L381" t="str">
            <v>Sr. Executive</v>
          </cell>
          <cell r="M381">
            <v>149.33333333333334</v>
          </cell>
          <cell r="N381">
            <v>233.32301164364</v>
          </cell>
          <cell r="O381">
            <v>242.03373663392586</v>
          </cell>
          <cell r="P381">
            <v>250.50491741611324</v>
          </cell>
          <cell r="Q381">
            <v>260.52511411275776</v>
          </cell>
          <cell r="R381">
            <v>270.94611867726809</v>
          </cell>
          <cell r="S381">
            <v>281.78396342435883</v>
          </cell>
          <cell r="T381">
            <v>293.05532196133322</v>
          </cell>
        </row>
        <row r="382">
          <cell r="K382" t="str">
            <v>USAServicesStandard86Borrowed</v>
          </cell>
          <cell r="L382" t="str">
            <v>Sr. Executive</v>
          </cell>
          <cell r="M382">
            <v>149.33333333333334</v>
          </cell>
          <cell r="N382">
            <v>341.37994239959312</v>
          </cell>
          <cell r="O382">
            <v>354.12479244457813</v>
          </cell>
          <cell r="P382">
            <v>366.51916018013833</v>
          </cell>
          <cell r="Q382">
            <v>381.17992658734386</v>
          </cell>
          <cell r="R382">
            <v>396.42712365083764</v>
          </cell>
          <cell r="S382">
            <v>412.28420859687117</v>
          </cell>
          <cell r="T382">
            <v>428.77557694074602</v>
          </cell>
        </row>
        <row r="383">
          <cell r="K383" t="str">
            <v>USAServicesStandard86Dedicated</v>
          </cell>
          <cell r="L383" t="str">
            <v>Sr. Executive</v>
          </cell>
          <cell r="M383">
            <v>149.33333333333334</v>
          </cell>
          <cell r="N383">
            <v>252.874031407106</v>
          </cell>
          <cell r="O383">
            <v>262.31466107005787</v>
          </cell>
          <cell r="P383">
            <v>271.49567420750986</v>
          </cell>
          <cell r="Q383">
            <v>282.35550117581028</v>
          </cell>
          <cell r="R383">
            <v>293.64972122284269</v>
          </cell>
          <cell r="S383">
            <v>305.39571007175641</v>
          </cell>
          <cell r="T383">
            <v>317.61153847462668</v>
          </cell>
        </row>
        <row r="384">
          <cell r="K384" t="str">
            <v>USAServicesStandard87Borrowed</v>
          </cell>
          <cell r="L384" t="str">
            <v>Sr. Executive</v>
          </cell>
          <cell r="M384">
            <v>149.33333333333334</v>
          </cell>
          <cell r="N384">
            <v>398.32311081665205</v>
          </cell>
          <cell r="O384">
            <v>413.19383895939671</v>
          </cell>
          <cell r="P384">
            <v>427.65562332297554</v>
          </cell>
          <cell r="Q384">
            <v>444.76184825589456</v>
          </cell>
          <cell r="R384">
            <v>462.55232218613037</v>
          </cell>
          <cell r="S384">
            <v>481.05441507357563</v>
          </cell>
          <cell r="T384">
            <v>500.29659167651869</v>
          </cell>
        </row>
        <row r="385">
          <cell r="K385" t="str">
            <v>USAServicesStandard87Dedicated</v>
          </cell>
          <cell r="L385" t="str">
            <v>Sr. Executive</v>
          </cell>
          <cell r="M385">
            <v>149.33333333333334</v>
          </cell>
          <cell r="N385">
            <v>295.05415616048299</v>
          </cell>
          <cell r="O385">
            <v>306.06951034029385</v>
          </cell>
          <cell r="P385">
            <v>316.7819432022041</v>
          </cell>
          <cell r="Q385">
            <v>329.45322093029228</v>
          </cell>
          <cell r="R385">
            <v>342.63134976750399</v>
          </cell>
          <cell r="S385">
            <v>356.33660375820415</v>
          </cell>
          <cell r="T385">
            <v>370.59006790853232</v>
          </cell>
        </row>
        <row r="386">
          <cell r="K386" t="str">
            <v>USAServicesStandard88Borrowed</v>
          </cell>
          <cell r="L386" t="str">
            <v>Sr. Executive</v>
          </cell>
          <cell r="M386">
            <v>149.33333333333334</v>
          </cell>
          <cell r="N386">
            <v>435.1158796166456</v>
          </cell>
          <cell r="O386">
            <v>451.36020433861415</v>
          </cell>
          <cell r="P386">
            <v>467.15781149046563</v>
          </cell>
          <cell r="Q386">
            <v>485.84412395008428</v>
          </cell>
          <cell r="R386">
            <v>505.27788890808768</v>
          </cell>
          <cell r="S386">
            <v>525.48900446441121</v>
          </cell>
          <cell r="T386">
            <v>546.50856464298772</v>
          </cell>
        </row>
        <row r="387">
          <cell r="K387" t="str">
            <v>USAServicesStandard88Dedicated</v>
          </cell>
          <cell r="L387" t="str">
            <v>Sr. Executive</v>
          </cell>
          <cell r="M387">
            <v>149.33333333333334</v>
          </cell>
          <cell r="N387">
            <v>322.30805897529302</v>
          </cell>
          <cell r="O387">
            <v>334.34089210267712</v>
          </cell>
          <cell r="P387">
            <v>346.04282332627076</v>
          </cell>
          <cell r="Q387">
            <v>359.88453625932158</v>
          </cell>
          <cell r="R387">
            <v>374.27991770969447</v>
          </cell>
          <cell r="S387">
            <v>389.25111441808224</v>
          </cell>
          <cell r="T387">
            <v>404.82115899480556</v>
          </cell>
        </row>
        <row r="388">
          <cell r="K388" t="str">
            <v>USAServicesStandard89Borrowed</v>
          </cell>
          <cell r="L388" t="str">
            <v>Sr. Executive</v>
          </cell>
          <cell r="M388">
            <v>149.33333333333334</v>
          </cell>
          <cell r="N388">
            <v>462.71045621664007</v>
          </cell>
          <cell r="O388">
            <v>479.98497837302648</v>
          </cell>
          <cell r="P388">
            <v>496.78445261608238</v>
          </cell>
          <cell r="Q388">
            <v>516.6558307207257</v>
          </cell>
          <cell r="R388">
            <v>537.32206394955472</v>
          </cell>
          <cell r="S388">
            <v>558.81494650753689</v>
          </cell>
          <cell r="T388">
            <v>581.16754436783833</v>
          </cell>
        </row>
        <row r="389">
          <cell r="K389" t="str">
            <v>USAServicesStandard89Dedicated</v>
          </cell>
          <cell r="L389" t="str">
            <v>Sr. Executive</v>
          </cell>
          <cell r="M389">
            <v>149.33333333333334</v>
          </cell>
          <cell r="N389">
            <v>342.74848608640002</v>
          </cell>
          <cell r="O389">
            <v>355.544428424464</v>
          </cell>
          <cell r="P389">
            <v>367.98848341932023</v>
          </cell>
          <cell r="Q389">
            <v>382.70802275609304</v>
          </cell>
          <cell r="R389">
            <v>398.01634366633675</v>
          </cell>
          <cell r="S389">
            <v>413.93699741299025</v>
          </cell>
          <cell r="T389">
            <v>430.49447730950988</v>
          </cell>
        </row>
        <row r="390">
          <cell r="K390" t="str">
            <v>USAServicesStandard90Borrowed</v>
          </cell>
          <cell r="L390" t="str">
            <v>Sr. Executive</v>
          </cell>
          <cell r="M390">
            <v>149.33333333333334</v>
          </cell>
          <cell r="N390">
            <v>554.99231926662162</v>
          </cell>
          <cell r="O390">
            <v>575.71203066926785</v>
          </cell>
          <cell r="P390">
            <v>595.86195174269221</v>
          </cell>
          <cell r="Q390">
            <v>619.69642981239997</v>
          </cell>
          <cell r="R390">
            <v>644.48428700489603</v>
          </cell>
          <cell r="S390">
            <v>670.26365848509192</v>
          </cell>
          <cell r="T390">
            <v>697.07420482449561</v>
          </cell>
        </row>
        <row r="391">
          <cell r="K391" t="str">
            <v>USAServicesStandard90Dedicated</v>
          </cell>
          <cell r="L391" t="str">
            <v>Sr. Executive</v>
          </cell>
          <cell r="M391">
            <v>149.33333333333334</v>
          </cell>
          <cell r="N391">
            <v>411.10542167897898</v>
          </cell>
          <cell r="O391">
            <v>426.45335605130947</v>
          </cell>
          <cell r="P391">
            <v>441.37922351310527</v>
          </cell>
          <cell r="Q391">
            <v>459.03439245362949</v>
          </cell>
          <cell r="R391">
            <v>477.39576815177469</v>
          </cell>
          <cell r="S391">
            <v>496.49159887784572</v>
          </cell>
          <cell r="T391">
            <v>516.35126283295961</v>
          </cell>
        </row>
        <row r="392">
          <cell r="K392" t="str">
            <v>USAServicesStandard91Borrowed</v>
          </cell>
          <cell r="L392" t="str">
            <v>Sr. Executive</v>
          </cell>
          <cell r="M392">
            <v>149.33333333333334</v>
          </cell>
          <cell r="N392">
            <v>683.19759072948762</v>
          </cell>
          <cell r="O392">
            <v>708.70363183939651</v>
          </cell>
          <cell r="P392">
            <v>733.50825895377534</v>
          </cell>
          <cell r="Q392">
            <v>762.84858931192639</v>
          </cell>
          <cell r="R392">
            <v>793.36253288440344</v>
          </cell>
          <cell r="S392">
            <v>825.09703419977961</v>
          </cell>
          <cell r="T392">
            <v>858.10091556777081</v>
          </cell>
        </row>
        <row r="393">
          <cell r="K393" t="str">
            <v>USAServicesStandard91Dedicated</v>
          </cell>
          <cell r="L393" t="str">
            <v>Sr. Executive</v>
          </cell>
          <cell r="M393">
            <v>149.33333333333334</v>
          </cell>
          <cell r="N393">
            <v>506.07228942925002</v>
          </cell>
          <cell r="O393">
            <v>524.96565321436776</v>
          </cell>
          <cell r="P393">
            <v>543.33945107687055</v>
          </cell>
          <cell r="Q393">
            <v>565.07302911994543</v>
          </cell>
          <cell r="R393">
            <v>587.67595028474329</v>
          </cell>
          <cell r="S393">
            <v>611.18298829613309</v>
          </cell>
          <cell r="T393">
            <v>635.63030782797841</v>
          </cell>
        </row>
        <row r="394">
          <cell r="K394" t="str">
            <v>USAServicesStandard92Borrowed</v>
          </cell>
          <cell r="L394" t="str">
            <v>Sr. Executive</v>
          </cell>
          <cell r="M394">
            <v>149.33333333333334</v>
          </cell>
          <cell r="N394">
            <v>867.43091301656182</v>
          </cell>
          <cell r="O394">
            <v>899.81499754441052</v>
          </cell>
          <cell r="P394">
            <v>931.30852245846484</v>
          </cell>
          <cell r="Q394">
            <v>968.56086335680345</v>
          </cell>
          <cell r="R394">
            <v>1007.3032978910757</v>
          </cell>
          <cell r="S394">
            <v>1047.5954298067188</v>
          </cell>
          <cell r="T394">
            <v>1089.4992469989877</v>
          </cell>
        </row>
        <row r="395">
          <cell r="K395" t="str">
            <v>USAServicesStandard92Dedicated</v>
          </cell>
          <cell r="L395" t="str">
            <v>Sr. Executive</v>
          </cell>
          <cell r="M395">
            <v>149.33333333333334</v>
          </cell>
          <cell r="N395">
            <v>642.54141704930498</v>
          </cell>
          <cell r="O395">
            <v>666.52962781067436</v>
          </cell>
          <cell r="P395">
            <v>689.85816478404786</v>
          </cell>
          <cell r="Q395">
            <v>717.45249137540975</v>
          </cell>
          <cell r="R395">
            <v>746.1505910304262</v>
          </cell>
          <cell r="S395">
            <v>775.99661467164333</v>
          </cell>
          <cell r="T395">
            <v>807.03647925850908</v>
          </cell>
        </row>
        <row r="396">
          <cell r="K396" t="str">
            <v>USAServicesStandard93Borrowed</v>
          </cell>
          <cell r="L396" t="str">
            <v>Sr. Executive</v>
          </cell>
          <cell r="M396">
            <v>149.33333333333334</v>
          </cell>
          <cell r="N396">
            <v>1304.3450425164767</v>
          </cell>
          <cell r="O396">
            <v>1353.0405864226084</v>
          </cell>
          <cell r="P396">
            <v>1400.3970069473996</v>
          </cell>
          <cell r="Q396">
            <v>1456.4128872252957</v>
          </cell>
          <cell r="R396">
            <v>1514.6694027143076</v>
          </cell>
          <cell r="S396">
            <v>1575.25617882288</v>
          </cell>
          <cell r="T396">
            <v>1638.2664259757953</v>
          </cell>
        </row>
        <row r="397">
          <cell r="K397" t="str">
            <v>USAServicesStandard93Dedicated</v>
          </cell>
          <cell r="L397" t="str">
            <v>Sr. Executive</v>
          </cell>
          <cell r="M397">
            <v>149.33333333333334</v>
          </cell>
          <cell r="N397">
            <v>966.18151297516795</v>
          </cell>
          <cell r="O397">
            <v>1002.2522862389692</v>
          </cell>
          <cell r="P397">
            <v>1037.331116257333</v>
          </cell>
          <cell r="Q397">
            <v>1078.8243609076262</v>
          </cell>
          <cell r="R397">
            <v>1121.9773353439314</v>
          </cell>
          <cell r="S397">
            <v>1166.8564287576887</v>
          </cell>
          <cell r="T397">
            <v>1213.5306859079963</v>
          </cell>
        </row>
        <row r="398">
          <cell r="K398" t="str">
            <v>USAServicesStandard94Borrowed</v>
          </cell>
          <cell r="L398" t="str">
            <v>Sr. Executive</v>
          </cell>
          <cell r="M398">
            <v>149.33333333333334</v>
          </cell>
          <cell r="N398">
            <v>2776.0557945161922</v>
          </cell>
          <cell r="O398">
            <v>2879.6952015912775</v>
          </cell>
          <cell r="P398">
            <v>2980.4845336469721</v>
          </cell>
          <cell r="Q398">
            <v>3099.703914992851</v>
          </cell>
          <cell r="R398">
            <v>3223.6920715925653</v>
          </cell>
          <cell r="S398">
            <v>3352.6397544562678</v>
          </cell>
          <cell r="T398">
            <v>3486.7453446345185</v>
          </cell>
        </row>
        <row r="399">
          <cell r="K399" t="str">
            <v>USAServicesStandard94Dedicated</v>
          </cell>
          <cell r="L399" t="str">
            <v>Sr. Executive</v>
          </cell>
          <cell r="M399">
            <v>149.33333333333334</v>
          </cell>
          <cell r="N399">
            <v>2056.3376255675498</v>
          </cell>
          <cell r="O399">
            <v>2133.1075567342796</v>
          </cell>
          <cell r="P399">
            <v>2207.7663212199791</v>
          </cell>
          <cell r="Q399">
            <v>2296.0769740687783</v>
          </cell>
          <cell r="R399">
            <v>2387.9200530315297</v>
          </cell>
          <cell r="S399">
            <v>2483.4368551527909</v>
          </cell>
          <cell r="T399">
            <v>2582.7743293589028</v>
          </cell>
        </row>
        <row r="400">
          <cell r="K400" t="str">
            <v>USAServicesStandard95Borrowed</v>
          </cell>
          <cell r="L400" t="str">
            <v>Sr. Executive</v>
          </cell>
          <cell r="M400">
            <v>149.33333333333334</v>
          </cell>
          <cell r="N400">
            <v>3143.9834825161138</v>
          </cell>
          <cell r="O400">
            <v>3261.3588553834375</v>
          </cell>
          <cell r="P400">
            <v>3375.5064153218577</v>
          </cell>
          <cell r="Q400">
            <v>3510.5266719347323</v>
          </cell>
          <cell r="R400">
            <v>3650.9477388121218</v>
          </cell>
          <cell r="S400">
            <v>3796.9856483646067</v>
          </cell>
          <cell r="T400">
            <v>3948.8650742991913</v>
          </cell>
        </row>
        <row r="401">
          <cell r="K401" t="str">
            <v>USAServicesStandard95Dedicated</v>
          </cell>
          <cell r="L401" t="str">
            <v>Sr. Executive</v>
          </cell>
          <cell r="M401">
            <v>149.33333333333334</v>
          </cell>
          <cell r="N401">
            <v>2328.8766537156398</v>
          </cell>
          <cell r="O401">
            <v>2415.8213743581018</v>
          </cell>
          <cell r="P401">
            <v>2500.3751224606353</v>
          </cell>
          <cell r="Q401">
            <v>2600.3901273590609</v>
          </cell>
          <cell r="R401">
            <v>2704.4057324534233</v>
          </cell>
          <cell r="S401">
            <v>2812.5819617515604</v>
          </cell>
          <cell r="T401">
            <v>2925.0852402216228</v>
          </cell>
        </row>
        <row r="402">
          <cell r="K402" t="str">
            <v>USAServicesStandard96Borrowed</v>
          </cell>
          <cell r="L402" t="str">
            <v>Sr. Executive</v>
          </cell>
          <cell r="M402">
            <v>149.33333333333334</v>
          </cell>
          <cell r="N402">
            <v>3511.911170516049</v>
          </cell>
          <cell r="O402">
            <v>3643.022509175611</v>
          </cell>
          <cell r="P402">
            <v>3770.528296996757</v>
          </cell>
          <cell r="Q402">
            <v>3921.3494288766274</v>
          </cell>
          <cell r="R402">
            <v>4078.2034060316928</v>
          </cell>
          <cell r="S402">
            <v>4241.3315422729611</v>
          </cell>
          <cell r="T402">
            <v>4410.98480396388</v>
          </cell>
        </row>
        <row r="403">
          <cell r="K403" t="str">
            <v>USAServicesStandard96Dedicated</v>
          </cell>
          <cell r="L403" t="str">
            <v>Sr. Executive</v>
          </cell>
          <cell r="M403">
            <v>149.33333333333334</v>
          </cell>
          <cell r="N403">
            <v>2601.4156818637398</v>
          </cell>
          <cell r="O403">
            <v>2698.5351919819341</v>
          </cell>
          <cell r="P403">
            <v>2792.9839237013016</v>
          </cell>
          <cell r="Q403">
            <v>2904.7032806493539</v>
          </cell>
          <cell r="R403">
            <v>3020.8914118753282</v>
          </cell>
          <cell r="S403">
            <v>3141.7270683503416</v>
          </cell>
          <cell r="T403">
            <v>3267.3961510843556</v>
          </cell>
        </row>
        <row r="404">
          <cell r="K404" t="str">
            <v>USAServicesStandard97Borrowed</v>
          </cell>
          <cell r="L404" t="str">
            <v>Sr. Executive</v>
          </cell>
          <cell r="M404">
            <v>149.33333333333334</v>
          </cell>
          <cell r="N404">
            <v>3879.8388585159705</v>
          </cell>
          <cell r="O404">
            <v>4024.6861629677705</v>
          </cell>
          <cell r="P404">
            <v>4165.5501786716422</v>
          </cell>
          <cell r="Q404">
            <v>4332.1721858185083</v>
          </cell>
          <cell r="R404">
            <v>4505.4590732512488</v>
          </cell>
          <cell r="S404">
            <v>4685.6774361812986</v>
          </cell>
          <cell r="T404">
            <v>4873.1045336285506</v>
          </cell>
        </row>
        <row r="405">
          <cell r="K405" t="str">
            <v>USAServicesStandard97Dedicated</v>
          </cell>
          <cell r="L405" t="str">
            <v>Sr. Executive</v>
          </cell>
          <cell r="M405">
            <v>149.33333333333334</v>
          </cell>
          <cell r="N405">
            <v>2873.9547100118298</v>
          </cell>
          <cell r="O405">
            <v>2981.2490096057559</v>
          </cell>
          <cell r="P405">
            <v>3085.5927249419569</v>
          </cell>
          <cell r="Q405">
            <v>3209.0164339396351</v>
          </cell>
          <cell r="R405">
            <v>3337.3770912972204</v>
          </cell>
          <cell r="S405">
            <v>3470.8721749491092</v>
          </cell>
          <cell r="T405">
            <v>3609.7070619470737</v>
          </cell>
        </row>
        <row r="406">
          <cell r="K406" t="str">
            <v>USAServicesStandard98Borrowed</v>
          </cell>
          <cell r="L406" t="str">
            <v>Sr. Executive</v>
          </cell>
          <cell r="M406">
            <v>149.33333333333334</v>
          </cell>
          <cell r="N406">
            <v>4247.7670064255217</v>
          </cell>
          <cell r="O406">
            <v>4406.3502938395177</v>
          </cell>
          <cell r="P406">
            <v>4560.5725541239008</v>
          </cell>
          <cell r="Q406">
            <v>4742.995456288857</v>
          </cell>
          <cell r="R406">
            <v>4932.7152745404119</v>
          </cell>
          <cell r="S406">
            <v>5130.0238855220286</v>
          </cell>
          <cell r="T406">
            <v>5335.2248409429103</v>
          </cell>
        </row>
        <row r="407">
          <cell r="K407" t="str">
            <v>USAServicesStandard98Dedicated</v>
          </cell>
          <cell r="L407" t="str">
            <v>Sr. Executive</v>
          </cell>
          <cell r="M407">
            <v>149.33333333333334</v>
          </cell>
          <cell r="N407">
            <v>3146.4940788337199</v>
          </cell>
          <cell r="O407">
            <v>3263.9631806218654</v>
          </cell>
          <cell r="P407">
            <v>3378.2018919436305</v>
          </cell>
          <cell r="Q407">
            <v>3513.329967621376</v>
          </cell>
          <cell r="R407">
            <v>3653.8631663262313</v>
          </cell>
          <cell r="S407">
            <v>3800.0176929792806</v>
          </cell>
          <cell r="T407">
            <v>3952.0184006984518</v>
          </cell>
        </row>
        <row r="408">
          <cell r="K408" t="str">
            <v>USASolutionsDelivery Center/Local34LT</v>
          </cell>
          <cell r="L408" t="str">
            <v>Analyst Programmer</v>
          </cell>
          <cell r="M408">
            <v>156</v>
          </cell>
          <cell r="N408">
            <v>51.432063764786236</v>
          </cell>
          <cell r="O408">
            <v>53.489346315377688</v>
          </cell>
          <cell r="P408">
            <v>55.628920167992796</v>
          </cell>
          <cell r="Q408">
            <v>57.854076974712513</v>
          </cell>
          <cell r="R408">
            <v>60.168240053701012</v>
          </cell>
          <cell r="S408">
            <v>62.574969655849053</v>
          </cell>
          <cell r="T408">
            <v>65.077968442083019</v>
          </cell>
        </row>
        <row r="409">
          <cell r="K409" t="str">
            <v>USASolutionsDelivery Center/Local34ST</v>
          </cell>
          <cell r="L409" t="str">
            <v>Analyst Programmer</v>
          </cell>
          <cell r="M409">
            <v>156</v>
          </cell>
          <cell r="N409">
            <v>55.381771499644621</v>
          </cell>
          <cell r="O409">
            <v>57.597042359630407</v>
          </cell>
          <cell r="P409">
            <v>59.900924054015626</v>
          </cell>
          <cell r="Q409">
            <v>62.296961016176255</v>
          </cell>
          <cell r="R409">
            <v>64.788839456823311</v>
          </cell>
          <cell r="S409">
            <v>67.380393035096247</v>
          </cell>
          <cell r="T409">
            <v>70.075608756500102</v>
          </cell>
        </row>
        <row r="410">
          <cell r="K410" t="str">
            <v>USASolutionsDelivery Center/Local35LT</v>
          </cell>
          <cell r="L410" t="str">
            <v>Analyst Programmer</v>
          </cell>
          <cell r="M410">
            <v>156</v>
          </cell>
          <cell r="N410">
            <v>56.565026200939876</v>
          </cell>
          <cell r="O410">
            <v>58.827627248977471</v>
          </cell>
          <cell r="P410">
            <v>61.180732338936572</v>
          </cell>
          <cell r="Q410">
            <v>63.627961632494035</v>
          </cell>
          <cell r="R410">
            <v>66.1730800977938</v>
          </cell>
          <cell r="S410">
            <v>68.820003301705555</v>
          </cell>
          <cell r="T410">
            <v>71.572803433773785</v>
          </cell>
        </row>
        <row r="411">
          <cell r="K411" t="str">
            <v>USASolutionsDelivery Center/Local35ST</v>
          </cell>
          <cell r="L411" t="str">
            <v>Analyst Programmer</v>
          </cell>
          <cell r="M411">
            <v>156</v>
          </cell>
          <cell r="N411">
            <v>60.908918029392694</v>
          </cell>
          <cell r="O411">
            <v>63.345274750568407</v>
          </cell>
          <cell r="P411">
            <v>65.879085740591151</v>
          </cell>
          <cell r="Q411">
            <v>68.514249170214796</v>
          </cell>
          <cell r="R411">
            <v>71.254819137023389</v>
          </cell>
          <cell r="S411">
            <v>74.10501190250433</v>
          </cell>
          <cell r="T411">
            <v>77.069212378604504</v>
          </cell>
        </row>
        <row r="412">
          <cell r="K412" t="str">
            <v>USASolutionsDelivery Center/Local36LT</v>
          </cell>
          <cell r="L412" t="str">
            <v>Analyst Programmer</v>
          </cell>
          <cell r="M412">
            <v>156</v>
          </cell>
          <cell r="N412">
            <v>68.201365356613692</v>
          </cell>
          <cell r="O412">
            <v>70.929419970878243</v>
          </cell>
          <cell r="P412">
            <v>73.766596769713374</v>
          </cell>
          <cell r="Q412">
            <v>76.717260640501905</v>
          </cell>
          <cell r="R412">
            <v>79.785951066121982</v>
          </cell>
          <cell r="S412">
            <v>82.977389108766857</v>
          </cell>
          <cell r="T412">
            <v>86.296484673117533</v>
          </cell>
        </row>
        <row r="413">
          <cell r="K413" t="str">
            <v>USASolutionsDelivery Center/Local36ST</v>
          </cell>
          <cell r="L413" t="str">
            <v>Analyst Programmer</v>
          </cell>
          <cell r="M413">
            <v>156</v>
          </cell>
          <cell r="N413">
            <v>73.438865868139956</v>
          </cell>
          <cell r="O413">
            <v>76.376420502865557</v>
          </cell>
          <cell r="P413">
            <v>79.431477322980186</v>
          </cell>
          <cell r="Q413">
            <v>82.608736415899401</v>
          </cell>
          <cell r="R413">
            <v>85.913085872535376</v>
          </cell>
          <cell r="S413">
            <v>89.349609307436793</v>
          </cell>
          <cell r="T413">
            <v>92.923593679734267</v>
          </cell>
        </row>
        <row r="414">
          <cell r="K414" t="str">
            <v>USASolutionsDelivery Center/Local60LT</v>
          </cell>
          <cell r="L414" t="str">
            <v>Manager</v>
          </cell>
          <cell r="M414">
            <v>156</v>
          </cell>
          <cell r="N414">
            <v>85.985466838833901</v>
          </cell>
          <cell r="O414">
            <v>89.424885512387263</v>
          </cell>
          <cell r="P414">
            <v>93.001880932882756</v>
          </cell>
          <cell r="Q414">
            <v>96.721956170198069</v>
          </cell>
          <cell r="R414">
            <v>100.59083441700599</v>
          </cell>
          <cell r="S414">
            <v>104.61446779368623</v>
          </cell>
          <cell r="T414">
            <v>108.79904650543368</v>
          </cell>
        </row>
        <row r="415">
          <cell r="K415" t="str">
            <v>USASolutionsDelivery Center/Local60ST</v>
          </cell>
          <cell r="L415" t="str">
            <v>Manager</v>
          </cell>
          <cell r="M415">
            <v>156</v>
          </cell>
          <cell r="N415">
            <v>92.588691337308632</v>
          </cell>
          <cell r="O415">
            <v>96.292238990800982</v>
          </cell>
          <cell r="P415">
            <v>100.14392855043303</v>
          </cell>
          <cell r="Q415">
            <v>104.14968569245036</v>
          </cell>
          <cell r="R415">
            <v>108.31567312014838</v>
          </cell>
          <cell r="S415">
            <v>112.64830004495431</v>
          </cell>
          <cell r="T415">
            <v>117.15423204675248</v>
          </cell>
        </row>
        <row r="416">
          <cell r="K416" t="str">
            <v>USASolutionsDelivery Center/Local61LT</v>
          </cell>
          <cell r="L416" t="str">
            <v>Manager</v>
          </cell>
          <cell r="M416">
            <v>156</v>
          </cell>
          <cell r="N416">
            <v>94.951127338717413</v>
          </cell>
          <cell r="O416">
            <v>98.749172432266107</v>
          </cell>
          <cell r="P416">
            <v>102.69913932955676</v>
          </cell>
          <cell r="Q416">
            <v>106.80710490273903</v>
          </cell>
          <cell r="R416">
            <v>111.07938909884859</v>
          </cell>
          <cell r="S416">
            <v>115.52256466280254</v>
          </cell>
          <cell r="T416">
            <v>120.14346724931464</v>
          </cell>
        </row>
        <row r="417">
          <cell r="K417" t="str">
            <v>USASolutionsDelivery Center/Local61ST</v>
          </cell>
          <cell r="L417" t="str">
            <v>Manager</v>
          </cell>
          <cell r="M417">
            <v>156</v>
          </cell>
          <cell r="N417">
            <v>102.24286666689939</v>
          </cell>
          <cell r="O417">
            <v>106.33258133357536</v>
          </cell>
          <cell r="P417">
            <v>110.58588458691838</v>
          </cell>
          <cell r="Q417">
            <v>115.00931997039513</v>
          </cell>
          <cell r="R417">
            <v>119.60969276921094</v>
          </cell>
          <cell r="S417">
            <v>124.39408047997938</v>
          </cell>
          <cell r="T417">
            <v>129.36984369917855</v>
          </cell>
        </row>
        <row r="418">
          <cell r="K418" t="str">
            <v>USASolutionsDelivery Center/Local62LT</v>
          </cell>
          <cell r="L418" t="str">
            <v>Manager</v>
          </cell>
          <cell r="M418">
            <v>156</v>
          </cell>
          <cell r="N418">
            <v>102.56760252827483</v>
          </cell>
          <cell r="O418">
            <v>106.67030662940583</v>
          </cell>
          <cell r="P418">
            <v>110.93711889458207</v>
          </cell>
          <cell r="Q418">
            <v>115.37460365036536</v>
          </cell>
          <cell r="R418">
            <v>119.98958779637998</v>
          </cell>
          <cell r="S418">
            <v>124.78917130823518</v>
          </cell>
          <cell r="T418">
            <v>129.7807381605646</v>
          </cell>
        </row>
        <row r="419">
          <cell r="K419" t="str">
            <v>USASolutionsDelivery Center/Local62ST</v>
          </cell>
          <cell r="L419" t="str">
            <v>Manager</v>
          </cell>
          <cell r="M419">
            <v>156</v>
          </cell>
          <cell r="N419">
            <v>110.44424646199879</v>
          </cell>
          <cell r="O419">
            <v>114.86201632047874</v>
          </cell>
          <cell r="P419">
            <v>119.4564969732979</v>
          </cell>
          <cell r="Q419">
            <v>124.23475685222982</v>
          </cell>
          <cell r="R419">
            <v>129.20414712631901</v>
          </cell>
          <cell r="S419">
            <v>134.37231301137177</v>
          </cell>
          <cell r="T419">
            <v>139.74720553182664</v>
          </cell>
        </row>
        <row r="420">
          <cell r="K420" t="str">
            <v>USASolutionsDelivery Center/Local63LT</v>
          </cell>
          <cell r="L420" t="str">
            <v>Manager</v>
          </cell>
          <cell r="M420">
            <v>156</v>
          </cell>
          <cell r="N420">
            <v>111.17323033985325</v>
          </cell>
          <cell r="O420">
            <v>115.62015955344738</v>
          </cell>
          <cell r="P420">
            <v>120.24496593558528</v>
          </cell>
          <cell r="Q420">
            <v>125.0547645730087</v>
          </cell>
          <cell r="R420">
            <v>130.05695515592905</v>
          </cell>
          <cell r="S420">
            <v>135.25923336216621</v>
          </cell>
          <cell r="T420">
            <v>140.66960269665287</v>
          </cell>
        </row>
        <row r="421">
          <cell r="K421" t="str">
            <v>USASolutionsDelivery Center/Local63ST</v>
          </cell>
          <cell r="L421" t="str">
            <v>Manager</v>
          </cell>
          <cell r="M421">
            <v>156</v>
          </cell>
          <cell r="N421">
            <v>119.71074051620259</v>
          </cell>
          <cell r="O421">
            <v>124.49917013685069</v>
          </cell>
          <cell r="P421">
            <v>129.47913694232471</v>
          </cell>
          <cell r="Q421">
            <v>134.65830242001772</v>
          </cell>
          <cell r="R421">
            <v>140.04463451681843</v>
          </cell>
          <cell r="S421">
            <v>145.64641989749117</v>
          </cell>
          <cell r="T421">
            <v>151.47227669339082</v>
          </cell>
        </row>
        <row r="422">
          <cell r="K422" t="str">
            <v>USASolutionsDelivery Center/Local64LT</v>
          </cell>
          <cell r="L422" t="str">
            <v>Manager</v>
          </cell>
          <cell r="M422">
            <v>156</v>
          </cell>
          <cell r="N422">
            <v>122.87688416359985</v>
          </cell>
          <cell r="O422">
            <v>127.79195953014386</v>
          </cell>
          <cell r="P422">
            <v>132.90363791134962</v>
          </cell>
          <cell r="Q422">
            <v>138.21978342780361</v>
          </cell>
          <cell r="R422">
            <v>143.74857476491576</v>
          </cell>
          <cell r="S422">
            <v>149.49851775551238</v>
          </cell>
          <cell r="T422">
            <v>155.47845846573287</v>
          </cell>
        </row>
        <row r="423">
          <cell r="K423" t="str">
            <v>USASolutionsDelivery Center/Local64ST</v>
          </cell>
          <cell r="L423" t="str">
            <v>Manager</v>
          </cell>
          <cell r="M423">
            <v>156</v>
          </cell>
          <cell r="N423">
            <v>132.31317242991972</v>
          </cell>
          <cell r="O423">
            <v>137.6056993271165</v>
          </cell>
          <cell r="P423">
            <v>143.10992730020115</v>
          </cell>
          <cell r="Q423">
            <v>148.8343243922092</v>
          </cell>
          <cell r="R423">
            <v>154.78769736789758</v>
          </cell>
          <cell r="S423">
            <v>160.97920526261348</v>
          </cell>
          <cell r="T423">
            <v>167.41837347311801</v>
          </cell>
        </row>
        <row r="424">
          <cell r="K424" t="str">
            <v>USASolutionsDelivery Center/Local65LT</v>
          </cell>
          <cell r="L424" t="str">
            <v>Manager</v>
          </cell>
          <cell r="M424">
            <v>156</v>
          </cell>
          <cell r="N424">
            <v>132.05622049594947</v>
          </cell>
          <cell r="O424">
            <v>137.33846931578745</v>
          </cell>
          <cell r="P424">
            <v>142.83200808841895</v>
          </cell>
          <cell r="Q424">
            <v>148.54528841195571</v>
          </cell>
          <cell r="R424">
            <v>154.48709994843395</v>
          </cell>
          <cell r="S424">
            <v>160.6665839463713</v>
          </cell>
          <cell r="T424">
            <v>167.09324730422617</v>
          </cell>
        </row>
        <row r="425">
          <cell r="K425" t="str">
            <v>USASolutionsDelivery Center/Local65ST</v>
          </cell>
          <cell r="L425" t="str">
            <v>Manager</v>
          </cell>
          <cell r="M425">
            <v>156</v>
          </cell>
          <cell r="N425">
            <v>142.19743275440302</v>
          </cell>
          <cell r="O425">
            <v>147.88533006457914</v>
          </cell>
          <cell r="P425">
            <v>153.80074326716232</v>
          </cell>
          <cell r="Q425">
            <v>159.95277299784883</v>
          </cell>
          <cell r="R425">
            <v>166.35088391776279</v>
          </cell>
          <cell r="S425">
            <v>173.00491927447331</v>
          </cell>
          <cell r="T425">
            <v>179.92511604545226</v>
          </cell>
        </row>
        <row r="426">
          <cell r="K426" t="str">
            <v>USASolutionsDelivery Center/Local66LT</v>
          </cell>
          <cell r="L426" t="str">
            <v>Manager</v>
          </cell>
          <cell r="M426">
            <v>156</v>
          </cell>
          <cell r="N426">
            <v>141.23565244638633</v>
          </cell>
          <cell r="O426">
            <v>146.88507854424179</v>
          </cell>
          <cell r="P426">
            <v>152.76048168601147</v>
          </cell>
          <cell r="Q426">
            <v>158.87090095345195</v>
          </cell>
          <cell r="R426">
            <v>165.22573699159003</v>
          </cell>
          <cell r="S426">
            <v>171.83476647125363</v>
          </cell>
          <cell r="T426">
            <v>178.70815713010379</v>
          </cell>
        </row>
        <row r="427">
          <cell r="K427" t="str">
            <v>USASolutionsDelivery Center/Local66ST</v>
          </cell>
          <cell r="L427" t="str">
            <v>Manager</v>
          </cell>
          <cell r="M427">
            <v>156</v>
          </cell>
          <cell r="N427">
            <v>152.08179603993187</v>
          </cell>
          <cell r="O427">
            <v>158.16506788152915</v>
          </cell>
          <cell r="P427">
            <v>164.49167059679033</v>
          </cell>
          <cell r="Q427">
            <v>171.07133742066193</v>
          </cell>
          <cell r="R427">
            <v>177.91419091748841</v>
          </cell>
          <cell r="S427">
            <v>185.03075855418797</v>
          </cell>
          <cell r="T427">
            <v>192.43198889635551</v>
          </cell>
        </row>
        <row r="428">
          <cell r="K428" t="str">
            <v>USASolutionsDelivery Center/Local22LT</v>
          </cell>
          <cell r="L428" t="str">
            <v>Programmer</v>
          </cell>
          <cell r="M428">
            <v>156</v>
          </cell>
          <cell r="N428">
            <v>35.824754408564402</v>
          </cell>
          <cell r="O428">
            <v>37.25774458490698</v>
          </cell>
          <cell r="P428">
            <v>38.748054368303258</v>
          </cell>
          <cell r="Q428">
            <v>40.297976543035389</v>
          </cell>
          <cell r="R428">
            <v>41.909895604756805</v>
          </cell>
          <cell r="S428">
            <v>43.586291428947078</v>
          </cell>
          <cell r="T428">
            <v>45.329743086104962</v>
          </cell>
        </row>
        <row r="429">
          <cell r="K429" t="str">
            <v>USASolutionsDelivery Center/Local22ST</v>
          </cell>
          <cell r="L429" t="str">
            <v>Programmer</v>
          </cell>
          <cell r="M429">
            <v>156</v>
          </cell>
          <cell r="N429">
            <v>38.575904162811419</v>
          </cell>
          <cell r="O429">
            <v>40.118940329323877</v>
          </cell>
          <cell r="P429">
            <v>41.723697942496834</v>
          </cell>
          <cell r="Q429">
            <v>43.392645860196708</v>
          </cell>
          <cell r="R429">
            <v>45.128351694604575</v>
          </cell>
          <cell r="S429">
            <v>46.933485762388763</v>
          </cell>
          <cell r="T429">
            <v>48.810825192884316</v>
          </cell>
        </row>
        <row r="430">
          <cell r="K430" t="str">
            <v>USASolutionsDelivery Center/Local23LT</v>
          </cell>
          <cell r="L430" t="str">
            <v>Programmer</v>
          </cell>
          <cell r="M430">
            <v>156</v>
          </cell>
          <cell r="N430">
            <v>38.649767094947435</v>
          </cell>
          <cell r="O430">
            <v>40.195757778745332</v>
          </cell>
          <cell r="P430">
            <v>41.803588089895143</v>
          </cell>
          <cell r="Q430">
            <v>43.47573161349095</v>
          </cell>
          <cell r="R430">
            <v>45.214760878030589</v>
          </cell>
          <cell r="S430">
            <v>47.023351313151814</v>
          </cell>
          <cell r="T430">
            <v>48.904285365677886</v>
          </cell>
        </row>
        <row r="431">
          <cell r="K431" t="str">
            <v>USASolutionsDelivery Center/Local23ST</v>
          </cell>
          <cell r="L431" t="str">
            <v>Programmer</v>
          </cell>
          <cell r="M431">
            <v>156</v>
          </cell>
          <cell r="N431">
            <v>41.617862731621202</v>
          </cell>
          <cell r="O431">
            <v>43.282577240886049</v>
          </cell>
          <cell r="P431">
            <v>45.013880330521495</v>
          </cell>
          <cell r="Q431">
            <v>46.814435543742356</v>
          </cell>
          <cell r="R431">
            <v>48.687012965492052</v>
          </cell>
          <cell r="S431">
            <v>50.634493484111736</v>
          </cell>
          <cell r="T431">
            <v>52.659873223476211</v>
          </cell>
        </row>
        <row r="432">
          <cell r="K432" t="str">
            <v>USASolutionsDelivery Center/Local24LT</v>
          </cell>
          <cell r="L432" t="str">
            <v>Programmer</v>
          </cell>
          <cell r="M432">
            <v>156</v>
          </cell>
          <cell r="N432">
            <v>41.474779781330476</v>
          </cell>
          <cell r="O432">
            <v>43.133770972583697</v>
          </cell>
          <cell r="P432">
            <v>44.85912181148705</v>
          </cell>
          <cell r="Q432">
            <v>46.653486683946532</v>
          </cell>
          <cell r="R432">
            <v>48.519626151304394</v>
          </cell>
          <cell r="S432">
            <v>50.460411197356571</v>
          </cell>
          <cell r="T432">
            <v>52.478827645250838</v>
          </cell>
        </row>
        <row r="433">
          <cell r="K433" t="str">
            <v>USASolutionsDelivery Center/Local24ST</v>
          </cell>
          <cell r="L433" t="str">
            <v>Programmer</v>
          </cell>
          <cell r="M433">
            <v>156</v>
          </cell>
          <cell r="N433">
            <v>44.659821300430984</v>
          </cell>
          <cell r="O433">
            <v>46.446214152448228</v>
          </cell>
          <cell r="P433">
            <v>48.304062718546156</v>
          </cell>
          <cell r="Q433">
            <v>50.236225227288003</v>
          </cell>
          <cell r="R433">
            <v>52.245674236379521</v>
          </cell>
          <cell r="S433">
            <v>54.335501205834703</v>
          </cell>
          <cell r="T433">
            <v>56.508921254068092</v>
          </cell>
        </row>
        <row r="434">
          <cell r="K434" t="str">
            <v>USASolutionsDelivery Center/Local80LT</v>
          </cell>
          <cell r="L434" t="str">
            <v>Sr. Executive</v>
          </cell>
          <cell r="M434">
            <v>156</v>
          </cell>
          <cell r="N434">
            <v>166.02913238568658</v>
          </cell>
          <cell r="O434">
            <v>172.67029768111405</v>
          </cell>
          <cell r="P434">
            <v>179.57710958835861</v>
          </cell>
          <cell r="Q434">
            <v>186.76019397189296</v>
          </cell>
          <cell r="R434">
            <v>194.23060173076868</v>
          </cell>
          <cell r="S434">
            <v>201.99982579999943</v>
          </cell>
          <cell r="T434">
            <v>210.0798188319994</v>
          </cell>
        </row>
        <row r="435">
          <cell r="K435" t="str">
            <v>USASolutionsDelivery Center/Local80ST</v>
          </cell>
          <cell r="L435" t="str">
            <v>Sr. Executive</v>
          </cell>
          <cell r="M435">
            <v>156</v>
          </cell>
          <cell r="N435">
            <v>178.77928278592296</v>
          </cell>
          <cell r="O435">
            <v>185.93045409735987</v>
          </cell>
          <cell r="P435">
            <v>193.36767226125428</v>
          </cell>
          <cell r="Q435">
            <v>201.10237915170447</v>
          </cell>
          <cell r="R435">
            <v>209.14647431777266</v>
          </cell>
          <cell r="S435">
            <v>217.51233329048358</v>
          </cell>
          <cell r="T435">
            <v>226.21282662210294</v>
          </cell>
        </row>
        <row r="436">
          <cell r="K436" t="str">
            <v>USASolutionsDelivery Center/Local81LT</v>
          </cell>
          <cell r="L436" t="str">
            <v>Sr. Executive</v>
          </cell>
          <cell r="M436">
            <v>156</v>
          </cell>
          <cell r="N436">
            <v>180.41086037452925</v>
          </cell>
          <cell r="O436">
            <v>187.62729478951042</v>
          </cell>
          <cell r="P436">
            <v>195.13238658109083</v>
          </cell>
          <cell r="Q436">
            <v>202.93768204433448</v>
          </cell>
          <cell r="R436">
            <v>211.05518932610786</v>
          </cell>
          <cell r="S436">
            <v>219.49739689915219</v>
          </cell>
          <cell r="T436">
            <v>228.2772927751183</v>
          </cell>
        </row>
        <row r="437">
          <cell r="K437" t="str">
            <v>USASolutionsDelivery Center/Local81ST</v>
          </cell>
          <cell r="L437" t="str">
            <v>Sr. Executive</v>
          </cell>
          <cell r="M437">
            <v>156</v>
          </cell>
          <cell r="N437">
            <v>194.26545065370846</v>
          </cell>
          <cell r="O437">
            <v>202.03606867985681</v>
          </cell>
          <cell r="P437">
            <v>210.11751142705108</v>
          </cell>
          <cell r="Q437">
            <v>218.52221188413313</v>
          </cell>
          <cell r="R437">
            <v>227.26310035949845</v>
          </cell>
          <cell r="S437">
            <v>236.3536243738784</v>
          </cell>
          <cell r="T437">
            <v>245.80776934883355</v>
          </cell>
        </row>
        <row r="438">
          <cell r="K438" t="str">
            <v>USASolutionsDelivery Center/Local82LT</v>
          </cell>
          <cell r="L438" t="str">
            <v>Sr. Executive</v>
          </cell>
          <cell r="M438">
            <v>156</v>
          </cell>
          <cell r="N438">
            <v>219.03777503557868</v>
          </cell>
          <cell r="O438">
            <v>227.79928603700182</v>
          </cell>
          <cell r="P438">
            <v>236.9112574784819</v>
          </cell>
          <cell r="Q438">
            <v>246.38770777762119</v>
          </cell>
          <cell r="R438">
            <v>256.24321608872606</v>
          </cell>
          <cell r="S438">
            <v>266.49294473227513</v>
          </cell>
          <cell r="T438">
            <v>277.15266252156613</v>
          </cell>
        </row>
        <row r="439">
          <cell r="K439" t="str">
            <v>USASolutionsDelivery Center/Local82ST</v>
          </cell>
          <cell r="L439" t="str">
            <v>Sr. Executive</v>
          </cell>
          <cell r="M439">
            <v>156</v>
          </cell>
          <cell r="N439">
            <v>235.8587060065914</v>
          </cell>
          <cell r="O439">
            <v>245.29305424685506</v>
          </cell>
          <cell r="P439">
            <v>255.10477641672927</v>
          </cell>
          <cell r="Q439">
            <v>265.30896747339847</v>
          </cell>
          <cell r="R439">
            <v>275.92132617233443</v>
          </cell>
          <cell r="S439">
            <v>286.95817921922782</v>
          </cell>
          <cell r="T439">
            <v>298.43650638799693</v>
          </cell>
        </row>
        <row r="440">
          <cell r="K440" t="str">
            <v>USASolutionsDelivery Center/Local83LT</v>
          </cell>
          <cell r="L440" t="str">
            <v>Sr. Executive</v>
          </cell>
          <cell r="M440">
            <v>156</v>
          </cell>
          <cell r="N440">
            <v>226.88634393992822</v>
          </cell>
          <cell r="O440">
            <v>235.96179769752536</v>
          </cell>
          <cell r="P440">
            <v>245.40026960542639</v>
          </cell>
          <cell r="Q440">
            <v>255.21628038964346</v>
          </cell>
          <cell r="R440">
            <v>265.42493160522923</v>
          </cell>
          <cell r="S440">
            <v>276.04192886943844</v>
          </cell>
          <cell r="T440">
            <v>287.08360602421601</v>
          </cell>
        </row>
        <row r="441">
          <cell r="K441" t="str">
            <v>USASolutionsDelivery Center/Local83ST</v>
          </cell>
          <cell r="L441" t="str">
            <v>Sr. Executive</v>
          </cell>
          <cell r="M441">
            <v>156</v>
          </cell>
          <cell r="N441">
            <v>244.31000307387933</v>
          </cell>
          <cell r="O441">
            <v>254.08240319683452</v>
          </cell>
          <cell r="P441">
            <v>264.24569932470791</v>
          </cell>
          <cell r="Q441">
            <v>274.81552729769624</v>
          </cell>
          <cell r="R441">
            <v>285.80814838960407</v>
          </cell>
          <cell r="S441">
            <v>297.24047432518825</v>
          </cell>
          <cell r="T441">
            <v>309.13009329819579</v>
          </cell>
        </row>
        <row r="442">
          <cell r="K442" t="str">
            <v>USASolutionsDelivery Center/Local84LT</v>
          </cell>
          <cell r="L442" t="str">
            <v>Sr. Executive</v>
          </cell>
          <cell r="M442">
            <v>156</v>
          </cell>
          <cell r="N442">
            <v>263.49733370002934</v>
          </cell>
          <cell r="O442">
            <v>274.0372270480305</v>
          </cell>
          <cell r="P442">
            <v>284.99871612995173</v>
          </cell>
          <cell r="Q442">
            <v>296.39866477514983</v>
          </cell>
          <cell r="R442">
            <v>308.25461136615581</v>
          </cell>
          <cell r="S442">
            <v>320.58479582080207</v>
          </cell>
          <cell r="T442">
            <v>333.40818765363417</v>
          </cell>
        </row>
        <row r="443">
          <cell r="K443" t="str">
            <v>USASolutionsDelivery Center/Local84ST</v>
          </cell>
          <cell r="L443" t="str">
            <v>Sr. Executive</v>
          </cell>
          <cell r="M443">
            <v>156</v>
          </cell>
          <cell r="N443">
            <v>283.73252126296984</v>
          </cell>
          <cell r="O443">
            <v>295.08182211348867</v>
          </cell>
          <cell r="P443">
            <v>306.88509499802825</v>
          </cell>
          <cell r="Q443">
            <v>319.1604987979494</v>
          </cell>
          <cell r="R443">
            <v>331.92691874986741</v>
          </cell>
          <cell r="S443">
            <v>345.20399549986212</v>
          </cell>
          <cell r="T443">
            <v>359.01215531985662</v>
          </cell>
        </row>
        <row r="444">
          <cell r="K444" t="str">
            <v>USASolutionsDelivery Center/Local85LT</v>
          </cell>
          <cell r="L444" t="str">
            <v>Sr. Executive</v>
          </cell>
          <cell r="M444">
            <v>156</v>
          </cell>
          <cell r="N444">
            <v>294.87818206583165</v>
          </cell>
          <cell r="O444">
            <v>306.67330934846495</v>
          </cell>
          <cell r="P444">
            <v>318.94024172240358</v>
          </cell>
          <cell r="Q444">
            <v>331.69785139129976</v>
          </cell>
          <cell r="R444">
            <v>344.96576544695176</v>
          </cell>
          <cell r="S444">
            <v>358.76439606482984</v>
          </cell>
          <cell r="T444">
            <v>373.11497190742307</v>
          </cell>
        </row>
        <row r="445">
          <cell r="K445" t="str">
            <v>USASolutionsDelivery Center/Local85ST</v>
          </cell>
          <cell r="L445" t="str">
            <v>Sr. Executive</v>
          </cell>
          <cell r="M445">
            <v>156</v>
          </cell>
          <cell r="N445">
            <v>317.5232511393346</v>
          </cell>
          <cell r="O445">
            <v>330.22418118490799</v>
          </cell>
          <cell r="P445">
            <v>343.43314843230434</v>
          </cell>
          <cell r="Q445">
            <v>357.17047436959655</v>
          </cell>
          <cell r="R445">
            <v>371.45729334438045</v>
          </cell>
          <cell r="S445">
            <v>386.31558507815566</v>
          </cell>
          <cell r="T445">
            <v>401.76820848128193</v>
          </cell>
        </row>
        <row r="446">
          <cell r="K446" t="str">
            <v>USASolutionsDelivery Center/Local86LT</v>
          </cell>
          <cell r="L446" t="str">
            <v>Sr. Executive</v>
          </cell>
          <cell r="M446">
            <v>156</v>
          </cell>
          <cell r="N446">
            <v>321.02888903733276</v>
          </cell>
          <cell r="O446">
            <v>333.8700445988261</v>
          </cell>
          <cell r="P446">
            <v>347.22484638277916</v>
          </cell>
          <cell r="Q446">
            <v>361.11384023809035</v>
          </cell>
          <cell r="R446">
            <v>375.55839384761396</v>
          </cell>
          <cell r="S446">
            <v>390.58072960151856</v>
          </cell>
          <cell r="T446">
            <v>406.20395878557929</v>
          </cell>
        </row>
        <row r="447">
          <cell r="K447" t="str">
            <v>USASolutionsDelivery Center/Local86ST</v>
          </cell>
          <cell r="L447" t="str">
            <v>Sr. Executive</v>
          </cell>
          <cell r="M447">
            <v>156</v>
          </cell>
          <cell r="N447">
            <v>345.68219270297101</v>
          </cell>
          <cell r="O447">
            <v>359.50948041108984</v>
          </cell>
          <cell r="P447">
            <v>373.88985962753344</v>
          </cell>
          <cell r="Q447">
            <v>388.84545401263478</v>
          </cell>
          <cell r="R447">
            <v>404.39927217314016</v>
          </cell>
          <cell r="S447">
            <v>420.57524306006576</v>
          </cell>
          <cell r="T447">
            <v>437.39825278246843</v>
          </cell>
        </row>
        <row r="448">
          <cell r="K448" t="str">
            <v>USASolutionsDelivery Center/Local87LT</v>
          </cell>
          <cell r="L448" t="str">
            <v>Sr. Executive</v>
          </cell>
          <cell r="M448">
            <v>156</v>
          </cell>
          <cell r="N448">
            <v>343.32712454075175</v>
          </cell>
          <cell r="O448">
            <v>357.06020952238185</v>
          </cell>
          <cell r="P448">
            <v>371.34261790327713</v>
          </cell>
          <cell r="Q448">
            <v>386.19632261940825</v>
          </cell>
          <cell r="R448">
            <v>401.64417552418462</v>
          </cell>
          <cell r="S448">
            <v>417.70994254515199</v>
          </cell>
          <cell r="T448">
            <v>434.41834024695811</v>
          </cell>
        </row>
        <row r="449">
          <cell r="K449" t="str">
            <v>USASolutionsDelivery Center/Local87ST</v>
          </cell>
          <cell r="L449" t="str">
            <v>Sr. Executive</v>
          </cell>
          <cell r="M449">
            <v>156</v>
          </cell>
          <cell r="N449">
            <v>369.69281357059248</v>
          </cell>
          <cell r="O449">
            <v>384.4805261134162</v>
          </cell>
          <cell r="P449">
            <v>399.85974715795288</v>
          </cell>
          <cell r="Q449">
            <v>415.854137044271</v>
          </cell>
          <cell r="R449">
            <v>432.48830252604188</v>
          </cell>
          <cell r="S449">
            <v>449.78783462708356</v>
          </cell>
          <cell r="T449">
            <v>467.77934801216691</v>
          </cell>
        </row>
        <row r="450">
          <cell r="K450" t="str">
            <v>USASolutionsDelivery Center/Local88LT</v>
          </cell>
          <cell r="L450" t="str">
            <v>Sr. Executive</v>
          </cell>
          <cell r="M450">
            <v>156</v>
          </cell>
          <cell r="N450">
            <v>374.2539758800371</v>
          </cell>
          <cell r="O450">
            <v>389.22413491523861</v>
          </cell>
          <cell r="P450">
            <v>404.79310031184815</v>
          </cell>
          <cell r="Q450">
            <v>420.98482432432206</v>
          </cell>
          <cell r="R450">
            <v>437.82421729729498</v>
          </cell>
          <cell r="S450">
            <v>455.33718598918682</v>
          </cell>
          <cell r="T450">
            <v>473.55067342875429</v>
          </cell>
        </row>
        <row r="451">
          <cell r="K451" t="str">
            <v>USASolutionsDelivery Center/Local88ST</v>
          </cell>
          <cell r="L451" t="str">
            <v>Sr. Executive</v>
          </cell>
          <cell r="M451">
            <v>156</v>
          </cell>
          <cell r="N451">
            <v>402.99468187416358</v>
          </cell>
          <cell r="O451">
            <v>419.11446914913012</v>
          </cell>
          <cell r="P451">
            <v>435.87904791509533</v>
          </cell>
          <cell r="Q451">
            <v>453.31420983169915</v>
          </cell>
          <cell r="R451">
            <v>471.44677822496715</v>
          </cell>
          <cell r="S451">
            <v>490.30464935396583</v>
          </cell>
          <cell r="T451">
            <v>509.91683532812448</v>
          </cell>
        </row>
        <row r="452">
          <cell r="K452" t="str">
            <v>USASolutionsDelivery Center/Local89LT</v>
          </cell>
          <cell r="L452" t="str">
            <v>Sr. Executive</v>
          </cell>
          <cell r="M452">
            <v>156</v>
          </cell>
          <cell r="N452">
            <v>407.11375542802767</v>
          </cell>
          <cell r="O452">
            <v>423.39830564514881</v>
          </cell>
          <cell r="P452">
            <v>440.33423787095478</v>
          </cell>
          <cell r="Q452">
            <v>457.94760738579299</v>
          </cell>
          <cell r="R452">
            <v>476.26551168122472</v>
          </cell>
          <cell r="S452">
            <v>495.31613214847374</v>
          </cell>
          <cell r="T452">
            <v>515.12877743441265</v>
          </cell>
        </row>
        <row r="453">
          <cell r="K453" t="str">
            <v>USASolutionsDelivery Center/Local89ST</v>
          </cell>
          <cell r="L453" t="str">
            <v>Sr. Executive</v>
          </cell>
          <cell r="M453">
            <v>156</v>
          </cell>
          <cell r="N453">
            <v>438.37791694670761</v>
          </cell>
          <cell r="O453">
            <v>455.91303362457592</v>
          </cell>
          <cell r="P453">
            <v>474.14955496955895</v>
          </cell>
          <cell r="Q453">
            <v>493.11553716834135</v>
          </cell>
          <cell r="R453">
            <v>512.84015865507502</v>
          </cell>
          <cell r="S453">
            <v>533.35376500127802</v>
          </cell>
          <cell r="T453">
            <v>554.68791560132911</v>
          </cell>
        </row>
        <row r="454">
          <cell r="K454" t="str">
            <v>USASolutionsDelivery Center/Local90LT</v>
          </cell>
          <cell r="L454" t="str">
            <v>Sr. Executive</v>
          </cell>
          <cell r="M454">
            <v>156</v>
          </cell>
          <cell r="N454">
            <v>488.29674019365274</v>
          </cell>
          <cell r="O454">
            <v>507.82860980139884</v>
          </cell>
          <cell r="P454">
            <v>528.14175419345486</v>
          </cell>
          <cell r="Q454">
            <v>549.26742436119309</v>
          </cell>
          <cell r="R454">
            <v>571.23812133564081</v>
          </cell>
          <cell r="S454">
            <v>594.0876461890665</v>
          </cell>
          <cell r="T454">
            <v>617.85115203662917</v>
          </cell>
        </row>
        <row r="455">
          <cell r="K455" t="str">
            <v>USASolutionsDelivery Center/Local90ST</v>
          </cell>
          <cell r="L455" t="str">
            <v>Sr. Executive</v>
          </cell>
          <cell r="M455">
            <v>156</v>
          </cell>
          <cell r="N455">
            <v>525.79532124358263</v>
          </cell>
          <cell r="O455">
            <v>546.82713409332598</v>
          </cell>
          <cell r="P455">
            <v>568.70021945705901</v>
          </cell>
          <cell r="Q455">
            <v>591.44822823534139</v>
          </cell>
          <cell r="R455">
            <v>615.10615736475506</v>
          </cell>
          <cell r="S455">
            <v>639.71040365934527</v>
          </cell>
          <cell r="T455">
            <v>665.29881980571906</v>
          </cell>
        </row>
        <row r="456">
          <cell r="K456" t="str">
            <v>USASolutionsDelivery Center/Local91LT</v>
          </cell>
          <cell r="L456" t="str">
            <v>Sr. Executive</v>
          </cell>
          <cell r="M456">
            <v>156</v>
          </cell>
          <cell r="N456">
            <v>597.02395193332927</v>
          </cell>
          <cell r="O456">
            <v>620.90491001066243</v>
          </cell>
          <cell r="P456">
            <v>645.74110641108894</v>
          </cell>
          <cell r="Q456">
            <v>671.57075066753248</v>
          </cell>
          <cell r="R456">
            <v>698.4335806942338</v>
          </cell>
          <cell r="S456">
            <v>726.37092392200316</v>
          </cell>
          <cell r="T456">
            <v>755.42576087888335</v>
          </cell>
        </row>
        <row r="457">
          <cell r="K457" t="str">
            <v>USASolutionsDelivery Center/Local91ST</v>
          </cell>
          <cell r="L457" t="str">
            <v>Sr. Executive</v>
          </cell>
          <cell r="M457">
            <v>156</v>
          </cell>
          <cell r="N457">
            <v>642.87220199832632</v>
          </cell>
          <cell r="O457">
            <v>668.58709007825939</v>
          </cell>
          <cell r="P457">
            <v>695.33057368138975</v>
          </cell>
          <cell r="Q457">
            <v>723.14379662864542</v>
          </cell>
          <cell r="R457">
            <v>752.06954849379122</v>
          </cell>
          <cell r="S457">
            <v>782.15233043354294</v>
          </cell>
          <cell r="T457">
            <v>813.43842365088472</v>
          </cell>
        </row>
        <row r="458">
          <cell r="K458" t="str">
            <v>USASolutionsDelivery Center/Local92LT</v>
          </cell>
          <cell r="L458" t="str">
            <v>Sr. Executive</v>
          </cell>
          <cell r="M458">
            <v>156</v>
          </cell>
          <cell r="N458">
            <v>749.24204836887554</v>
          </cell>
          <cell r="O458">
            <v>779.21173030363059</v>
          </cell>
          <cell r="P458">
            <v>810.38019951577587</v>
          </cell>
          <cell r="Q458">
            <v>842.79540749640694</v>
          </cell>
          <cell r="R458">
            <v>876.50722379626325</v>
          </cell>
          <cell r="S458">
            <v>911.56751274811381</v>
          </cell>
          <cell r="T458">
            <v>948.03021325803843</v>
          </cell>
        </row>
        <row r="459">
          <cell r="K459" t="str">
            <v>USASolutionsDelivery Center/Local92ST</v>
          </cell>
          <cell r="L459" t="str">
            <v>Sr. Executive</v>
          </cell>
          <cell r="M459">
            <v>156</v>
          </cell>
          <cell r="N459">
            <v>806.77983505496627</v>
          </cell>
          <cell r="O459">
            <v>839.05102845716499</v>
          </cell>
          <cell r="P459">
            <v>872.61306959545163</v>
          </cell>
          <cell r="Q459">
            <v>907.51759237926979</v>
          </cell>
          <cell r="R459">
            <v>943.81829607444058</v>
          </cell>
          <cell r="S459">
            <v>981.57102791741829</v>
          </cell>
          <cell r="T459">
            <v>1020.8338690341151</v>
          </cell>
        </row>
        <row r="460">
          <cell r="K460" t="str">
            <v>USASolutionsDelivery Center/Local93LT</v>
          </cell>
          <cell r="L460" t="str">
            <v>Sr. Executive</v>
          </cell>
          <cell r="M460">
            <v>156</v>
          </cell>
          <cell r="N460">
            <v>1255.0249296467812</v>
          </cell>
          <cell r="O460">
            <v>1305.2259268326525</v>
          </cell>
          <cell r="P460">
            <v>1357.4349639059585</v>
          </cell>
          <cell r="Q460">
            <v>1411.732362462197</v>
          </cell>
          <cell r="R460">
            <v>1468.2016569606849</v>
          </cell>
          <cell r="S460">
            <v>1526.9297232391123</v>
          </cell>
          <cell r="T460">
            <v>1588.0069121686768</v>
          </cell>
        </row>
        <row r="461">
          <cell r="K461" t="str">
            <v>USASolutionsDelivery Center/Local93ST</v>
          </cell>
          <cell r="L461" t="str">
            <v>Sr. Executive</v>
          </cell>
          <cell r="M461">
            <v>156</v>
          </cell>
          <cell r="N461">
            <v>1351.4041396029615</v>
          </cell>
          <cell r="O461">
            <v>1405.4603051870802</v>
          </cell>
          <cell r="P461">
            <v>1461.6787173945634</v>
          </cell>
          <cell r="Q461">
            <v>1520.1458660903459</v>
          </cell>
          <cell r="R461">
            <v>1580.9517007339598</v>
          </cell>
          <cell r="S461">
            <v>1644.1897687633182</v>
          </cell>
          <cell r="T461">
            <v>1709.9573595138509</v>
          </cell>
        </row>
        <row r="462">
          <cell r="K462" t="str">
            <v>USASolutionsDelivery Center/Local94LT</v>
          </cell>
          <cell r="L462" t="str">
            <v>Sr. Executive</v>
          </cell>
          <cell r="M462">
            <v>156</v>
          </cell>
          <cell r="N462">
            <v>2334.2431795072707</v>
          </cell>
          <cell r="O462">
            <v>2427.6129066875615</v>
          </cell>
          <cell r="P462">
            <v>2524.7174229550642</v>
          </cell>
          <cell r="Q462">
            <v>2625.7061198732667</v>
          </cell>
          <cell r="R462">
            <v>2730.7343646681975</v>
          </cell>
          <cell r="S462">
            <v>2839.9637392549253</v>
          </cell>
          <cell r="T462">
            <v>2953.5622888251223</v>
          </cell>
        </row>
        <row r="463">
          <cell r="K463" t="str">
            <v>USASolutionsDelivery Center/Local94ST</v>
          </cell>
          <cell r="L463" t="str">
            <v>Sr. Executive</v>
          </cell>
          <cell r="M463">
            <v>156</v>
          </cell>
          <cell r="N463">
            <v>2513.5005856130042</v>
          </cell>
          <cell r="O463">
            <v>2614.0406090375245</v>
          </cell>
          <cell r="P463">
            <v>2718.6022333990254</v>
          </cell>
          <cell r="Q463">
            <v>2827.3463227349866</v>
          </cell>
          <cell r="R463">
            <v>2940.4401756443863</v>
          </cell>
          <cell r="S463">
            <v>3058.0577826701619</v>
          </cell>
          <cell r="T463">
            <v>3180.3800939769685</v>
          </cell>
        </row>
        <row r="464">
          <cell r="K464" t="str">
            <v>USASolutionsDelivery Center/Local95LT</v>
          </cell>
          <cell r="L464" t="str">
            <v>Sr. Executive</v>
          </cell>
          <cell r="M464">
            <v>156</v>
          </cell>
          <cell r="N464">
            <v>2643.5116929001242</v>
          </cell>
          <cell r="O464">
            <v>2749.2521606161295</v>
          </cell>
          <cell r="P464">
            <v>2859.2222470407746</v>
          </cell>
          <cell r="Q464">
            <v>2973.5911369224059</v>
          </cell>
          <cell r="R464">
            <v>3092.5347823993025</v>
          </cell>
          <cell r="S464">
            <v>3216.2361736952748</v>
          </cell>
          <cell r="T464">
            <v>3344.885620643086</v>
          </cell>
        </row>
        <row r="465">
          <cell r="K465" t="str">
            <v>USASolutionsDelivery Center/Local95ST</v>
          </cell>
          <cell r="L465" t="str">
            <v>Sr. Executive</v>
          </cell>
          <cell r="M465">
            <v>156</v>
          </cell>
          <cell r="N465">
            <v>2846.5192686487148</v>
          </cell>
          <cell r="O465">
            <v>2960.3800393946635</v>
          </cell>
          <cell r="P465">
            <v>3078.7952409704503</v>
          </cell>
          <cell r="Q465">
            <v>3201.9470506092684</v>
          </cell>
          <cell r="R465">
            <v>3330.0249326336393</v>
          </cell>
          <cell r="S465">
            <v>3463.2259299389848</v>
          </cell>
          <cell r="T465">
            <v>3601.7549671365441</v>
          </cell>
        </row>
        <row r="466">
          <cell r="K466" t="str">
            <v>USASolutionsDelivery Center/Local96LT</v>
          </cell>
          <cell r="L466" t="str">
            <v>Sr. Executive</v>
          </cell>
          <cell r="M466">
            <v>156</v>
          </cell>
          <cell r="N466">
            <v>2952.7802062929777</v>
          </cell>
          <cell r="O466">
            <v>3070.891414544697</v>
          </cell>
          <cell r="P466">
            <v>3193.727071126485</v>
          </cell>
          <cell r="Q466">
            <v>3321.4761539715446</v>
          </cell>
          <cell r="R466">
            <v>3454.3352001304065</v>
          </cell>
          <cell r="S466">
            <v>3592.508608135623</v>
          </cell>
          <cell r="T466">
            <v>3736.2089524610483</v>
          </cell>
        </row>
        <row r="467">
          <cell r="K467" t="str">
            <v>USASolutionsDelivery Center/Local96ST</v>
          </cell>
          <cell r="L467" t="str">
            <v>Sr. Executive</v>
          </cell>
          <cell r="M467">
            <v>156</v>
          </cell>
          <cell r="N467">
            <v>3179.5379516844255</v>
          </cell>
          <cell r="O467">
            <v>3306.7194697518025</v>
          </cell>
          <cell r="P467">
            <v>3438.9882485418748</v>
          </cell>
          <cell r="Q467">
            <v>3576.5477784835498</v>
          </cell>
          <cell r="R467">
            <v>3719.6096896228919</v>
          </cell>
          <cell r="S467">
            <v>3868.3940772078076</v>
          </cell>
          <cell r="T467">
            <v>4023.1298402961202</v>
          </cell>
        </row>
        <row r="468">
          <cell r="K468" t="str">
            <v>USASolutionsDelivery Center/Local97LT</v>
          </cell>
          <cell r="L468" t="str">
            <v>Sr. Executive</v>
          </cell>
          <cell r="M468">
            <v>156</v>
          </cell>
          <cell r="N468">
            <v>3262.0487196858439</v>
          </cell>
          <cell r="O468">
            <v>3392.5306684732777</v>
          </cell>
          <cell r="P468">
            <v>3528.2318952122091</v>
          </cell>
          <cell r="Q468">
            <v>3669.3611710206974</v>
          </cell>
          <cell r="R468">
            <v>3816.1356178615256</v>
          </cell>
          <cell r="S468">
            <v>3968.7810425759867</v>
          </cell>
          <cell r="T468">
            <v>4127.5322842790265</v>
          </cell>
        </row>
        <row r="469">
          <cell r="K469" t="str">
            <v>USASolutionsDelivery Center/Local97ST</v>
          </cell>
          <cell r="L469" t="str">
            <v>Sr. Executive</v>
          </cell>
          <cell r="M469">
            <v>156</v>
          </cell>
          <cell r="N469">
            <v>3512.5566347201493</v>
          </cell>
          <cell r="O469">
            <v>3653.0589001089552</v>
          </cell>
          <cell r="P469">
            <v>3799.1812561133133</v>
          </cell>
          <cell r="Q469">
            <v>3951.1485063578461</v>
          </cell>
          <cell r="R469">
            <v>4109.1944466121604</v>
          </cell>
          <cell r="S469">
            <v>4273.5622244766473</v>
          </cell>
          <cell r="T469">
            <v>4444.5047134557135</v>
          </cell>
        </row>
        <row r="470">
          <cell r="K470" t="str">
            <v>USASolutionsDelivery Center/Local98LT</v>
          </cell>
          <cell r="L470" t="str">
            <v>Sr. Executive</v>
          </cell>
          <cell r="M470">
            <v>156</v>
          </cell>
          <cell r="N470">
            <v>3571.3176196643367</v>
          </cell>
          <cell r="O470">
            <v>3714.1703244509104</v>
          </cell>
          <cell r="P470">
            <v>3862.7371374289469</v>
          </cell>
          <cell r="Q470">
            <v>4017.2466229261049</v>
          </cell>
          <cell r="R470">
            <v>4177.9364878431488</v>
          </cell>
          <cell r="S470">
            <v>4345.0539473568751</v>
          </cell>
          <cell r="T470">
            <v>4518.8561052511504</v>
          </cell>
        </row>
        <row r="471">
          <cell r="K471" t="str">
            <v>USASolutionsDelivery Center/Local98ST</v>
          </cell>
          <cell r="L471" t="str">
            <v>Sr. Executive</v>
          </cell>
          <cell r="M471">
            <v>156</v>
          </cell>
          <cell r="N471">
            <v>3845.5757340292107</v>
          </cell>
          <cell r="O471">
            <v>3999.3987633903794</v>
          </cell>
          <cell r="P471">
            <v>4159.3747139259949</v>
          </cell>
          <cell r="Q471">
            <v>4325.7497024830345</v>
          </cell>
          <cell r="R471">
            <v>4498.7796905823561</v>
          </cell>
          <cell r="S471">
            <v>4678.7308782056507</v>
          </cell>
          <cell r="T471">
            <v>4865.8801133338766</v>
          </cell>
        </row>
        <row r="472">
          <cell r="K472" t="str">
            <v>USASolutionsDelivery Center/Local67LT</v>
          </cell>
          <cell r="L472" t="str">
            <v>Sr. Manager</v>
          </cell>
          <cell r="M472">
            <v>156</v>
          </cell>
          <cell r="N472">
            <v>102.94318561664601</v>
          </cell>
          <cell r="O472">
            <v>107.06091304131185</v>
          </cell>
          <cell r="P472">
            <v>111.34334956296432</v>
          </cell>
          <cell r="Q472">
            <v>115.79708354548289</v>
          </cell>
          <cell r="R472">
            <v>120.42896688730221</v>
          </cell>
          <cell r="S472">
            <v>125.2461255627943</v>
          </cell>
          <cell r="T472">
            <v>130.25597058530607</v>
          </cell>
        </row>
        <row r="473">
          <cell r="K473" t="str">
            <v>USASolutionsDelivery Center/Local67ST</v>
          </cell>
          <cell r="L473" t="str">
            <v>Sr. Manager</v>
          </cell>
          <cell r="M473">
            <v>156</v>
          </cell>
          <cell r="N473">
            <v>110.84867232510297</v>
          </cell>
          <cell r="O473">
            <v>115.28261921810709</v>
          </cell>
          <cell r="P473">
            <v>119.89392398683137</v>
          </cell>
          <cell r="Q473">
            <v>124.68968094630462</v>
          </cell>
          <cell r="R473">
            <v>129.67726818415682</v>
          </cell>
          <cell r="S473">
            <v>134.86435891152308</v>
          </cell>
          <cell r="T473">
            <v>140.25893326798402</v>
          </cell>
        </row>
        <row r="474">
          <cell r="K474" t="str">
            <v>USASolutionsDelivery Center/Local68LT</v>
          </cell>
          <cell r="L474" t="str">
            <v>Sr. Manager</v>
          </cell>
          <cell r="M474">
            <v>156</v>
          </cell>
          <cell r="N474">
            <v>122.61638594864243</v>
          </cell>
          <cell r="O474">
            <v>127.52104138658814</v>
          </cell>
          <cell r="P474">
            <v>132.62188304205168</v>
          </cell>
          <cell r="Q474">
            <v>137.92675836373374</v>
          </cell>
          <cell r="R474">
            <v>143.44382869828308</v>
          </cell>
          <cell r="S474">
            <v>149.18158184621441</v>
          </cell>
          <cell r="T474">
            <v>155.14884512006299</v>
          </cell>
        </row>
        <row r="475">
          <cell r="K475" t="str">
            <v>USASolutionsDelivery Center/Local68ST</v>
          </cell>
          <cell r="L475" t="str">
            <v>Sr. Manager</v>
          </cell>
          <cell r="M475">
            <v>156</v>
          </cell>
          <cell r="N475">
            <v>132.0326693436968</v>
          </cell>
          <cell r="O475">
            <v>137.31397611744467</v>
          </cell>
          <cell r="P475">
            <v>142.80653516214247</v>
          </cell>
          <cell r="Q475">
            <v>148.51879656862818</v>
          </cell>
          <cell r="R475">
            <v>154.45954843137332</v>
          </cell>
          <cell r="S475">
            <v>160.63793036862825</v>
          </cell>
          <cell r="T475">
            <v>167.06344758337337</v>
          </cell>
        </row>
        <row r="476">
          <cell r="K476" t="str">
            <v>USASolutionsDelivery Center/Local69LT</v>
          </cell>
          <cell r="L476" t="str">
            <v>Sr. Manager</v>
          </cell>
          <cell r="M476">
            <v>156</v>
          </cell>
          <cell r="N476">
            <v>154.66467608339801</v>
          </cell>
          <cell r="O476">
            <v>160.85126312673393</v>
          </cell>
          <cell r="P476">
            <v>167.28531365180328</v>
          </cell>
          <cell r="Q476">
            <v>173.97672619787542</v>
          </cell>
          <cell r="R476">
            <v>180.93579524579044</v>
          </cell>
          <cell r="S476">
            <v>188.17322705562208</v>
          </cell>
          <cell r="T476">
            <v>195.70015613784696</v>
          </cell>
        </row>
        <row r="477">
          <cell r="K477" t="str">
            <v>USASolutionsDelivery Center/Local69ST</v>
          </cell>
          <cell r="L477" t="str">
            <v>Sr. Manager</v>
          </cell>
          <cell r="M477">
            <v>156</v>
          </cell>
          <cell r="N477">
            <v>166.54209695123825</v>
          </cell>
          <cell r="O477">
            <v>173.20378082928778</v>
          </cell>
          <cell r="P477">
            <v>180.1319320624593</v>
          </cell>
          <cell r="Q477">
            <v>187.33720934495767</v>
          </cell>
          <cell r="R477">
            <v>194.83069771875597</v>
          </cell>
          <cell r="S477">
            <v>202.62392562750622</v>
          </cell>
          <cell r="T477">
            <v>210.72888265260647</v>
          </cell>
        </row>
        <row r="478">
          <cell r="K478" t="str">
            <v>USASolutionsDelivery Center/Local30LT</v>
          </cell>
          <cell r="L478" t="str">
            <v>Sr. Programmer</v>
          </cell>
          <cell r="M478">
            <v>156</v>
          </cell>
          <cell r="N478">
            <v>45.158247659927106</v>
          </cell>
          <cell r="O478">
            <v>46.964577566324195</v>
          </cell>
          <cell r="P478">
            <v>48.843160668977163</v>
          </cell>
          <cell r="Q478">
            <v>50.796887095736253</v>
          </cell>
          <cell r="R478">
            <v>52.828762579565705</v>
          </cell>
          <cell r="S478">
            <v>54.941913082748336</v>
          </cell>
          <cell r="T478">
            <v>57.139589606058273</v>
          </cell>
        </row>
        <row r="479">
          <cell r="K479" t="str">
            <v>USASolutionsDelivery Center/Local30ST</v>
          </cell>
          <cell r="L479" t="str">
            <v>Sr. Programmer</v>
          </cell>
          <cell r="M479">
            <v>156</v>
          </cell>
          <cell r="N479">
            <v>48.626159834145213</v>
          </cell>
          <cell r="O479">
            <v>50.57120622751102</v>
          </cell>
          <cell r="P479">
            <v>52.594054476611461</v>
          </cell>
          <cell r="Q479">
            <v>54.697816655675922</v>
          </cell>
          <cell r="R479">
            <v>56.885729321902964</v>
          </cell>
          <cell r="S479">
            <v>59.161158494779087</v>
          </cell>
          <cell r="T479">
            <v>61.527604834570255</v>
          </cell>
        </row>
        <row r="480">
          <cell r="K480" t="str">
            <v>USASolutionsDelivery Center/Local31LT</v>
          </cell>
          <cell r="L480" t="str">
            <v>Sr. Programmer</v>
          </cell>
          <cell r="M480">
            <v>156</v>
          </cell>
          <cell r="N480">
            <v>49.612503206846178</v>
          </cell>
          <cell r="O480">
            <v>51.597003335120029</v>
          </cell>
          <cell r="P480">
            <v>53.66088346852483</v>
          </cell>
          <cell r="Q480">
            <v>55.807318807265823</v>
          </cell>
          <cell r="R480">
            <v>58.039611559556455</v>
          </cell>
          <cell r="S480">
            <v>60.361196021938717</v>
          </cell>
          <cell r="T480">
            <v>62.775643862816267</v>
          </cell>
        </row>
        <row r="481">
          <cell r="K481" t="str">
            <v>USASolutionsDelivery Center/Local31ST</v>
          </cell>
          <cell r="L481" t="str">
            <v>Sr. Programmer</v>
          </cell>
          <cell r="M481">
            <v>156</v>
          </cell>
          <cell r="N481">
            <v>53.422478411378606</v>
          </cell>
          <cell r="O481">
            <v>55.559377547833755</v>
          </cell>
          <cell r="P481">
            <v>57.781752649747105</v>
          </cell>
          <cell r="Q481">
            <v>60.093022755736989</v>
          </cell>
          <cell r="R481">
            <v>62.49674366596647</v>
          </cell>
          <cell r="S481">
            <v>64.996613412605129</v>
          </cell>
          <cell r="T481">
            <v>67.596477949109342</v>
          </cell>
        </row>
        <row r="482">
          <cell r="K482" t="str">
            <v>USASolutionsDelivery Center/Local32LT</v>
          </cell>
          <cell r="L482" t="str">
            <v>Sr. Programmer</v>
          </cell>
          <cell r="M482">
            <v>156</v>
          </cell>
          <cell r="N482">
            <v>55.882000826886241</v>
          </cell>
          <cell r="O482">
            <v>58.117280859961696</v>
          </cell>
          <cell r="P482">
            <v>60.441972094360167</v>
          </cell>
          <cell r="Q482">
            <v>62.859650978134574</v>
          </cell>
          <cell r="R482">
            <v>65.374037017259965</v>
          </cell>
          <cell r="S482">
            <v>67.988998497950362</v>
          </cell>
          <cell r="T482">
            <v>70.708558437868376</v>
          </cell>
        </row>
        <row r="483">
          <cell r="K483" t="str">
            <v>USASolutionsDelivery Center/Local32ST</v>
          </cell>
          <cell r="L483" t="str">
            <v>Sr. Programmer</v>
          </cell>
          <cell r="M483">
            <v>156</v>
          </cell>
          <cell r="N483">
            <v>60.173439955495205</v>
          </cell>
          <cell r="O483">
            <v>62.580377553715017</v>
          </cell>
          <cell r="P483">
            <v>65.083592655863626</v>
          </cell>
          <cell r="Q483">
            <v>67.68693636209818</v>
          </cell>
          <cell r="R483">
            <v>70.394413816582116</v>
          </cell>
          <cell r="S483">
            <v>73.210190369245396</v>
          </cell>
          <cell r="T483">
            <v>76.13859798401522</v>
          </cell>
        </row>
        <row r="484">
          <cell r="K484" t="str">
            <v>USASolutionsDelivery Center/Local33LT</v>
          </cell>
          <cell r="L484" t="str">
            <v>Sr. Programmer</v>
          </cell>
          <cell r="M484">
            <v>156</v>
          </cell>
          <cell r="N484">
            <v>65.788852316729759</v>
          </cell>
          <cell r="O484">
            <v>68.42040640939895</v>
          </cell>
          <cell r="P484">
            <v>71.15722266577491</v>
          </cell>
          <cell r="Q484">
            <v>74.003511572405912</v>
          </cell>
          <cell r="R484">
            <v>76.963652035302147</v>
          </cell>
          <cell r="S484">
            <v>80.042198116714232</v>
          </cell>
          <cell r="T484">
            <v>83.243886041382808</v>
          </cell>
        </row>
        <row r="485">
          <cell r="K485" t="str">
            <v>USASolutionsDelivery Center/Local33ST</v>
          </cell>
          <cell r="L485" t="str">
            <v>Sr. Programmer</v>
          </cell>
          <cell r="M485">
            <v>156</v>
          </cell>
          <cell r="N485">
            <v>70.841084715009515</v>
          </cell>
          <cell r="O485">
            <v>73.674728103609894</v>
          </cell>
          <cell r="P485">
            <v>76.621717227754289</v>
          </cell>
          <cell r="Q485">
            <v>79.686585916864459</v>
          </cell>
          <cell r="R485">
            <v>82.874049353539036</v>
          </cell>
          <cell r="S485">
            <v>86.189011327680603</v>
          </cell>
          <cell r="T485">
            <v>89.636571780787833</v>
          </cell>
        </row>
        <row r="486">
          <cell r="K486" t="str">
            <v>USASolutionsDelivery Center/Local54LT</v>
          </cell>
          <cell r="L486" t="str">
            <v>Sr. System Analyst</v>
          </cell>
          <cell r="M486">
            <v>156</v>
          </cell>
          <cell r="N486">
            <v>68.286458188110274</v>
          </cell>
          <cell r="O486">
            <v>71.017916515634681</v>
          </cell>
          <cell r="P486">
            <v>73.858633176260071</v>
          </cell>
          <cell r="Q486">
            <v>76.812978503310475</v>
          </cell>
          <cell r="R486">
            <v>79.885497643442903</v>
          </cell>
          <cell r="S486">
            <v>83.080917549180626</v>
          </cell>
          <cell r="T486">
            <v>86.404154251147858</v>
          </cell>
        </row>
        <row r="487">
          <cell r="K487" t="str">
            <v>USASolutionsDelivery Center/Local54ST</v>
          </cell>
          <cell r="L487" t="str">
            <v>Sr. System Analyst</v>
          </cell>
          <cell r="M487">
            <v>156</v>
          </cell>
          <cell r="N487">
            <v>73.530493374509405</v>
          </cell>
          <cell r="O487">
            <v>76.471713109489784</v>
          </cell>
          <cell r="P487">
            <v>79.530581633869375</v>
          </cell>
          <cell r="Q487">
            <v>82.711804899224148</v>
          </cell>
          <cell r="R487">
            <v>86.020277095193123</v>
          </cell>
          <cell r="S487">
            <v>89.461088179000853</v>
          </cell>
          <cell r="T487">
            <v>93.039531706160886</v>
          </cell>
        </row>
        <row r="488">
          <cell r="K488" t="str">
            <v>USASolutionsDelivery Center/Local55LT</v>
          </cell>
          <cell r="L488" t="str">
            <v>Sr. System Analyst</v>
          </cell>
          <cell r="M488">
            <v>156</v>
          </cell>
          <cell r="N488">
            <v>77.714640940153799</v>
          </cell>
          <cell r="O488">
            <v>80.823226577759954</v>
          </cell>
          <cell r="P488">
            <v>84.056155640870358</v>
          </cell>
          <cell r="Q488">
            <v>87.418401866505178</v>
          </cell>
          <cell r="R488">
            <v>90.915137941165383</v>
          </cell>
          <cell r="S488">
            <v>94.551743458811998</v>
          </cell>
          <cell r="T488">
            <v>98.333813197164488</v>
          </cell>
        </row>
        <row r="489">
          <cell r="K489" t="str">
            <v>USASolutionsDelivery Center/Local55ST</v>
          </cell>
          <cell r="L489" t="str">
            <v>Sr. System Analyst</v>
          </cell>
          <cell r="M489">
            <v>156</v>
          </cell>
          <cell r="N489">
            <v>83.682710194322553</v>
          </cell>
          <cell r="O489">
            <v>87.030018602095453</v>
          </cell>
          <cell r="P489">
            <v>90.511219346179274</v>
          </cell>
          <cell r="Q489">
            <v>94.131668120026447</v>
          </cell>
          <cell r="R489">
            <v>97.896934844827513</v>
          </cell>
          <cell r="S489">
            <v>101.81281223862062</v>
          </cell>
          <cell r="T489">
            <v>105.88532472816546</v>
          </cell>
        </row>
        <row r="490">
          <cell r="K490" t="str">
            <v>USASolutionsDelivery Center/Local56LT</v>
          </cell>
          <cell r="L490" t="str">
            <v>Sr. System Analyst</v>
          </cell>
          <cell r="M490">
            <v>156</v>
          </cell>
          <cell r="N490">
            <v>93.25769021006974</v>
          </cell>
          <cell r="O490">
            <v>96.987997818472536</v>
          </cell>
          <cell r="P490">
            <v>100.86751773121144</v>
          </cell>
          <cell r="Q490">
            <v>104.90221844045989</v>
          </cell>
          <cell r="R490">
            <v>109.09830717807829</v>
          </cell>
          <cell r="S490">
            <v>113.46223946520142</v>
          </cell>
          <cell r="T490">
            <v>118.00072904380949</v>
          </cell>
        </row>
        <row r="491">
          <cell r="K491" t="str">
            <v>USASolutionsDelivery Center/Local56ST</v>
          </cell>
          <cell r="L491" t="str">
            <v>Sr. System Analyst</v>
          </cell>
          <cell r="M491">
            <v>156</v>
          </cell>
          <cell r="N491">
            <v>100.41938261351416</v>
          </cell>
          <cell r="O491">
            <v>104.43615791805473</v>
          </cell>
          <cell r="P491">
            <v>108.61360423477693</v>
          </cell>
          <cell r="Q491">
            <v>112.95814840416801</v>
          </cell>
          <cell r="R491">
            <v>117.47647434033473</v>
          </cell>
          <cell r="S491">
            <v>122.17553331394812</v>
          </cell>
          <cell r="T491">
            <v>127.06255464650606</v>
          </cell>
        </row>
        <row r="492">
          <cell r="K492" t="str">
            <v>USASolutionsDelivery Center/Local57LT</v>
          </cell>
          <cell r="L492" t="str">
            <v>Sr. System Analyst</v>
          </cell>
          <cell r="M492">
            <v>156</v>
          </cell>
          <cell r="N492">
            <v>102.93930529796806</v>
          </cell>
          <cell r="O492">
            <v>107.05687750988679</v>
          </cell>
          <cell r="P492">
            <v>111.33915261028227</v>
          </cell>
          <cell r="Q492">
            <v>115.79271871469356</v>
          </cell>
          <cell r="R492">
            <v>120.4244274632813</v>
          </cell>
          <cell r="S492">
            <v>125.24140456181256</v>
          </cell>
          <cell r="T492">
            <v>130.25106074428507</v>
          </cell>
        </row>
        <row r="493">
          <cell r="K493" t="str">
            <v>USASolutionsDelivery Center/Local57ST</v>
          </cell>
          <cell r="L493" t="str">
            <v>Sr. System Analyst</v>
          </cell>
          <cell r="M493">
            <v>156</v>
          </cell>
          <cell r="N493">
            <v>110.84449401868014</v>
          </cell>
          <cell r="O493">
            <v>115.27827377942735</v>
          </cell>
          <cell r="P493">
            <v>119.88940473060445</v>
          </cell>
          <cell r="Q493">
            <v>124.68498091982863</v>
          </cell>
          <cell r="R493">
            <v>129.67238015662178</v>
          </cell>
          <cell r="S493">
            <v>134.85927536288665</v>
          </cell>
          <cell r="T493">
            <v>140.25364637740211</v>
          </cell>
        </row>
        <row r="494">
          <cell r="K494" t="str">
            <v>USASolutionsDelivery Center/Local50LT</v>
          </cell>
          <cell r="L494" t="str">
            <v>System Analyst</v>
          </cell>
          <cell r="M494">
            <v>156</v>
          </cell>
          <cell r="N494">
            <v>57.959144464846673</v>
          </cell>
          <cell r="O494">
            <v>60.277510243440545</v>
          </cell>
          <cell r="P494">
            <v>62.688610653178166</v>
          </cell>
          <cell r="Q494">
            <v>65.196155079305299</v>
          </cell>
          <cell r="R494">
            <v>67.804001282477515</v>
          </cell>
          <cell r="S494">
            <v>70.516161333776623</v>
          </cell>
          <cell r="T494">
            <v>73.336807787127697</v>
          </cell>
        </row>
        <row r="495">
          <cell r="K495" t="str">
            <v>USASolutionsDelivery Center/Local50ST</v>
          </cell>
          <cell r="L495" t="str">
            <v>System Analyst</v>
          </cell>
          <cell r="M495">
            <v>156</v>
          </cell>
          <cell r="N495">
            <v>62.410097128257277</v>
          </cell>
          <cell r="O495">
            <v>64.906501013387569</v>
          </cell>
          <cell r="P495">
            <v>67.502761053923081</v>
          </cell>
          <cell r="Q495">
            <v>70.202871496080007</v>
          </cell>
          <cell r="R495">
            <v>73.010986355923208</v>
          </cell>
          <cell r="S495">
            <v>75.931425810160135</v>
          </cell>
          <cell r="T495">
            <v>78.968682842566537</v>
          </cell>
        </row>
        <row r="496">
          <cell r="K496" t="str">
            <v>USASolutionsDelivery Center/Local51LT</v>
          </cell>
          <cell r="L496" t="str">
            <v>System Analyst</v>
          </cell>
          <cell r="M496">
            <v>156</v>
          </cell>
          <cell r="N496">
            <v>64.144585974893573</v>
          </cell>
          <cell r="O496">
            <v>66.710369413889325</v>
          </cell>
          <cell r="P496">
            <v>69.378784190444904</v>
          </cell>
          <cell r="Q496">
            <v>72.153935558062699</v>
          </cell>
          <cell r="R496">
            <v>75.040092980385211</v>
          </cell>
          <cell r="S496">
            <v>78.041696699600621</v>
          </cell>
          <cell r="T496">
            <v>81.163364567584651</v>
          </cell>
        </row>
        <row r="497">
          <cell r="K497" t="str">
            <v>USASolutionsDelivery Center/Local51ST</v>
          </cell>
          <cell r="L497" t="str">
            <v>System Analyst</v>
          </cell>
          <cell r="M497">
            <v>156</v>
          </cell>
          <cell r="N497">
            <v>69.070547502180901</v>
          </cell>
          <cell r="O497">
            <v>71.833369402268133</v>
          </cell>
          <cell r="P497">
            <v>74.706704178358862</v>
          </cell>
          <cell r="Q497">
            <v>77.694972345493213</v>
          </cell>
          <cell r="R497">
            <v>80.802771239312946</v>
          </cell>
          <cell r="S497">
            <v>84.034882088885468</v>
          </cell>
          <cell r="T497">
            <v>87.396277372440892</v>
          </cell>
        </row>
        <row r="498">
          <cell r="K498" t="str">
            <v>USASolutionsDelivery Center/Local52LT</v>
          </cell>
          <cell r="L498" t="str">
            <v>System Analyst</v>
          </cell>
          <cell r="M498">
            <v>156</v>
          </cell>
          <cell r="N498">
            <v>73.362519075349695</v>
          </cell>
          <cell r="O498">
            <v>76.297019838363681</v>
          </cell>
          <cell r="P498">
            <v>79.348900631898232</v>
          </cell>
          <cell r="Q498">
            <v>82.52285665717416</v>
          </cell>
          <cell r="R498">
            <v>85.823770923461126</v>
          </cell>
          <cell r="S498">
            <v>89.256721760399572</v>
          </cell>
          <cell r="T498">
            <v>92.826990630815558</v>
          </cell>
        </row>
        <row r="499">
          <cell r="K499" t="str">
            <v>USASolutionsDelivery Center/Local52ST</v>
          </cell>
          <cell r="L499" t="str">
            <v>System Analyst</v>
          </cell>
          <cell r="M499">
            <v>156</v>
          </cell>
          <cell r="N499">
            <v>78.996368620368216</v>
          </cell>
          <cell r="O499">
            <v>82.156223365182953</v>
          </cell>
          <cell r="P499">
            <v>85.442472299790268</v>
          </cell>
          <cell r="Q499">
            <v>88.860171191781888</v>
          </cell>
          <cell r="R499">
            <v>92.414578039453161</v>
          </cell>
          <cell r="S499">
            <v>96.111161161031291</v>
          </cell>
          <cell r="T499">
            <v>99.955607607472544</v>
          </cell>
        </row>
        <row r="500">
          <cell r="K500" t="str">
            <v>USASolutionsDelivery Center/Local53LT</v>
          </cell>
          <cell r="L500" t="str">
            <v>System Analyst</v>
          </cell>
          <cell r="M500">
            <v>156</v>
          </cell>
          <cell r="N500">
            <v>80.950451748159892</v>
          </cell>
          <cell r="O500">
            <v>84.18846981808629</v>
          </cell>
          <cell r="P500">
            <v>87.556008610809741</v>
          </cell>
          <cell r="Q500">
            <v>91.058248955242135</v>
          </cell>
          <cell r="R500">
            <v>94.700578913451821</v>
          </cell>
          <cell r="S500">
            <v>98.488602069989895</v>
          </cell>
          <cell r="T500">
            <v>102.42814615278949</v>
          </cell>
        </row>
        <row r="501">
          <cell r="K501" t="str">
            <v>USASolutionsDelivery Center/Local53ST</v>
          </cell>
          <cell r="L501" t="str">
            <v>System Analyst</v>
          </cell>
          <cell r="M501">
            <v>156</v>
          </cell>
          <cell r="N501">
            <v>87.167013985915091</v>
          </cell>
          <cell r="O501">
            <v>90.653694545351698</v>
          </cell>
          <cell r="P501">
            <v>94.279842327165767</v>
          </cell>
          <cell r="Q501">
            <v>98.051036020252397</v>
          </cell>
          <cell r="R501">
            <v>101.9730774610625</v>
          </cell>
          <cell r="S501">
            <v>106.052000559505</v>
          </cell>
          <cell r="T501">
            <v>110.29408058188521</v>
          </cell>
        </row>
        <row r="502">
          <cell r="K502" t="str">
            <v>USAClientNANANA</v>
          </cell>
          <cell r="L502" t="str">
            <v>NA</v>
          </cell>
          <cell r="M502">
            <v>160</v>
          </cell>
          <cell r="N502">
            <v>0</v>
          </cell>
          <cell r="O502">
            <v>0</v>
          </cell>
          <cell r="P502">
            <v>0</v>
          </cell>
          <cell r="Q502">
            <v>0</v>
          </cell>
          <cell r="R502">
            <v>0</v>
          </cell>
          <cell r="S502">
            <v>0</v>
          </cell>
          <cell r="T502">
            <v>0</v>
          </cell>
        </row>
        <row r="503">
          <cell r="K503" t="str">
            <v>USASubcontractorsNA1NA</v>
          </cell>
          <cell r="L503" t="str">
            <v>Subcontractor 1</v>
          </cell>
          <cell r="M503">
            <v>160</v>
          </cell>
          <cell r="N503">
            <v>65</v>
          </cell>
          <cell r="O503">
            <v>66.95</v>
          </cell>
          <cell r="P503">
            <v>68.958500000000001</v>
          </cell>
          <cell r="Q503">
            <v>71.027254999999997</v>
          </cell>
          <cell r="R503">
            <v>73.158072649999994</v>
          </cell>
          <cell r="S503">
            <v>75.352814829499991</v>
          </cell>
          <cell r="T503">
            <v>77.613399274384989</v>
          </cell>
        </row>
        <row r="504">
          <cell r="K504" t="str">
            <v>USASubcontractorsNA2NA</v>
          </cell>
          <cell r="L504" t="str">
            <v>Subcontractor 1</v>
          </cell>
          <cell r="M504">
            <v>160</v>
          </cell>
          <cell r="N504">
            <v>75</v>
          </cell>
          <cell r="O504">
            <v>77.25</v>
          </cell>
          <cell r="P504">
            <v>79.567499999999995</v>
          </cell>
          <cell r="Q504">
            <v>81.954525000000004</v>
          </cell>
          <cell r="R504">
            <v>84.413160750000003</v>
          </cell>
          <cell r="S504">
            <v>86.945555572499998</v>
          </cell>
          <cell r="T504">
            <v>89.553922239675003</v>
          </cell>
        </row>
        <row r="505">
          <cell r="K505" t="str">
            <v>USASubcontractorsNA3NA</v>
          </cell>
          <cell r="L505" t="str">
            <v>Subcontractor 1</v>
          </cell>
          <cell r="M505">
            <v>160</v>
          </cell>
          <cell r="N505">
            <v>95</v>
          </cell>
          <cell r="O505">
            <v>97.850000000000009</v>
          </cell>
          <cell r="P505">
            <v>100.78550000000001</v>
          </cell>
          <cell r="Q505">
            <v>103.80906500000002</v>
          </cell>
          <cell r="R505">
            <v>106.92333695000002</v>
          </cell>
          <cell r="S505">
            <v>110.13103705850003</v>
          </cell>
          <cell r="T505">
            <v>113.43496817025503</v>
          </cell>
        </row>
        <row r="506">
          <cell r="K506" t="str">
            <v>USASubcontractorsNA4NA</v>
          </cell>
          <cell r="L506" t="str">
            <v>Subcontractor 1</v>
          </cell>
          <cell r="M506">
            <v>160</v>
          </cell>
          <cell r="N506">
            <v>105</v>
          </cell>
          <cell r="O506">
            <v>108.15</v>
          </cell>
          <cell r="P506">
            <v>111.39450000000001</v>
          </cell>
          <cell r="Q506">
            <v>114.73633500000001</v>
          </cell>
          <cell r="R506">
            <v>118.17842505000002</v>
          </cell>
          <cell r="S506">
            <v>121.72377780150002</v>
          </cell>
          <cell r="T506">
            <v>125.37549113554502</v>
          </cell>
        </row>
        <row r="507">
          <cell r="K507" t="str">
            <v>USASubcontractorsNA5NA</v>
          </cell>
          <cell r="L507" t="str">
            <v>Subcontractor 1</v>
          </cell>
          <cell r="M507">
            <v>160</v>
          </cell>
          <cell r="N507">
            <v>115</v>
          </cell>
          <cell r="O507">
            <v>118.45</v>
          </cell>
          <cell r="P507">
            <v>122.0035</v>
          </cell>
          <cell r="Q507">
            <v>125.663605</v>
          </cell>
          <cell r="R507">
            <v>129.43351315000001</v>
          </cell>
          <cell r="S507">
            <v>133.31651854450001</v>
          </cell>
          <cell r="T507">
            <v>137.31601410083502</v>
          </cell>
        </row>
        <row r="508">
          <cell r="K508" t="str">
            <v>USASubcontractorsNA6NA</v>
          </cell>
          <cell r="L508" t="str">
            <v>Subcontractor 1</v>
          </cell>
          <cell r="M508">
            <v>160</v>
          </cell>
          <cell r="N508">
            <v>135</v>
          </cell>
          <cell r="O508">
            <v>139.05000000000001</v>
          </cell>
          <cell r="P508">
            <v>143.22150000000002</v>
          </cell>
          <cell r="Q508">
            <v>147.51814500000003</v>
          </cell>
          <cell r="R508">
            <v>151.94368935000003</v>
          </cell>
          <cell r="S508">
            <v>156.50200003050003</v>
          </cell>
          <cell r="T508">
            <v>161.19706003141502</v>
          </cell>
        </row>
        <row r="509">
          <cell r="K509" t="str">
            <v>USASubcontractorsNA7NA</v>
          </cell>
          <cell r="L509" t="str">
            <v>Subcontractor 2</v>
          </cell>
          <cell r="M509">
            <v>160</v>
          </cell>
          <cell r="N509">
            <v>65</v>
          </cell>
          <cell r="O509">
            <v>66.95</v>
          </cell>
          <cell r="P509">
            <v>68.958500000000001</v>
          </cell>
          <cell r="Q509">
            <v>71.027254999999997</v>
          </cell>
          <cell r="R509">
            <v>73.158072649999994</v>
          </cell>
          <cell r="S509">
            <v>75.352814829499991</v>
          </cell>
          <cell r="T509">
            <v>77.613399274384989</v>
          </cell>
        </row>
        <row r="510">
          <cell r="K510" t="str">
            <v>USASubcontractorsNA8NA</v>
          </cell>
          <cell r="L510" t="str">
            <v>Subcontractor 2</v>
          </cell>
          <cell r="M510">
            <v>160</v>
          </cell>
          <cell r="N510">
            <v>75</v>
          </cell>
          <cell r="O510">
            <v>77.25</v>
          </cell>
          <cell r="P510">
            <v>79.567499999999995</v>
          </cell>
          <cell r="Q510">
            <v>81.954525000000004</v>
          </cell>
          <cell r="R510">
            <v>84.413160750000003</v>
          </cell>
          <cell r="S510">
            <v>86.945555572499998</v>
          </cell>
          <cell r="T510">
            <v>89.553922239675003</v>
          </cell>
        </row>
        <row r="511">
          <cell r="K511" t="str">
            <v>USASubcontractorsNA9NA</v>
          </cell>
          <cell r="L511" t="str">
            <v>Subcontractor 2</v>
          </cell>
          <cell r="M511">
            <v>160</v>
          </cell>
          <cell r="N511">
            <v>95</v>
          </cell>
          <cell r="O511">
            <v>97.850000000000009</v>
          </cell>
          <cell r="P511">
            <v>100.78550000000001</v>
          </cell>
          <cell r="Q511">
            <v>103.80906500000002</v>
          </cell>
          <cell r="R511">
            <v>106.92333695000002</v>
          </cell>
          <cell r="S511">
            <v>110.13103705850003</v>
          </cell>
          <cell r="T511">
            <v>113.43496817025503</v>
          </cell>
        </row>
        <row r="512">
          <cell r="K512" t="str">
            <v>USASubcontractorsNA10NA</v>
          </cell>
          <cell r="L512" t="str">
            <v>Subcontractor 2</v>
          </cell>
          <cell r="M512">
            <v>160</v>
          </cell>
          <cell r="N512">
            <v>105</v>
          </cell>
          <cell r="O512">
            <v>108.15</v>
          </cell>
          <cell r="P512">
            <v>111.39450000000001</v>
          </cell>
          <cell r="Q512">
            <v>114.73633500000001</v>
          </cell>
          <cell r="R512">
            <v>118.17842505000002</v>
          </cell>
          <cell r="S512">
            <v>121.72377780150002</v>
          </cell>
          <cell r="T512">
            <v>125.37549113554502</v>
          </cell>
        </row>
        <row r="513">
          <cell r="K513" t="str">
            <v>USASubcontractorsNA11NA</v>
          </cell>
          <cell r="L513" t="str">
            <v>Subcontractor 2</v>
          </cell>
          <cell r="M513">
            <v>160</v>
          </cell>
          <cell r="N513">
            <v>115</v>
          </cell>
          <cell r="O513">
            <v>118.45</v>
          </cell>
          <cell r="P513">
            <v>122.0035</v>
          </cell>
          <cell r="Q513">
            <v>125.663605</v>
          </cell>
          <cell r="R513">
            <v>129.43351315000001</v>
          </cell>
          <cell r="S513">
            <v>133.31651854450001</v>
          </cell>
          <cell r="T513">
            <v>137.31601410083502</v>
          </cell>
        </row>
        <row r="514">
          <cell r="K514" t="str">
            <v>USASubcontractorsNA12NA</v>
          </cell>
          <cell r="L514" t="str">
            <v>Subcontractor 2</v>
          </cell>
          <cell r="M514">
            <v>160</v>
          </cell>
          <cell r="N514">
            <v>135</v>
          </cell>
          <cell r="O514">
            <v>139.05000000000001</v>
          </cell>
          <cell r="P514">
            <v>143.22150000000002</v>
          </cell>
          <cell r="Q514">
            <v>147.51814500000003</v>
          </cell>
          <cell r="R514">
            <v>151.94368935000003</v>
          </cell>
          <cell r="S514">
            <v>156.50200003050003</v>
          </cell>
          <cell r="T514">
            <v>161.19706003141502</v>
          </cell>
        </row>
        <row r="515">
          <cell r="K515" t="str">
            <v>USASubcontractorsNA13NA</v>
          </cell>
          <cell r="L515" t="str">
            <v>Subcontractor 3</v>
          </cell>
          <cell r="M515">
            <v>160</v>
          </cell>
          <cell r="N515">
            <v>69</v>
          </cell>
          <cell r="O515">
            <v>71.070000000000007</v>
          </cell>
          <cell r="P515">
            <v>73.202100000000016</v>
          </cell>
          <cell r="Q515">
            <v>75.398163000000025</v>
          </cell>
          <cell r="R515">
            <v>77.660107890000035</v>
          </cell>
          <cell r="S515">
            <v>79.989911126700036</v>
          </cell>
          <cell r="T515">
            <v>82.389608460501037</v>
          </cell>
        </row>
        <row r="516">
          <cell r="K516" t="str">
            <v>USASubcontractorsNA14NA</v>
          </cell>
          <cell r="L516" t="str">
            <v>Subcontractor 3</v>
          </cell>
          <cell r="M516">
            <v>160</v>
          </cell>
          <cell r="N516">
            <v>85</v>
          </cell>
          <cell r="O516">
            <v>87.55</v>
          </cell>
          <cell r="P516">
            <v>90.176500000000004</v>
          </cell>
          <cell r="Q516">
            <v>92.881795000000011</v>
          </cell>
          <cell r="R516">
            <v>95.668248850000012</v>
          </cell>
          <cell r="S516">
            <v>98.53829631550002</v>
          </cell>
          <cell r="T516">
            <v>101.49444520496502</v>
          </cell>
        </row>
        <row r="517">
          <cell r="K517" t="str">
            <v>USASubcontractorsNA15NA</v>
          </cell>
          <cell r="L517" t="str">
            <v>Subcontractor 3</v>
          </cell>
          <cell r="M517">
            <v>160</v>
          </cell>
          <cell r="N517">
            <v>95</v>
          </cell>
          <cell r="O517">
            <v>97.850000000000009</v>
          </cell>
          <cell r="P517">
            <v>100.78550000000001</v>
          </cell>
          <cell r="Q517">
            <v>103.80906500000002</v>
          </cell>
          <cell r="R517">
            <v>106.92333695000002</v>
          </cell>
          <cell r="S517">
            <v>110.13103705850003</v>
          </cell>
          <cell r="T517">
            <v>113.43496817025503</v>
          </cell>
        </row>
        <row r="518">
          <cell r="K518" t="str">
            <v>USASubcontractorsNA16NA</v>
          </cell>
          <cell r="L518" t="str">
            <v>Subcontractor 3</v>
          </cell>
          <cell r="M518">
            <v>160</v>
          </cell>
          <cell r="N518">
            <v>109</v>
          </cell>
          <cell r="O518">
            <v>112.27</v>
          </cell>
          <cell r="P518">
            <v>115.63809999999999</v>
          </cell>
          <cell r="Q518">
            <v>119.107243</v>
          </cell>
          <cell r="R518">
            <v>122.68046029</v>
          </cell>
          <cell r="S518">
            <v>126.36087409870001</v>
          </cell>
          <cell r="T518">
            <v>130.15170032166102</v>
          </cell>
        </row>
        <row r="519">
          <cell r="K519" t="str">
            <v>USASubcontractorsNA17NA</v>
          </cell>
          <cell r="L519" t="str">
            <v>Subcontractor 3</v>
          </cell>
          <cell r="M519">
            <v>160</v>
          </cell>
          <cell r="N519">
            <v>125</v>
          </cell>
          <cell r="O519">
            <v>128.75</v>
          </cell>
          <cell r="P519">
            <v>132.61250000000001</v>
          </cell>
          <cell r="Q519">
            <v>136.59087500000001</v>
          </cell>
          <cell r="R519">
            <v>140.68860125</v>
          </cell>
          <cell r="S519">
            <v>144.90925928750002</v>
          </cell>
          <cell r="T519">
            <v>149.25653706612502</v>
          </cell>
        </row>
        <row r="520">
          <cell r="K520" t="str">
            <v>USASubcontractorsNA18NA</v>
          </cell>
          <cell r="L520" t="str">
            <v>Subcontractor 3</v>
          </cell>
          <cell r="M520">
            <v>160</v>
          </cell>
          <cell r="N520">
            <v>135</v>
          </cell>
          <cell r="O520">
            <v>139.05000000000001</v>
          </cell>
          <cell r="P520">
            <v>143.22150000000002</v>
          </cell>
          <cell r="Q520">
            <v>147.51814500000003</v>
          </cell>
          <cell r="R520">
            <v>151.94368935000003</v>
          </cell>
          <cell r="S520">
            <v>156.50200003050003</v>
          </cell>
          <cell r="T520">
            <v>161.19706003141502</v>
          </cell>
        </row>
        <row r="521">
          <cell r="K521" t="str">
            <v>USASubcontractorsNA19NA</v>
          </cell>
          <cell r="L521" t="str">
            <v>Subcontractor 1</v>
          </cell>
          <cell r="M521">
            <v>160</v>
          </cell>
          <cell r="N521">
            <v>100</v>
          </cell>
          <cell r="O521">
            <v>103</v>
          </cell>
          <cell r="P521">
            <v>106.09</v>
          </cell>
          <cell r="Q521">
            <v>109.2727</v>
          </cell>
          <cell r="R521">
            <v>112.550881</v>
          </cell>
          <cell r="S521">
            <v>115.92740743</v>
          </cell>
          <cell r="T521">
            <v>119.4052296529</v>
          </cell>
        </row>
        <row r="522">
          <cell r="K522" t="str">
            <v>USASubcontractorsNA20NA</v>
          </cell>
          <cell r="L522" t="str">
            <v>Subcontractor 1</v>
          </cell>
          <cell r="M522">
            <v>160</v>
          </cell>
          <cell r="N522">
            <v>100</v>
          </cell>
          <cell r="O522">
            <v>103</v>
          </cell>
          <cell r="P522">
            <v>106.09</v>
          </cell>
          <cell r="Q522">
            <v>109.2727</v>
          </cell>
          <cell r="R522">
            <v>112.550881</v>
          </cell>
          <cell r="S522">
            <v>115.92740743</v>
          </cell>
          <cell r="T522">
            <v>119.4052296529</v>
          </cell>
        </row>
        <row r="523">
          <cell r="K523" t="str">
            <v>USASubcontractorsNA21NA</v>
          </cell>
          <cell r="L523" t="str">
            <v>Subcontractor 1</v>
          </cell>
          <cell r="M523">
            <v>160</v>
          </cell>
          <cell r="N523">
            <v>100</v>
          </cell>
          <cell r="O523">
            <v>103</v>
          </cell>
          <cell r="P523">
            <v>106.09</v>
          </cell>
          <cell r="Q523">
            <v>109.2727</v>
          </cell>
          <cell r="R523">
            <v>112.550881</v>
          </cell>
          <cell r="S523">
            <v>115.92740743</v>
          </cell>
          <cell r="T523">
            <v>119.4052296529</v>
          </cell>
        </row>
        <row r="524">
          <cell r="K524" t="str">
            <v>USASubcontractorsNA22NA</v>
          </cell>
          <cell r="L524" t="str">
            <v>Subcontractor 1</v>
          </cell>
          <cell r="M524">
            <v>160</v>
          </cell>
          <cell r="N524">
            <v>100</v>
          </cell>
          <cell r="O524">
            <v>103</v>
          </cell>
          <cell r="P524">
            <v>106.09</v>
          </cell>
          <cell r="Q524">
            <v>109.2727</v>
          </cell>
          <cell r="R524">
            <v>112.550881</v>
          </cell>
          <cell r="S524">
            <v>115.92740743</v>
          </cell>
          <cell r="T524">
            <v>119.4052296529</v>
          </cell>
        </row>
        <row r="525">
          <cell r="K525" t="str">
            <v>USASubcontractorsNA23NA</v>
          </cell>
          <cell r="L525" t="str">
            <v>Subcontractor 1</v>
          </cell>
          <cell r="M525">
            <v>160</v>
          </cell>
          <cell r="N525">
            <v>100</v>
          </cell>
          <cell r="O525">
            <v>103</v>
          </cell>
          <cell r="P525">
            <v>106.09</v>
          </cell>
          <cell r="Q525">
            <v>109.2727</v>
          </cell>
          <cell r="R525">
            <v>112.550881</v>
          </cell>
          <cell r="S525">
            <v>115.92740743</v>
          </cell>
          <cell r="T525">
            <v>119.4052296529</v>
          </cell>
        </row>
        <row r="526">
          <cell r="K526" t="str">
            <v>USASubcontractorsNA24NA</v>
          </cell>
          <cell r="L526" t="str">
            <v>Subcontractor 1</v>
          </cell>
          <cell r="M526">
            <v>160</v>
          </cell>
          <cell r="N526">
            <v>100</v>
          </cell>
          <cell r="O526">
            <v>103</v>
          </cell>
          <cell r="P526">
            <v>106.09</v>
          </cell>
          <cell r="Q526">
            <v>109.2727</v>
          </cell>
          <cell r="R526">
            <v>112.550881</v>
          </cell>
          <cell r="S526">
            <v>115.92740743</v>
          </cell>
          <cell r="T526">
            <v>119.4052296529</v>
          </cell>
        </row>
        <row r="527">
          <cell r="K527" t="str">
            <v>USASubcontractorsNA25NA</v>
          </cell>
          <cell r="L527" t="str">
            <v>Subcontractor 1</v>
          </cell>
          <cell r="M527">
            <v>160</v>
          </cell>
          <cell r="N527">
            <v>100</v>
          </cell>
          <cell r="O527">
            <v>103</v>
          </cell>
          <cell r="P527">
            <v>106.09</v>
          </cell>
          <cell r="Q527">
            <v>109.2727</v>
          </cell>
          <cell r="R527">
            <v>112.550881</v>
          </cell>
          <cell r="S527">
            <v>115.92740743</v>
          </cell>
          <cell r="T527">
            <v>119.4052296529</v>
          </cell>
        </row>
        <row r="528">
          <cell r="K528" t="str">
            <v>USASubcontractorsNA26NA</v>
          </cell>
          <cell r="L528" t="str">
            <v>Subcontractor 1</v>
          </cell>
          <cell r="M528">
            <v>160</v>
          </cell>
          <cell r="N528">
            <v>100</v>
          </cell>
          <cell r="O528">
            <v>103</v>
          </cell>
          <cell r="P528">
            <v>106.09</v>
          </cell>
          <cell r="Q528">
            <v>109.2727</v>
          </cell>
          <cell r="R528">
            <v>112.550881</v>
          </cell>
          <cell r="S528">
            <v>115.92740743</v>
          </cell>
          <cell r="T528">
            <v>119.4052296529</v>
          </cell>
        </row>
        <row r="529">
          <cell r="K529" t="str">
            <v>USASubcontractorsNA27NA</v>
          </cell>
          <cell r="L529" t="str">
            <v>Subcontractor 1</v>
          </cell>
          <cell r="M529">
            <v>160</v>
          </cell>
          <cell r="N529">
            <v>100</v>
          </cell>
          <cell r="O529">
            <v>103</v>
          </cell>
          <cell r="P529">
            <v>106.09</v>
          </cell>
          <cell r="Q529">
            <v>109.2727</v>
          </cell>
          <cell r="R529">
            <v>112.550881</v>
          </cell>
          <cell r="S529">
            <v>115.92740743</v>
          </cell>
          <cell r="T529">
            <v>119.4052296529</v>
          </cell>
        </row>
        <row r="530">
          <cell r="K530" t="str">
            <v>USASubcontractorsNA28NA</v>
          </cell>
          <cell r="L530" t="str">
            <v>Subcontractor 1</v>
          </cell>
          <cell r="M530">
            <v>160</v>
          </cell>
          <cell r="N530">
            <v>100</v>
          </cell>
          <cell r="O530">
            <v>103</v>
          </cell>
          <cell r="P530">
            <v>106.09</v>
          </cell>
          <cell r="Q530">
            <v>109.2727</v>
          </cell>
          <cell r="R530">
            <v>112.550881</v>
          </cell>
          <cell r="S530">
            <v>115.92740743</v>
          </cell>
          <cell r="T530">
            <v>119.4052296529</v>
          </cell>
        </row>
        <row r="531">
          <cell r="K531" t="str">
            <v>USASubcontractorsNA29NA</v>
          </cell>
          <cell r="L531" t="str">
            <v>Subcontractor 1</v>
          </cell>
          <cell r="M531">
            <v>160</v>
          </cell>
          <cell r="N531">
            <v>100</v>
          </cell>
          <cell r="O531">
            <v>103</v>
          </cell>
          <cell r="P531">
            <v>106.09</v>
          </cell>
          <cell r="Q531">
            <v>109.2727</v>
          </cell>
          <cell r="R531">
            <v>112.550881</v>
          </cell>
          <cell r="S531">
            <v>115.92740743</v>
          </cell>
          <cell r="T531">
            <v>119.4052296529</v>
          </cell>
        </row>
        <row r="532">
          <cell r="K532" t="str">
            <v>USASubcontractorsNA30NA</v>
          </cell>
          <cell r="L532" t="str">
            <v>Subcontractor 1</v>
          </cell>
          <cell r="M532">
            <v>160</v>
          </cell>
          <cell r="N532">
            <v>100</v>
          </cell>
          <cell r="O532">
            <v>103</v>
          </cell>
          <cell r="P532">
            <v>106.09</v>
          </cell>
          <cell r="Q532">
            <v>109.2727</v>
          </cell>
          <cell r="R532">
            <v>112.550881</v>
          </cell>
          <cell r="S532">
            <v>115.92740743</v>
          </cell>
          <cell r="T532">
            <v>119.4052296529</v>
          </cell>
        </row>
        <row r="533">
          <cell r="K533" t="str">
            <v>IndiaConsultingGTIN LT Analytics30NA</v>
          </cell>
          <cell r="L533" t="str">
            <v>Analyst</v>
          </cell>
          <cell r="M533">
            <v>153.33333333333334</v>
          </cell>
          <cell r="N533">
            <v>100</v>
          </cell>
          <cell r="O533">
            <v>103</v>
          </cell>
          <cell r="P533">
            <v>106.09</v>
          </cell>
          <cell r="Q533">
            <v>109.2727</v>
          </cell>
          <cell r="R533">
            <v>112.550881</v>
          </cell>
          <cell r="S533">
            <v>115.92740743</v>
          </cell>
          <cell r="T533">
            <v>119.4052296529</v>
          </cell>
        </row>
        <row r="534">
          <cell r="K534" t="str">
            <v>IndiaConsultingGTIN LT Analytics31NA</v>
          </cell>
          <cell r="L534" t="str">
            <v>Analyst</v>
          </cell>
          <cell r="M534">
            <v>153.33333333333334</v>
          </cell>
          <cell r="N534">
            <v>100</v>
          </cell>
          <cell r="O534">
            <v>103</v>
          </cell>
          <cell r="P534">
            <v>106.09</v>
          </cell>
          <cell r="Q534">
            <v>109.2727</v>
          </cell>
          <cell r="R534">
            <v>112.550881</v>
          </cell>
          <cell r="S534">
            <v>115.92740743</v>
          </cell>
          <cell r="T534">
            <v>119.4052296529</v>
          </cell>
        </row>
        <row r="535">
          <cell r="K535" t="str">
            <v>IndiaConsultingGTIN LT Analytics32NA</v>
          </cell>
          <cell r="L535" t="str">
            <v>Analyst</v>
          </cell>
          <cell r="M535">
            <v>153.33333333333334</v>
          </cell>
          <cell r="N535">
            <v>100</v>
          </cell>
          <cell r="O535">
            <v>103</v>
          </cell>
          <cell r="P535">
            <v>106.09</v>
          </cell>
          <cell r="Q535">
            <v>109.2727</v>
          </cell>
          <cell r="R535">
            <v>112.550881</v>
          </cell>
          <cell r="S535">
            <v>115.92740743</v>
          </cell>
          <cell r="T535">
            <v>119.4052296529</v>
          </cell>
        </row>
        <row r="536">
          <cell r="K536" t="str">
            <v>IndiaConsultingGTIN LT Analytics51NA</v>
          </cell>
          <cell r="L536" t="str">
            <v>Consultant</v>
          </cell>
          <cell r="M536">
            <v>153.33333333333334</v>
          </cell>
          <cell r="N536">
            <v>100</v>
          </cell>
          <cell r="O536">
            <v>103</v>
          </cell>
          <cell r="P536">
            <v>106.09</v>
          </cell>
          <cell r="Q536">
            <v>109.2727</v>
          </cell>
          <cell r="R536">
            <v>112.550881</v>
          </cell>
          <cell r="S536">
            <v>115.92740743</v>
          </cell>
          <cell r="T536">
            <v>119.4052296529</v>
          </cell>
        </row>
        <row r="537">
          <cell r="K537" t="str">
            <v>IndiaConsultingGTIN LT Analytics52NA</v>
          </cell>
          <cell r="L537" t="str">
            <v>Consultant</v>
          </cell>
          <cell r="M537">
            <v>153.33333333333334</v>
          </cell>
          <cell r="N537">
            <v>100</v>
          </cell>
          <cell r="O537">
            <v>103</v>
          </cell>
          <cell r="P537">
            <v>106.09</v>
          </cell>
          <cell r="Q537">
            <v>109.2727</v>
          </cell>
          <cell r="R537">
            <v>112.550881</v>
          </cell>
          <cell r="S537">
            <v>115.92740743</v>
          </cell>
          <cell r="T537">
            <v>119.4052296529</v>
          </cell>
        </row>
        <row r="538">
          <cell r="K538" t="str">
            <v>IndiaConsultingGTIN LT Analytics53NA</v>
          </cell>
          <cell r="L538" t="str">
            <v>Consultant</v>
          </cell>
          <cell r="M538">
            <v>153.33333333333334</v>
          </cell>
          <cell r="N538">
            <v>100</v>
          </cell>
          <cell r="O538">
            <v>103</v>
          </cell>
          <cell r="P538">
            <v>106.09</v>
          </cell>
          <cell r="Q538">
            <v>109.2727</v>
          </cell>
          <cell r="R538">
            <v>112.550881</v>
          </cell>
          <cell r="S538">
            <v>115.92740743</v>
          </cell>
          <cell r="T538">
            <v>119.4052296529</v>
          </cell>
        </row>
        <row r="539">
          <cell r="K539" t="str">
            <v>IndiaConsultingGTIN LT Analytics54NA</v>
          </cell>
          <cell r="L539" t="str">
            <v>Consultant</v>
          </cell>
          <cell r="M539">
            <v>153.33333333333334</v>
          </cell>
          <cell r="N539">
            <v>100</v>
          </cell>
          <cell r="O539">
            <v>103</v>
          </cell>
          <cell r="P539">
            <v>106.09</v>
          </cell>
          <cell r="Q539">
            <v>109.2727</v>
          </cell>
          <cell r="R539">
            <v>112.550881</v>
          </cell>
          <cell r="S539">
            <v>115.92740743</v>
          </cell>
          <cell r="T539">
            <v>119.4052296529</v>
          </cell>
        </row>
        <row r="540">
          <cell r="K540" t="str">
            <v>IndiaConsultingGTIN LT Analytics60NA</v>
          </cell>
          <cell r="L540" t="str">
            <v>Manager</v>
          </cell>
          <cell r="M540">
            <v>153.33333333333334</v>
          </cell>
          <cell r="N540">
            <v>100</v>
          </cell>
          <cell r="O540">
            <v>103</v>
          </cell>
          <cell r="P540">
            <v>106.09</v>
          </cell>
          <cell r="Q540">
            <v>109.2727</v>
          </cell>
          <cell r="R540">
            <v>112.550881</v>
          </cell>
          <cell r="S540">
            <v>115.92740743</v>
          </cell>
          <cell r="T540">
            <v>119.4052296529</v>
          </cell>
        </row>
        <row r="541">
          <cell r="K541" t="str">
            <v>IndiaConsultingGTIN LT Analytics61NA</v>
          </cell>
          <cell r="L541" t="str">
            <v>Manager</v>
          </cell>
          <cell r="M541">
            <v>153.33333333333334</v>
          </cell>
          <cell r="N541">
            <v>100</v>
          </cell>
          <cell r="O541">
            <v>103</v>
          </cell>
          <cell r="P541">
            <v>106.09</v>
          </cell>
          <cell r="Q541">
            <v>109.2727</v>
          </cell>
          <cell r="R541">
            <v>112.550881</v>
          </cell>
          <cell r="S541">
            <v>115.92740743</v>
          </cell>
          <cell r="T541">
            <v>119.4052296529</v>
          </cell>
        </row>
        <row r="542">
          <cell r="K542" t="str">
            <v>IndiaConsultingGTIN LT Analytics62NA</v>
          </cell>
          <cell r="L542" t="str">
            <v>Manager</v>
          </cell>
          <cell r="M542">
            <v>153.33333333333334</v>
          </cell>
          <cell r="N542">
            <v>100</v>
          </cell>
          <cell r="O542">
            <v>103</v>
          </cell>
          <cell r="P542">
            <v>106.09</v>
          </cell>
          <cell r="Q542">
            <v>109.2727</v>
          </cell>
          <cell r="R542">
            <v>112.550881</v>
          </cell>
          <cell r="S542">
            <v>115.92740743</v>
          </cell>
          <cell r="T542">
            <v>119.4052296529</v>
          </cell>
        </row>
        <row r="543">
          <cell r="K543" t="str">
            <v>IndiaConsultingGTIN LT Analytics63NA</v>
          </cell>
          <cell r="L543" t="str">
            <v>Manager</v>
          </cell>
          <cell r="M543">
            <v>153.33333333333334</v>
          </cell>
          <cell r="N543">
            <v>100</v>
          </cell>
          <cell r="O543">
            <v>103</v>
          </cell>
          <cell r="P543">
            <v>106.09</v>
          </cell>
          <cell r="Q543">
            <v>109.2727</v>
          </cell>
          <cell r="R543">
            <v>112.550881</v>
          </cell>
          <cell r="S543">
            <v>115.92740743</v>
          </cell>
          <cell r="T543">
            <v>119.4052296529</v>
          </cell>
        </row>
        <row r="544">
          <cell r="K544" t="str">
            <v>IndiaConsultingGTIN LT Analytics80NA</v>
          </cell>
          <cell r="L544" t="str">
            <v>Sr. Executive</v>
          </cell>
          <cell r="M544">
            <v>153.33333333333334</v>
          </cell>
          <cell r="N544">
            <v>100</v>
          </cell>
          <cell r="O544">
            <v>103</v>
          </cell>
          <cell r="P544">
            <v>106.09</v>
          </cell>
          <cell r="Q544">
            <v>109.2727</v>
          </cell>
          <cell r="R544">
            <v>112.550881</v>
          </cell>
          <cell r="S544">
            <v>115.92740743</v>
          </cell>
          <cell r="T544">
            <v>119.4052296529</v>
          </cell>
        </row>
        <row r="545">
          <cell r="K545" t="str">
            <v>IndiaConsultingGTIN LT Analytics81NA</v>
          </cell>
          <cell r="L545" t="str">
            <v>Sr. Executive</v>
          </cell>
          <cell r="M545">
            <v>153.33333333333334</v>
          </cell>
          <cell r="N545">
            <v>100</v>
          </cell>
          <cell r="O545">
            <v>103</v>
          </cell>
          <cell r="P545">
            <v>106.09</v>
          </cell>
          <cell r="Q545">
            <v>109.2727</v>
          </cell>
          <cell r="R545">
            <v>112.550881</v>
          </cell>
          <cell r="S545">
            <v>115.92740743</v>
          </cell>
          <cell r="T545">
            <v>119.4052296529</v>
          </cell>
        </row>
        <row r="546">
          <cell r="K546" t="str">
            <v>IndiaConsultingGTIN LT Analytics82NA</v>
          </cell>
          <cell r="L546" t="str">
            <v>Sr. Executive</v>
          </cell>
          <cell r="M546">
            <v>153.33333333333334</v>
          </cell>
          <cell r="N546">
            <v>100</v>
          </cell>
          <cell r="O546">
            <v>103</v>
          </cell>
          <cell r="P546">
            <v>106.09</v>
          </cell>
          <cell r="Q546">
            <v>109.2727</v>
          </cell>
          <cell r="R546">
            <v>112.550881</v>
          </cell>
          <cell r="S546">
            <v>115.92740743</v>
          </cell>
          <cell r="T546">
            <v>119.4052296529</v>
          </cell>
        </row>
        <row r="547">
          <cell r="K547" t="str">
            <v>IndiaConsultingGTIN LT Analytics83NA</v>
          </cell>
          <cell r="L547" t="str">
            <v>Sr. Executive</v>
          </cell>
          <cell r="M547">
            <v>153.33333333333334</v>
          </cell>
          <cell r="N547">
            <v>100</v>
          </cell>
          <cell r="O547">
            <v>103</v>
          </cell>
          <cell r="P547">
            <v>106.09</v>
          </cell>
          <cell r="Q547">
            <v>109.2727</v>
          </cell>
          <cell r="R547">
            <v>112.550881</v>
          </cell>
          <cell r="S547">
            <v>115.92740743</v>
          </cell>
          <cell r="T547">
            <v>119.4052296529</v>
          </cell>
        </row>
        <row r="548">
          <cell r="K548" t="str">
            <v>IndiaConsultingGTIN LT Analytics84NA</v>
          </cell>
          <cell r="L548" t="str">
            <v>Sr. Executive</v>
          </cell>
          <cell r="M548">
            <v>153.33333333333334</v>
          </cell>
          <cell r="N548">
            <v>100</v>
          </cell>
          <cell r="O548">
            <v>103</v>
          </cell>
          <cell r="P548">
            <v>106.09</v>
          </cell>
          <cell r="Q548">
            <v>109.2727</v>
          </cell>
          <cell r="R548">
            <v>112.550881</v>
          </cell>
          <cell r="S548">
            <v>115.92740743</v>
          </cell>
          <cell r="T548">
            <v>119.4052296529</v>
          </cell>
        </row>
        <row r="549">
          <cell r="K549" t="str">
            <v>IndiaConsultingGTIN LT Analytics85NA</v>
          </cell>
          <cell r="L549" t="str">
            <v>Sr. Executive</v>
          </cell>
          <cell r="M549">
            <v>153.33333333333334</v>
          </cell>
          <cell r="N549">
            <v>100</v>
          </cell>
          <cell r="O549">
            <v>103</v>
          </cell>
          <cell r="P549">
            <v>106.09</v>
          </cell>
          <cell r="Q549">
            <v>109.2727</v>
          </cell>
          <cell r="R549">
            <v>112.550881</v>
          </cell>
          <cell r="S549">
            <v>115.92740743</v>
          </cell>
          <cell r="T549">
            <v>119.4052296529</v>
          </cell>
        </row>
        <row r="550">
          <cell r="K550" t="str">
            <v>IndiaConsultingGTIN LT Analytics86NA</v>
          </cell>
          <cell r="L550" t="str">
            <v>Sr. Executive</v>
          </cell>
          <cell r="M550">
            <v>153.33333333333334</v>
          </cell>
          <cell r="N550">
            <v>100</v>
          </cell>
          <cell r="O550">
            <v>103</v>
          </cell>
          <cell r="P550">
            <v>106.09</v>
          </cell>
          <cell r="Q550">
            <v>109.2727</v>
          </cell>
          <cell r="R550">
            <v>112.550881</v>
          </cell>
          <cell r="S550">
            <v>115.92740743</v>
          </cell>
          <cell r="T550">
            <v>119.4052296529</v>
          </cell>
        </row>
        <row r="551">
          <cell r="K551" t="str">
            <v>IndiaConsultingGTIN LT Analytics87NA</v>
          </cell>
          <cell r="L551" t="str">
            <v>Sr. Executive</v>
          </cell>
          <cell r="M551">
            <v>153.33333333333334</v>
          </cell>
          <cell r="N551">
            <v>100</v>
          </cell>
          <cell r="O551">
            <v>103</v>
          </cell>
          <cell r="P551">
            <v>106.09</v>
          </cell>
          <cell r="Q551">
            <v>109.2727</v>
          </cell>
          <cell r="R551">
            <v>112.550881</v>
          </cell>
          <cell r="S551">
            <v>115.92740743</v>
          </cell>
          <cell r="T551">
            <v>119.4052296529</v>
          </cell>
        </row>
        <row r="552">
          <cell r="K552" t="str">
            <v>IndiaConsultingGTIN LT Analytics88NA</v>
          </cell>
          <cell r="L552" t="str">
            <v>Sr. Executive</v>
          </cell>
          <cell r="M552">
            <v>153.33333333333334</v>
          </cell>
          <cell r="N552">
            <v>100</v>
          </cell>
          <cell r="O552">
            <v>103</v>
          </cell>
          <cell r="P552">
            <v>106.09</v>
          </cell>
          <cell r="Q552">
            <v>109.2727</v>
          </cell>
          <cell r="R552">
            <v>112.550881</v>
          </cell>
          <cell r="S552">
            <v>115.92740743</v>
          </cell>
          <cell r="T552">
            <v>119.4052296529</v>
          </cell>
        </row>
        <row r="553">
          <cell r="K553" t="str">
            <v>IndiaConsultingGTIN LT Analytics89NA</v>
          </cell>
          <cell r="L553" t="str">
            <v>Sr. Executive</v>
          </cell>
          <cell r="M553">
            <v>153.33333333333334</v>
          </cell>
          <cell r="N553">
            <v>100</v>
          </cell>
          <cell r="O553">
            <v>103</v>
          </cell>
          <cell r="P553">
            <v>106.09</v>
          </cell>
          <cell r="Q553">
            <v>109.2727</v>
          </cell>
          <cell r="R553">
            <v>112.550881</v>
          </cell>
          <cell r="S553">
            <v>115.92740743</v>
          </cell>
          <cell r="T553">
            <v>119.4052296529</v>
          </cell>
        </row>
        <row r="554">
          <cell r="K554" t="str">
            <v>IndiaConsultingGTIN LT Analytics90NA</v>
          </cell>
          <cell r="L554" t="str">
            <v>Sr. Executive</v>
          </cell>
          <cell r="M554">
            <v>153.33333333333334</v>
          </cell>
          <cell r="N554">
            <v>100</v>
          </cell>
          <cell r="O554">
            <v>103</v>
          </cell>
          <cell r="P554">
            <v>106.09</v>
          </cell>
          <cell r="Q554">
            <v>109.2727</v>
          </cell>
          <cell r="R554">
            <v>112.550881</v>
          </cell>
          <cell r="S554">
            <v>115.92740743</v>
          </cell>
          <cell r="T554">
            <v>119.4052296529</v>
          </cell>
        </row>
        <row r="555">
          <cell r="K555" t="str">
            <v>IndiaConsultingGTIN LT Analytics91NA</v>
          </cell>
          <cell r="L555" t="str">
            <v>Sr. Executive</v>
          </cell>
          <cell r="M555">
            <v>153.33333333333334</v>
          </cell>
          <cell r="N555">
            <v>100</v>
          </cell>
          <cell r="O555">
            <v>103</v>
          </cell>
          <cell r="P555">
            <v>106.09</v>
          </cell>
          <cell r="Q555">
            <v>109.2727</v>
          </cell>
          <cell r="R555">
            <v>112.550881</v>
          </cell>
          <cell r="S555">
            <v>115.92740743</v>
          </cell>
          <cell r="T555">
            <v>119.4052296529</v>
          </cell>
        </row>
        <row r="556">
          <cell r="K556" t="str">
            <v>IndiaConsultingGTIN LT Analytics92NA</v>
          </cell>
          <cell r="L556" t="str">
            <v>Sr. Executive</v>
          </cell>
          <cell r="M556">
            <v>153.33333333333334</v>
          </cell>
          <cell r="N556">
            <v>100</v>
          </cell>
          <cell r="O556">
            <v>103</v>
          </cell>
          <cell r="P556">
            <v>106.09</v>
          </cell>
          <cell r="Q556">
            <v>109.2727</v>
          </cell>
          <cell r="R556">
            <v>112.550881</v>
          </cell>
          <cell r="S556">
            <v>115.92740743</v>
          </cell>
          <cell r="T556">
            <v>119.4052296529</v>
          </cell>
        </row>
        <row r="557">
          <cell r="K557" t="str">
            <v>IndiaConsultingGTIN LT Analytics93NA</v>
          </cell>
          <cell r="L557" t="str">
            <v>Sr. Executive</v>
          </cell>
          <cell r="M557">
            <v>153.33333333333334</v>
          </cell>
          <cell r="N557">
            <v>100</v>
          </cell>
          <cell r="O557">
            <v>103</v>
          </cell>
          <cell r="P557">
            <v>106.09</v>
          </cell>
          <cell r="Q557">
            <v>109.2727</v>
          </cell>
          <cell r="R557">
            <v>112.550881</v>
          </cell>
          <cell r="S557">
            <v>115.92740743</v>
          </cell>
          <cell r="T557">
            <v>119.4052296529</v>
          </cell>
        </row>
        <row r="558">
          <cell r="K558" t="str">
            <v>IndiaConsultingGTIN LT Analytics94NA</v>
          </cell>
          <cell r="L558" t="str">
            <v>Sr. Executive</v>
          </cell>
          <cell r="M558">
            <v>153.33333333333334</v>
          </cell>
          <cell r="N558">
            <v>100</v>
          </cell>
          <cell r="O558">
            <v>103</v>
          </cell>
          <cell r="P558">
            <v>106.09</v>
          </cell>
          <cell r="Q558">
            <v>109.2727</v>
          </cell>
          <cell r="R558">
            <v>112.550881</v>
          </cell>
          <cell r="S558">
            <v>115.92740743</v>
          </cell>
          <cell r="T558">
            <v>119.4052296529</v>
          </cell>
        </row>
        <row r="559">
          <cell r="K559" t="str">
            <v>IndiaConsultingGTIN LT Analytics95NA</v>
          </cell>
          <cell r="L559" t="str">
            <v>Sr. Executive</v>
          </cell>
          <cell r="M559">
            <v>153.33333333333334</v>
          </cell>
          <cell r="N559">
            <v>100</v>
          </cell>
          <cell r="O559">
            <v>103</v>
          </cell>
          <cell r="P559">
            <v>106.09</v>
          </cell>
          <cell r="Q559">
            <v>109.2727</v>
          </cell>
          <cell r="R559">
            <v>112.550881</v>
          </cell>
          <cell r="S559">
            <v>115.92740743</v>
          </cell>
          <cell r="T559">
            <v>119.4052296529</v>
          </cell>
        </row>
        <row r="560">
          <cell r="K560" t="str">
            <v>IndiaConsultingGTIN LT Analytics96NA</v>
          </cell>
          <cell r="L560" t="str">
            <v>Sr. Executive</v>
          </cell>
          <cell r="M560">
            <v>153.33333333333334</v>
          </cell>
          <cell r="N560">
            <v>100</v>
          </cell>
          <cell r="O560">
            <v>103</v>
          </cell>
          <cell r="P560">
            <v>106.09</v>
          </cell>
          <cell r="Q560">
            <v>109.2727</v>
          </cell>
          <cell r="R560">
            <v>112.550881</v>
          </cell>
          <cell r="S560">
            <v>115.92740743</v>
          </cell>
          <cell r="T560">
            <v>119.4052296529</v>
          </cell>
        </row>
        <row r="561">
          <cell r="K561" t="str">
            <v>IndiaConsultingGTIN LT Analytics67NA</v>
          </cell>
          <cell r="L561" t="str">
            <v>Sr. Manager</v>
          </cell>
          <cell r="M561">
            <v>153.33333333333334</v>
          </cell>
          <cell r="N561">
            <v>100</v>
          </cell>
          <cell r="O561">
            <v>103</v>
          </cell>
          <cell r="P561">
            <v>106.09</v>
          </cell>
          <cell r="Q561">
            <v>109.2727</v>
          </cell>
          <cell r="R561">
            <v>112.550881</v>
          </cell>
          <cell r="S561">
            <v>115.92740743</v>
          </cell>
          <cell r="T561">
            <v>119.4052296529</v>
          </cell>
        </row>
        <row r="562">
          <cell r="K562" t="str">
            <v>IndiaConsultingGTIN LT Analytics68NA</v>
          </cell>
          <cell r="L562" t="str">
            <v>Sr. Manager</v>
          </cell>
          <cell r="M562">
            <v>153.33333333333334</v>
          </cell>
          <cell r="N562">
            <v>100</v>
          </cell>
          <cell r="O562">
            <v>103</v>
          </cell>
          <cell r="P562">
            <v>106.09</v>
          </cell>
          <cell r="Q562">
            <v>109.2727</v>
          </cell>
          <cell r="R562">
            <v>112.550881</v>
          </cell>
          <cell r="S562">
            <v>115.92740743</v>
          </cell>
          <cell r="T562">
            <v>119.4052296529</v>
          </cell>
        </row>
        <row r="563">
          <cell r="K563" t="str">
            <v>IndiaConsultingGTIN LT Analytics71NA</v>
          </cell>
          <cell r="L563" t="str">
            <v>Sr. Manager</v>
          </cell>
          <cell r="M563">
            <v>153.33333333333334</v>
          </cell>
          <cell r="N563">
            <v>100</v>
          </cell>
          <cell r="O563">
            <v>103</v>
          </cell>
          <cell r="P563">
            <v>106.09</v>
          </cell>
          <cell r="Q563">
            <v>109.2727</v>
          </cell>
          <cell r="R563">
            <v>112.550881</v>
          </cell>
          <cell r="S563">
            <v>115.92740743</v>
          </cell>
          <cell r="T563">
            <v>119.4052296529</v>
          </cell>
        </row>
        <row r="564">
          <cell r="K564" t="str">
            <v>IndiaConsultingGTIN LT Industry / Func Skills30NA</v>
          </cell>
          <cell r="L564" t="str">
            <v>Analyst</v>
          </cell>
          <cell r="M564">
            <v>153.33333333333334</v>
          </cell>
          <cell r="N564">
            <v>100</v>
          </cell>
          <cell r="O564">
            <v>103</v>
          </cell>
          <cell r="P564">
            <v>106.09</v>
          </cell>
          <cell r="Q564">
            <v>109.2727</v>
          </cell>
          <cell r="R564">
            <v>112.550881</v>
          </cell>
          <cell r="S564">
            <v>115.92740743</v>
          </cell>
          <cell r="T564">
            <v>119.4052296529</v>
          </cell>
        </row>
        <row r="565">
          <cell r="K565" t="str">
            <v>IndiaConsultingGTIN LT Industry / Func Skills31NA</v>
          </cell>
          <cell r="L565" t="str">
            <v>Analyst</v>
          </cell>
          <cell r="M565">
            <v>153.33333333333334</v>
          </cell>
          <cell r="N565">
            <v>100</v>
          </cell>
          <cell r="O565">
            <v>103</v>
          </cell>
          <cell r="P565">
            <v>106.09</v>
          </cell>
          <cell r="Q565">
            <v>109.2727</v>
          </cell>
          <cell r="R565">
            <v>112.550881</v>
          </cell>
          <cell r="S565">
            <v>115.92740743</v>
          </cell>
          <cell r="T565">
            <v>119.4052296529</v>
          </cell>
        </row>
        <row r="566">
          <cell r="K566" t="str">
            <v>IndiaConsultingGTIN LT Industry / Func Skills32NA</v>
          </cell>
          <cell r="L566" t="str">
            <v>Analyst</v>
          </cell>
          <cell r="M566">
            <v>153.33333333333334</v>
          </cell>
          <cell r="N566">
            <v>100</v>
          </cell>
          <cell r="O566">
            <v>103</v>
          </cell>
          <cell r="P566">
            <v>106.09</v>
          </cell>
          <cell r="Q566">
            <v>109.2727</v>
          </cell>
          <cell r="R566">
            <v>112.550881</v>
          </cell>
          <cell r="S566">
            <v>115.92740743</v>
          </cell>
          <cell r="T566">
            <v>119.4052296529</v>
          </cell>
        </row>
        <row r="567">
          <cell r="K567" t="str">
            <v>IndiaConsultingGTIN LT Industry / Func Skills52NA</v>
          </cell>
          <cell r="L567" t="str">
            <v>Consultant</v>
          </cell>
          <cell r="M567">
            <v>153.33333333333334</v>
          </cell>
          <cell r="N567">
            <v>100</v>
          </cell>
          <cell r="O567">
            <v>103</v>
          </cell>
          <cell r="P567">
            <v>106.09</v>
          </cell>
          <cell r="Q567">
            <v>109.2727</v>
          </cell>
          <cell r="R567">
            <v>112.550881</v>
          </cell>
          <cell r="S567">
            <v>115.92740743</v>
          </cell>
          <cell r="T567">
            <v>119.4052296529</v>
          </cell>
        </row>
        <row r="568">
          <cell r="K568" t="str">
            <v>IndiaConsultingGTIN LT Industry / Func Skills53NA</v>
          </cell>
          <cell r="L568" t="str">
            <v>Consultant</v>
          </cell>
          <cell r="M568">
            <v>153.33333333333334</v>
          </cell>
          <cell r="N568">
            <v>100</v>
          </cell>
          <cell r="O568">
            <v>103</v>
          </cell>
          <cell r="P568">
            <v>106.09</v>
          </cell>
          <cell r="Q568">
            <v>109.2727</v>
          </cell>
          <cell r="R568">
            <v>112.550881</v>
          </cell>
          <cell r="S568">
            <v>115.92740743</v>
          </cell>
          <cell r="T568">
            <v>119.4052296529</v>
          </cell>
        </row>
        <row r="569">
          <cell r="K569" t="str">
            <v>IndiaConsultingGTIN LT Industry / Func Skills54NA</v>
          </cell>
          <cell r="L569" t="str">
            <v>Consultant</v>
          </cell>
          <cell r="M569">
            <v>153.33333333333334</v>
          </cell>
          <cell r="N569">
            <v>100</v>
          </cell>
          <cell r="O569">
            <v>103</v>
          </cell>
          <cell r="P569">
            <v>106.09</v>
          </cell>
          <cell r="Q569">
            <v>109.2727</v>
          </cell>
          <cell r="R569">
            <v>112.550881</v>
          </cell>
          <cell r="S569">
            <v>115.92740743</v>
          </cell>
          <cell r="T569">
            <v>119.4052296529</v>
          </cell>
        </row>
        <row r="570">
          <cell r="K570" t="str">
            <v>IndiaConsultingGTIN LT Industry / Func Skills55NA</v>
          </cell>
          <cell r="L570" t="str">
            <v>Consultant</v>
          </cell>
          <cell r="M570">
            <v>153.33333333333334</v>
          </cell>
          <cell r="N570">
            <v>100</v>
          </cell>
          <cell r="O570">
            <v>103</v>
          </cell>
          <cell r="P570">
            <v>106.09</v>
          </cell>
          <cell r="Q570">
            <v>109.2727</v>
          </cell>
          <cell r="R570">
            <v>112.550881</v>
          </cell>
          <cell r="S570">
            <v>115.92740743</v>
          </cell>
          <cell r="T570">
            <v>119.4052296529</v>
          </cell>
        </row>
        <row r="571">
          <cell r="K571" t="str">
            <v>IndiaConsultingGTIN LT Industry / Func Skills60NA</v>
          </cell>
          <cell r="L571" t="str">
            <v>Manager</v>
          </cell>
          <cell r="M571">
            <v>153.33333333333334</v>
          </cell>
          <cell r="N571">
            <v>100</v>
          </cell>
          <cell r="O571">
            <v>103</v>
          </cell>
          <cell r="P571">
            <v>106.09</v>
          </cell>
          <cell r="Q571">
            <v>109.2727</v>
          </cell>
          <cell r="R571">
            <v>112.550881</v>
          </cell>
          <cell r="S571">
            <v>115.92740743</v>
          </cell>
          <cell r="T571">
            <v>119.4052296529</v>
          </cell>
        </row>
        <row r="572">
          <cell r="K572" t="str">
            <v>IndiaConsultingGTIN LT Industry / Func Skills61NA</v>
          </cell>
          <cell r="L572" t="str">
            <v>Manager</v>
          </cell>
          <cell r="M572">
            <v>153.33333333333334</v>
          </cell>
          <cell r="N572">
            <v>100</v>
          </cell>
          <cell r="O572">
            <v>103</v>
          </cell>
          <cell r="P572">
            <v>106.09</v>
          </cell>
          <cell r="Q572">
            <v>109.2727</v>
          </cell>
          <cell r="R572">
            <v>112.550881</v>
          </cell>
          <cell r="S572">
            <v>115.92740743</v>
          </cell>
          <cell r="T572">
            <v>119.4052296529</v>
          </cell>
        </row>
        <row r="573">
          <cell r="K573" t="str">
            <v>IndiaConsultingGTIN LT Industry / Func Skills62NA</v>
          </cell>
          <cell r="L573" t="str">
            <v>Manager</v>
          </cell>
          <cell r="M573">
            <v>153.33333333333334</v>
          </cell>
          <cell r="N573">
            <v>100</v>
          </cell>
          <cell r="O573">
            <v>103</v>
          </cell>
          <cell r="P573">
            <v>106.09</v>
          </cell>
          <cell r="Q573">
            <v>109.2727</v>
          </cell>
          <cell r="R573">
            <v>112.550881</v>
          </cell>
          <cell r="S573">
            <v>115.92740743</v>
          </cell>
          <cell r="T573">
            <v>119.4052296529</v>
          </cell>
        </row>
        <row r="574">
          <cell r="K574" t="str">
            <v>IndiaConsultingGTIN LT Industry / Func Skills80NA</v>
          </cell>
          <cell r="L574" t="str">
            <v>Sr. Executive</v>
          </cell>
          <cell r="M574">
            <v>153.33333333333334</v>
          </cell>
          <cell r="N574">
            <v>100</v>
          </cell>
          <cell r="O574">
            <v>103</v>
          </cell>
          <cell r="P574">
            <v>106.09</v>
          </cell>
          <cell r="Q574">
            <v>109.2727</v>
          </cell>
          <cell r="R574">
            <v>112.550881</v>
          </cell>
          <cell r="S574">
            <v>115.92740743</v>
          </cell>
          <cell r="T574">
            <v>119.4052296529</v>
          </cell>
        </row>
        <row r="575">
          <cell r="K575" t="str">
            <v>IndiaConsultingGTIN LT Industry / Func Skills81NA</v>
          </cell>
          <cell r="L575" t="str">
            <v>Sr. Executive</v>
          </cell>
          <cell r="M575">
            <v>153.33333333333334</v>
          </cell>
          <cell r="N575">
            <v>100</v>
          </cell>
          <cell r="O575">
            <v>103</v>
          </cell>
          <cell r="P575">
            <v>106.09</v>
          </cell>
          <cell r="Q575">
            <v>109.2727</v>
          </cell>
          <cell r="R575">
            <v>112.550881</v>
          </cell>
          <cell r="S575">
            <v>115.92740743</v>
          </cell>
          <cell r="T575">
            <v>119.4052296529</v>
          </cell>
        </row>
        <row r="576">
          <cell r="K576" t="str">
            <v>IndiaConsultingGTIN LT Industry / Func Skills82NA</v>
          </cell>
          <cell r="L576" t="str">
            <v>Sr. Executive</v>
          </cell>
          <cell r="M576">
            <v>153.33333333333334</v>
          </cell>
          <cell r="N576">
            <v>100</v>
          </cell>
          <cell r="O576">
            <v>103</v>
          </cell>
          <cell r="P576">
            <v>106.09</v>
          </cell>
          <cell r="Q576">
            <v>109.2727</v>
          </cell>
          <cell r="R576">
            <v>112.550881</v>
          </cell>
          <cell r="S576">
            <v>115.92740743</v>
          </cell>
          <cell r="T576">
            <v>119.4052296529</v>
          </cell>
        </row>
        <row r="577">
          <cell r="K577" t="str">
            <v>IndiaConsultingGTIN LT Industry / Func Skills83NA</v>
          </cell>
          <cell r="L577" t="str">
            <v>Sr. Executive</v>
          </cell>
          <cell r="M577">
            <v>153.33333333333334</v>
          </cell>
          <cell r="N577">
            <v>100</v>
          </cell>
          <cell r="O577">
            <v>103</v>
          </cell>
          <cell r="P577">
            <v>106.09</v>
          </cell>
          <cell r="Q577">
            <v>109.2727</v>
          </cell>
          <cell r="R577">
            <v>112.550881</v>
          </cell>
          <cell r="S577">
            <v>115.92740743</v>
          </cell>
          <cell r="T577">
            <v>119.4052296529</v>
          </cell>
        </row>
        <row r="578">
          <cell r="K578" t="str">
            <v>IndiaConsultingGTIN LT Industry / Func Skills84NA</v>
          </cell>
          <cell r="L578" t="str">
            <v>Sr. Executive</v>
          </cell>
          <cell r="M578">
            <v>153.33333333333334</v>
          </cell>
          <cell r="N578">
            <v>100</v>
          </cell>
          <cell r="O578">
            <v>103</v>
          </cell>
          <cell r="P578">
            <v>106.09</v>
          </cell>
          <cell r="Q578">
            <v>109.2727</v>
          </cell>
          <cell r="R578">
            <v>112.550881</v>
          </cell>
          <cell r="S578">
            <v>115.92740743</v>
          </cell>
          <cell r="T578">
            <v>119.4052296529</v>
          </cell>
        </row>
        <row r="579">
          <cell r="K579" t="str">
            <v>IndiaConsultingGTIN LT Industry / Func Skills85NA</v>
          </cell>
          <cell r="L579" t="str">
            <v>Sr. Executive</v>
          </cell>
          <cell r="M579">
            <v>153.33333333333334</v>
          </cell>
          <cell r="N579">
            <v>100</v>
          </cell>
          <cell r="O579">
            <v>103</v>
          </cell>
          <cell r="P579">
            <v>106.09</v>
          </cell>
          <cell r="Q579">
            <v>109.2727</v>
          </cell>
          <cell r="R579">
            <v>112.550881</v>
          </cell>
          <cell r="S579">
            <v>115.92740743</v>
          </cell>
          <cell r="T579">
            <v>119.4052296529</v>
          </cell>
        </row>
        <row r="580">
          <cell r="K580" t="str">
            <v>IndiaConsultingGTIN LT Industry / Func Skills86NA</v>
          </cell>
          <cell r="L580" t="str">
            <v>Sr. Executive</v>
          </cell>
          <cell r="M580">
            <v>153.33333333333334</v>
          </cell>
          <cell r="N580">
            <v>100</v>
          </cell>
          <cell r="O580">
            <v>103</v>
          </cell>
          <cell r="P580">
            <v>106.09</v>
          </cell>
          <cell r="Q580">
            <v>109.2727</v>
          </cell>
          <cell r="R580">
            <v>112.550881</v>
          </cell>
          <cell r="S580">
            <v>115.92740743</v>
          </cell>
          <cell r="T580">
            <v>119.4052296529</v>
          </cell>
        </row>
        <row r="581">
          <cell r="K581" t="str">
            <v>IndiaConsultingGTIN LT Industry / Func Skills87NA</v>
          </cell>
          <cell r="L581" t="str">
            <v>Sr. Executive</v>
          </cell>
          <cell r="M581">
            <v>153.33333333333334</v>
          </cell>
          <cell r="N581">
            <v>100</v>
          </cell>
          <cell r="O581">
            <v>103</v>
          </cell>
          <cell r="P581">
            <v>106.09</v>
          </cell>
          <cell r="Q581">
            <v>109.2727</v>
          </cell>
          <cell r="R581">
            <v>112.550881</v>
          </cell>
          <cell r="S581">
            <v>115.92740743</v>
          </cell>
          <cell r="T581">
            <v>119.4052296529</v>
          </cell>
        </row>
        <row r="582">
          <cell r="K582" t="str">
            <v>IndiaConsultingGTIN LT Industry / Func Skills88NA</v>
          </cell>
          <cell r="L582" t="str">
            <v>Sr. Executive</v>
          </cell>
          <cell r="M582">
            <v>153.33333333333334</v>
          </cell>
          <cell r="N582">
            <v>100</v>
          </cell>
          <cell r="O582">
            <v>103</v>
          </cell>
          <cell r="P582">
            <v>106.09</v>
          </cell>
          <cell r="Q582">
            <v>109.2727</v>
          </cell>
          <cell r="R582">
            <v>112.550881</v>
          </cell>
          <cell r="S582">
            <v>115.92740743</v>
          </cell>
          <cell r="T582">
            <v>119.4052296529</v>
          </cell>
        </row>
        <row r="583">
          <cell r="K583" t="str">
            <v>IndiaConsultingGTIN LT Industry / Func Skills89NA</v>
          </cell>
          <cell r="L583" t="str">
            <v>Sr. Executive</v>
          </cell>
          <cell r="M583">
            <v>153.33333333333334</v>
          </cell>
          <cell r="N583">
            <v>100</v>
          </cell>
          <cell r="O583">
            <v>103</v>
          </cell>
          <cell r="P583">
            <v>106.09</v>
          </cell>
          <cell r="Q583">
            <v>109.2727</v>
          </cell>
          <cell r="R583">
            <v>112.550881</v>
          </cell>
          <cell r="S583">
            <v>115.92740743</v>
          </cell>
          <cell r="T583">
            <v>119.4052296529</v>
          </cell>
        </row>
        <row r="584">
          <cell r="K584" t="str">
            <v>IndiaConsultingGTIN LT Industry / Func Skills90NA</v>
          </cell>
          <cell r="L584" t="str">
            <v>Sr. Executive</v>
          </cell>
          <cell r="M584">
            <v>153.33333333333334</v>
          </cell>
          <cell r="N584">
            <v>100</v>
          </cell>
          <cell r="O584">
            <v>103</v>
          </cell>
          <cell r="P584">
            <v>106.09</v>
          </cell>
          <cell r="Q584">
            <v>109.2727</v>
          </cell>
          <cell r="R584">
            <v>112.550881</v>
          </cell>
          <cell r="S584">
            <v>115.92740743</v>
          </cell>
          <cell r="T584">
            <v>119.4052296529</v>
          </cell>
        </row>
        <row r="585">
          <cell r="K585" t="str">
            <v>IndiaConsultingGTIN LT Industry / Func Skills91NA</v>
          </cell>
          <cell r="L585" t="str">
            <v>Sr. Executive</v>
          </cell>
          <cell r="M585">
            <v>153.33333333333334</v>
          </cell>
          <cell r="N585">
            <v>100</v>
          </cell>
          <cell r="O585">
            <v>103</v>
          </cell>
          <cell r="P585">
            <v>106.09</v>
          </cell>
          <cell r="Q585">
            <v>109.2727</v>
          </cell>
          <cell r="R585">
            <v>112.550881</v>
          </cell>
          <cell r="S585">
            <v>115.92740743</v>
          </cell>
          <cell r="T585">
            <v>119.4052296529</v>
          </cell>
        </row>
        <row r="586">
          <cell r="K586" t="str">
            <v>IndiaConsultingGTIN LT Industry / Func Skills92NA</v>
          </cell>
          <cell r="L586" t="str">
            <v>Sr. Executive</v>
          </cell>
          <cell r="M586">
            <v>153.33333333333334</v>
          </cell>
          <cell r="N586">
            <v>100</v>
          </cell>
          <cell r="O586">
            <v>103</v>
          </cell>
          <cell r="P586">
            <v>106.09</v>
          </cell>
          <cell r="Q586">
            <v>109.2727</v>
          </cell>
          <cell r="R586">
            <v>112.550881</v>
          </cell>
          <cell r="S586">
            <v>115.92740743</v>
          </cell>
          <cell r="T586">
            <v>119.4052296529</v>
          </cell>
        </row>
        <row r="587">
          <cell r="K587" t="str">
            <v>IndiaConsultingGTIN LT Industry / Func Skills93NA</v>
          </cell>
          <cell r="L587" t="str">
            <v>Sr. Executive</v>
          </cell>
          <cell r="M587">
            <v>153.33333333333334</v>
          </cell>
          <cell r="N587">
            <v>100</v>
          </cell>
          <cell r="O587">
            <v>103</v>
          </cell>
          <cell r="P587">
            <v>106.09</v>
          </cell>
          <cell r="Q587">
            <v>109.2727</v>
          </cell>
          <cell r="R587">
            <v>112.550881</v>
          </cell>
          <cell r="S587">
            <v>115.92740743</v>
          </cell>
          <cell r="T587">
            <v>119.4052296529</v>
          </cell>
        </row>
        <row r="588">
          <cell r="K588" t="str">
            <v>IndiaConsultingGTIN LT Industry / Func Skills94NA</v>
          </cell>
          <cell r="L588" t="str">
            <v>Sr. Executive</v>
          </cell>
          <cell r="M588">
            <v>153.33333333333334</v>
          </cell>
          <cell r="N588">
            <v>100</v>
          </cell>
          <cell r="O588">
            <v>103</v>
          </cell>
          <cell r="P588">
            <v>106.09</v>
          </cell>
          <cell r="Q588">
            <v>109.2727</v>
          </cell>
          <cell r="R588">
            <v>112.550881</v>
          </cell>
          <cell r="S588">
            <v>115.92740743</v>
          </cell>
          <cell r="T588">
            <v>119.4052296529</v>
          </cell>
        </row>
        <row r="589">
          <cell r="K589" t="str">
            <v>IndiaConsultingGTIN LT Industry / Func Skills95NA</v>
          </cell>
          <cell r="L589" t="str">
            <v>Sr. Executive</v>
          </cell>
          <cell r="M589">
            <v>153.33333333333334</v>
          </cell>
          <cell r="N589">
            <v>100</v>
          </cell>
          <cell r="O589">
            <v>103</v>
          </cell>
          <cell r="P589">
            <v>106.09</v>
          </cell>
          <cell r="Q589">
            <v>109.2727</v>
          </cell>
          <cell r="R589">
            <v>112.550881</v>
          </cell>
          <cell r="S589">
            <v>115.92740743</v>
          </cell>
          <cell r="T589">
            <v>119.4052296529</v>
          </cell>
        </row>
        <row r="590">
          <cell r="K590" t="str">
            <v>IndiaConsultingGTIN LT Industry / Func Skills96NA</v>
          </cell>
          <cell r="L590" t="str">
            <v>Sr. Executive</v>
          </cell>
          <cell r="M590">
            <v>153.33333333333334</v>
          </cell>
          <cell r="N590">
            <v>100</v>
          </cell>
          <cell r="O590">
            <v>103</v>
          </cell>
          <cell r="P590">
            <v>106.09</v>
          </cell>
          <cell r="Q590">
            <v>109.2727</v>
          </cell>
          <cell r="R590">
            <v>112.550881</v>
          </cell>
          <cell r="S590">
            <v>115.92740743</v>
          </cell>
          <cell r="T590">
            <v>119.4052296529</v>
          </cell>
        </row>
        <row r="591">
          <cell r="K591" t="str">
            <v>IndiaConsultingGTIN LT Industry / Func Skills67NA</v>
          </cell>
          <cell r="L591" t="str">
            <v>Sr. Manager</v>
          </cell>
          <cell r="M591">
            <v>153.33333333333334</v>
          </cell>
          <cell r="N591">
            <v>100</v>
          </cell>
          <cell r="O591">
            <v>103</v>
          </cell>
          <cell r="P591">
            <v>106.09</v>
          </cell>
          <cell r="Q591">
            <v>109.2727</v>
          </cell>
          <cell r="R591">
            <v>112.550881</v>
          </cell>
          <cell r="S591">
            <v>115.92740743</v>
          </cell>
          <cell r="T591">
            <v>119.4052296529</v>
          </cell>
        </row>
        <row r="592">
          <cell r="K592" t="str">
            <v>IndiaConsultingGTIN LT Industry / Func Skills68NA</v>
          </cell>
          <cell r="L592" t="str">
            <v>Sr. Manager</v>
          </cell>
          <cell r="M592">
            <v>153.33333333333334</v>
          </cell>
          <cell r="N592">
            <v>100</v>
          </cell>
          <cell r="O592">
            <v>103</v>
          </cell>
          <cell r="P592">
            <v>106.09</v>
          </cell>
          <cell r="Q592">
            <v>109.2727</v>
          </cell>
          <cell r="R592">
            <v>112.550881</v>
          </cell>
          <cell r="S592">
            <v>115.92740743</v>
          </cell>
          <cell r="T592">
            <v>119.4052296529</v>
          </cell>
        </row>
        <row r="593">
          <cell r="K593" t="str">
            <v>IndiaConsultingGTIN LT Industry / Func Skills69NA</v>
          </cell>
          <cell r="L593" t="str">
            <v>Sr. Manager</v>
          </cell>
          <cell r="M593">
            <v>153.33333333333334</v>
          </cell>
          <cell r="N593">
            <v>100</v>
          </cell>
          <cell r="O593">
            <v>103</v>
          </cell>
          <cell r="P593">
            <v>106.09</v>
          </cell>
          <cell r="Q593">
            <v>109.2727</v>
          </cell>
          <cell r="R593">
            <v>112.550881</v>
          </cell>
          <cell r="S593">
            <v>115.92740743</v>
          </cell>
          <cell r="T593">
            <v>119.4052296529</v>
          </cell>
        </row>
        <row r="594">
          <cell r="K594" t="str">
            <v>IndiaConsultingGTIN LT Industry / Func Skills70NA</v>
          </cell>
          <cell r="L594" t="str">
            <v>Sr. Manager</v>
          </cell>
          <cell r="M594">
            <v>153.33333333333334</v>
          </cell>
          <cell r="N594">
            <v>100</v>
          </cell>
          <cell r="O594">
            <v>103</v>
          </cell>
          <cell r="P594">
            <v>106.09</v>
          </cell>
          <cell r="Q594">
            <v>109.2727</v>
          </cell>
          <cell r="R594">
            <v>112.550881</v>
          </cell>
          <cell r="S594">
            <v>115.92740743</v>
          </cell>
          <cell r="T594">
            <v>119.4052296529</v>
          </cell>
        </row>
        <row r="595">
          <cell r="K595" t="str">
            <v>IndiaConsultingGTIN LT Strat / Ops Skills34NA</v>
          </cell>
          <cell r="L595" t="str">
            <v>Analyst</v>
          </cell>
          <cell r="M595">
            <v>153.33333333333334</v>
          </cell>
          <cell r="N595">
            <v>100</v>
          </cell>
          <cell r="O595">
            <v>103</v>
          </cell>
          <cell r="P595">
            <v>106.09</v>
          </cell>
          <cell r="Q595">
            <v>109.2727</v>
          </cell>
          <cell r="R595">
            <v>112.550881</v>
          </cell>
          <cell r="S595">
            <v>115.92740743</v>
          </cell>
          <cell r="T595">
            <v>119.4052296529</v>
          </cell>
        </row>
        <row r="596">
          <cell r="K596" t="str">
            <v>IndiaConsultingGTIN LT Strat / Ops Skills35NA</v>
          </cell>
          <cell r="L596" t="str">
            <v>Analyst</v>
          </cell>
          <cell r="M596">
            <v>153.33333333333334</v>
          </cell>
          <cell r="N596">
            <v>100</v>
          </cell>
          <cell r="O596">
            <v>103</v>
          </cell>
          <cell r="P596">
            <v>106.09</v>
          </cell>
          <cell r="Q596">
            <v>109.2727</v>
          </cell>
          <cell r="R596">
            <v>112.550881</v>
          </cell>
          <cell r="S596">
            <v>115.92740743</v>
          </cell>
          <cell r="T596">
            <v>119.4052296529</v>
          </cell>
        </row>
        <row r="597">
          <cell r="K597" t="str">
            <v>IndiaConsultingGTIN LT Strat / Ops Skills55NA</v>
          </cell>
          <cell r="L597" t="str">
            <v>Consultant</v>
          </cell>
          <cell r="M597">
            <v>153.33333333333334</v>
          </cell>
          <cell r="N597">
            <v>100</v>
          </cell>
          <cell r="O597">
            <v>103</v>
          </cell>
          <cell r="P597">
            <v>106.09</v>
          </cell>
          <cell r="Q597">
            <v>109.2727</v>
          </cell>
          <cell r="R597">
            <v>112.550881</v>
          </cell>
          <cell r="S597">
            <v>115.92740743</v>
          </cell>
          <cell r="T597">
            <v>119.4052296529</v>
          </cell>
        </row>
        <row r="598">
          <cell r="K598" t="str">
            <v>IndiaConsultingGTIN LT Strat / Ops Skills56NA</v>
          </cell>
          <cell r="L598" t="str">
            <v>Consultant</v>
          </cell>
          <cell r="M598">
            <v>153.33333333333334</v>
          </cell>
          <cell r="N598">
            <v>100</v>
          </cell>
          <cell r="O598">
            <v>103</v>
          </cell>
          <cell r="P598">
            <v>106.09</v>
          </cell>
          <cell r="Q598">
            <v>109.2727</v>
          </cell>
          <cell r="R598">
            <v>112.550881</v>
          </cell>
          <cell r="S598">
            <v>115.92740743</v>
          </cell>
          <cell r="T598">
            <v>119.4052296529</v>
          </cell>
        </row>
        <row r="599">
          <cell r="K599" t="str">
            <v>IndiaConsultingGTIN LT Strat / Ops Skills57NA</v>
          </cell>
          <cell r="L599" t="str">
            <v>Consultant</v>
          </cell>
          <cell r="M599">
            <v>153.33333333333334</v>
          </cell>
          <cell r="N599">
            <v>100</v>
          </cell>
          <cell r="O599">
            <v>103</v>
          </cell>
          <cell r="P599">
            <v>106.09</v>
          </cell>
          <cell r="Q599">
            <v>109.2727</v>
          </cell>
          <cell r="R599">
            <v>112.550881</v>
          </cell>
          <cell r="S599">
            <v>115.92740743</v>
          </cell>
          <cell r="T599">
            <v>119.4052296529</v>
          </cell>
        </row>
        <row r="600">
          <cell r="K600" t="str">
            <v>IndiaConsultingGTIN LT Strat / Ops Skills63NA</v>
          </cell>
          <cell r="L600" t="str">
            <v>Manager</v>
          </cell>
          <cell r="M600">
            <v>153.33333333333334</v>
          </cell>
          <cell r="N600">
            <v>100</v>
          </cell>
          <cell r="O600">
            <v>103</v>
          </cell>
          <cell r="P600">
            <v>106.09</v>
          </cell>
          <cell r="Q600">
            <v>109.2727</v>
          </cell>
          <cell r="R600">
            <v>112.550881</v>
          </cell>
          <cell r="S600">
            <v>115.92740743</v>
          </cell>
          <cell r="T600">
            <v>119.4052296529</v>
          </cell>
        </row>
        <row r="601">
          <cell r="K601" t="str">
            <v>IndiaConsultingGTIN LT Strat / Ops Skills64NA</v>
          </cell>
          <cell r="L601" t="str">
            <v>Manager</v>
          </cell>
          <cell r="M601">
            <v>153.33333333333334</v>
          </cell>
          <cell r="N601">
            <v>100</v>
          </cell>
          <cell r="O601">
            <v>103</v>
          </cell>
          <cell r="P601">
            <v>106.09</v>
          </cell>
          <cell r="Q601">
            <v>109.2727</v>
          </cell>
          <cell r="R601">
            <v>112.550881</v>
          </cell>
          <cell r="S601">
            <v>115.92740743</v>
          </cell>
          <cell r="T601">
            <v>119.4052296529</v>
          </cell>
        </row>
        <row r="602">
          <cell r="K602" t="str">
            <v>IndiaConsultingGTIN LT Strat / Ops Skills65NA</v>
          </cell>
          <cell r="L602" t="str">
            <v>Manager</v>
          </cell>
          <cell r="M602">
            <v>153.33333333333334</v>
          </cell>
          <cell r="N602">
            <v>100</v>
          </cell>
          <cell r="O602">
            <v>103</v>
          </cell>
          <cell r="P602">
            <v>106.09</v>
          </cell>
          <cell r="Q602">
            <v>109.2727</v>
          </cell>
          <cell r="R602">
            <v>112.550881</v>
          </cell>
          <cell r="S602">
            <v>115.92740743</v>
          </cell>
          <cell r="T602">
            <v>119.4052296529</v>
          </cell>
        </row>
        <row r="603">
          <cell r="K603" t="str">
            <v>IndiaConsultingGTIN LT Strat / Ops Skills66NA</v>
          </cell>
          <cell r="L603" t="str">
            <v>Manager</v>
          </cell>
          <cell r="M603">
            <v>153.33333333333334</v>
          </cell>
          <cell r="N603">
            <v>100</v>
          </cell>
          <cell r="O603">
            <v>103</v>
          </cell>
          <cell r="P603">
            <v>106.09</v>
          </cell>
          <cell r="Q603">
            <v>109.2727</v>
          </cell>
          <cell r="R603">
            <v>112.550881</v>
          </cell>
          <cell r="S603">
            <v>115.92740743</v>
          </cell>
          <cell r="T603">
            <v>119.4052296529</v>
          </cell>
        </row>
        <row r="604">
          <cell r="K604" t="str">
            <v>IndiaConsultingGTIN LT Strat / Ops Skills80NA</v>
          </cell>
          <cell r="L604" t="str">
            <v>Sr. Executive</v>
          </cell>
          <cell r="M604">
            <v>153.33333333333334</v>
          </cell>
          <cell r="N604">
            <v>100</v>
          </cell>
          <cell r="O604">
            <v>103</v>
          </cell>
          <cell r="P604">
            <v>106.09</v>
          </cell>
          <cell r="Q604">
            <v>109.2727</v>
          </cell>
          <cell r="R604">
            <v>112.550881</v>
          </cell>
          <cell r="S604">
            <v>115.92740743</v>
          </cell>
          <cell r="T604">
            <v>119.4052296529</v>
          </cell>
        </row>
        <row r="605">
          <cell r="K605" t="str">
            <v>IndiaConsultingGTIN LT Strat / Ops Skills81NA</v>
          </cell>
          <cell r="L605" t="str">
            <v>Sr. Executive</v>
          </cell>
          <cell r="M605">
            <v>153.33333333333334</v>
          </cell>
          <cell r="N605">
            <v>100</v>
          </cell>
          <cell r="O605">
            <v>103</v>
          </cell>
          <cell r="P605">
            <v>106.09</v>
          </cell>
          <cell r="Q605">
            <v>109.2727</v>
          </cell>
          <cell r="R605">
            <v>112.550881</v>
          </cell>
          <cell r="S605">
            <v>115.92740743</v>
          </cell>
          <cell r="T605">
            <v>119.4052296529</v>
          </cell>
        </row>
        <row r="606">
          <cell r="K606" t="str">
            <v>IndiaConsultingGTIN LT Strat / Ops Skills82NA</v>
          </cell>
          <cell r="L606" t="str">
            <v>Sr. Executive</v>
          </cell>
          <cell r="M606">
            <v>153.33333333333334</v>
          </cell>
          <cell r="N606">
            <v>100</v>
          </cell>
          <cell r="O606">
            <v>103</v>
          </cell>
          <cell r="P606">
            <v>106.09</v>
          </cell>
          <cell r="Q606">
            <v>109.2727</v>
          </cell>
          <cell r="R606">
            <v>112.550881</v>
          </cell>
          <cell r="S606">
            <v>115.92740743</v>
          </cell>
          <cell r="T606">
            <v>119.4052296529</v>
          </cell>
        </row>
        <row r="607">
          <cell r="K607" t="str">
            <v>IndiaConsultingGTIN LT Strat / Ops Skills83NA</v>
          </cell>
          <cell r="L607" t="str">
            <v>Sr. Executive</v>
          </cell>
          <cell r="M607">
            <v>153.33333333333334</v>
          </cell>
          <cell r="N607">
            <v>100</v>
          </cell>
          <cell r="O607">
            <v>103</v>
          </cell>
          <cell r="P607">
            <v>106.09</v>
          </cell>
          <cell r="Q607">
            <v>109.2727</v>
          </cell>
          <cell r="R607">
            <v>112.550881</v>
          </cell>
          <cell r="S607">
            <v>115.92740743</v>
          </cell>
          <cell r="T607">
            <v>119.4052296529</v>
          </cell>
        </row>
        <row r="608">
          <cell r="K608" t="str">
            <v>IndiaConsultingGTIN LT Strat / Ops Skills84NA</v>
          </cell>
          <cell r="L608" t="str">
            <v>Sr. Executive</v>
          </cell>
          <cell r="M608">
            <v>153.33333333333334</v>
          </cell>
          <cell r="N608">
            <v>100</v>
          </cell>
          <cell r="O608">
            <v>103</v>
          </cell>
          <cell r="P608">
            <v>106.09</v>
          </cell>
          <cell r="Q608">
            <v>109.2727</v>
          </cell>
          <cell r="R608">
            <v>112.550881</v>
          </cell>
          <cell r="S608">
            <v>115.92740743</v>
          </cell>
          <cell r="T608">
            <v>119.4052296529</v>
          </cell>
        </row>
        <row r="609">
          <cell r="K609" t="str">
            <v>IndiaConsultingGTIN LT Strat / Ops Skills85NA</v>
          </cell>
          <cell r="L609" t="str">
            <v>Sr. Executive</v>
          </cell>
          <cell r="M609">
            <v>153.33333333333334</v>
          </cell>
          <cell r="N609">
            <v>100</v>
          </cell>
          <cell r="O609">
            <v>103</v>
          </cell>
          <cell r="P609">
            <v>106.09</v>
          </cell>
          <cell r="Q609">
            <v>109.2727</v>
          </cell>
          <cell r="R609">
            <v>112.550881</v>
          </cell>
          <cell r="S609">
            <v>115.92740743</v>
          </cell>
          <cell r="T609">
            <v>119.4052296529</v>
          </cell>
        </row>
        <row r="610">
          <cell r="K610" t="str">
            <v>IndiaConsultingGTIN LT Strat / Ops Skills86NA</v>
          </cell>
          <cell r="L610" t="str">
            <v>Sr. Executive</v>
          </cell>
          <cell r="M610">
            <v>153.33333333333334</v>
          </cell>
          <cell r="N610">
            <v>100</v>
          </cell>
          <cell r="O610">
            <v>103</v>
          </cell>
          <cell r="P610">
            <v>106.09</v>
          </cell>
          <cell r="Q610">
            <v>109.2727</v>
          </cell>
          <cell r="R610">
            <v>112.550881</v>
          </cell>
          <cell r="S610">
            <v>115.92740743</v>
          </cell>
          <cell r="T610">
            <v>119.4052296529</v>
          </cell>
        </row>
        <row r="611">
          <cell r="K611" t="str">
            <v>IndiaConsultingGTIN LT Strat / Ops Skills87NA</v>
          </cell>
          <cell r="L611" t="str">
            <v>Sr. Executive</v>
          </cell>
          <cell r="M611">
            <v>153.33333333333334</v>
          </cell>
          <cell r="N611">
            <v>100</v>
          </cell>
          <cell r="O611">
            <v>103</v>
          </cell>
          <cell r="P611">
            <v>106.09</v>
          </cell>
          <cell r="Q611">
            <v>109.2727</v>
          </cell>
          <cell r="R611">
            <v>112.550881</v>
          </cell>
          <cell r="S611">
            <v>115.92740743</v>
          </cell>
          <cell r="T611">
            <v>119.4052296529</v>
          </cell>
        </row>
        <row r="612">
          <cell r="K612" t="str">
            <v>IndiaConsultingGTIN LT Strat / Ops Skills88NA</v>
          </cell>
          <cell r="L612" t="str">
            <v>Sr. Executive</v>
          </cell>
          <cell r="M612">
            <v>153.33333333333334</v>
          </cell>
          <cell r="N612">
            <v>100</v>
          </cell>
          <cell r="O612">
            <v>103</v>
          </cell>
          <cell r="P612">
            <v>106.09</v>
          </cell>
          <cell r="Q612">
            <v>109.2727</v>
          </cell>
          <cell r="R612">
            <v>112.550881</v>
          </cell>
          <cell r="S612">
            <v>115.92740743</v>
          </cell>
          <cell r="T612">
            <v>119.4052296529</v>
          </cell>
        </row>
        <row r="613">
          <cell r="K613" t="str">
            <v>IndiaConsultingGTIN LT Strat / Ops Skills89NA</v>
          </cell>
          <cell r="L613" t="str">
            <v>Sr. Executive</v>
          </cell>
          <cell r="M613">
            <v>153.33333333333334</v>
          </cell>
          <cell r="N613">
            <v>100</v>
          </cell>
          <cell r="O613">
            <v>103</v>
          </cell>
          <cell r="P613">
            <v>106.09</v>
          </cell>
          <cell r="Q613">
            <v>109.2727</v>
          </cell>
          <cell r="R613">
            <v>112.550881</v>
          </cell>
          <cell r="S613">
            <v>115.92740743</v>
          </cell>
          <cell r="T613">
            <v>119.4052296529</v>
          </cell>
        </row>
        <row r="614">
          <cell r="K614" t="str">
            <v>IndiaConsultingGTIN LT Strat / Ops Skills90NA</v>
          </cell>
          <cell r="L614" t="str">
            <v>Sr. Executive</v>
          </cell>
          <cell r="M614">
            <v>153.33333333333334</v>
          </cell>
          <cell r="N614">
            <v>100</v>
          </cell>
          <cell r="O614">
            <v>103</v>
          </cell>
          <cell r="P614">
            <v>106.09</v>
          </cell>
          <cell r="Q614">
            <v>109.2727</v>
          </cell>
          <cell r="R614">
            <v>112.550881</v>
          </cell>
          <cell r="S614">
            <v>115.92740743</v>
          </cell>
          <cell r="T614">
            <v>119.4052296529</v>
          </cell>
        </row>
        <row r="615">
          <cell r="K615" t="str">
            <v>IndiaConsultingGTIN LT Strat / Ops Skills91NA</v>
          </cell>
          <cell r="L615" t="str">
            <v>Sr. Executive</v>
          </cell>
          <cell r="M615">
            <v>153.33333333333334</v>
          </cell>
          <cell r="N615">
            <v>100</v>
          </cell>
          <cell r="O615">
            <v>103</v>
          </cell>
          <cell r="P615">
            <v>106.09</v>
          </cell>
          <cell r="Q615">
            <v>109.2727</v>
          </cell>
          <cell r="R615">
            <v>112.550881</v>
          </cell>
          <cell r="S615">
            <v>115.92740743</v>
          </cell>
          <cell r="T615">
            <v>119.4052296529</v>
          </cell>
        </row>
        <row r="616">
          <cell r="K616" t="str">
            <v>IndiaConsultingGTIN LT Strat / Ops Skills92NA</v>
          </cell>
          <cell r="L616" t="str">
            <v>Sr. Executive</v>
          </cell>
          <cell r="M616">
            <v>153.33333333333334</v>
          </cell>
          <cell r="N616">
            <v>100</v>
          </cell>
          <cell r="O616">
            <v>103</v>
          </cell>
          <cell r="P616">
            <v>106.09</v>
          </cell>
          <cell r="Q616">
            <v>109.2727</v>
          </cell>
          <cell r="R616">
            <v>112.550881</v>
          </cell>
          <cell r="S616">
            <v>115.92740743</v>
          </cell>
          <cell r="T616">
            <v>119.4052296529</v>
          </cell>
        </row>
        <row r="617">
          <cell r="K617" t="str">
            <v>IndiaConsultingGTIN LT Strat / Ops Skills93NA</v>
          </cell>
          <cell r="L617" t="str">
            <v>Sr. Executive</v>
          </cell>
          <cell r="M617">
            <v>153.33333333333334</v>
          </cell>
          <cell r="N617">
            <v>100</v>
          </cell>
          <cell r="O617">
            <v>103</v>
          </cell>
          <cell r="P617">
            <v>106.09</v>
          </cell>
          <cell r="Q617">
            <v>109.2727</v>
          </cell>
          <cell r="R617">
            <v>112.550881</v>
          </cell>
          <cell r="S617">
            <v>115.92740743</v>
          </cell>
          <cell r="T617">
            <v>119.4052296529</v>
          </cell>
        </row>
        <row r="618">
          <cell r="K618" t="str">
            <v>IndiaConsultingGTIN LT Strat / Ops Skills94NA</v>
          </cell>
          <cell r="L618" t="str">
            <v>Sr. Executive</v>
          </cell>
          <cell r="M618">
            <v>153.33333333333334</v>
          </cell>
          <cell r="N618">
            <v>100</v>
          </cell>
          <cell r="O618">
            <v>103</v>
          </cell>
          <cell r="P618">
            <v>106.09</v>
          </cell>
          <cell r="Q618">
            <v>109.2727</v>
          </cell>
          <cell r="R618">
            <v>112.550881</v>
          </cell>
          <cell r="S618">
            <v>115.92740743</v>
          </cell>
          <cell r="T618">
            <v>119.4052296529</v>
          </cell>
        </row>
        <row r="619">
          <cell r="K619" t="str">
            <v>IndiaConsultingGTIN LT Strat / Ops Skills95NA</v>
          </cell>
          <cell r="L619" t="str">
            <v>Sr. Executive</v>
          </cell>
          <cell r="M619">
            <v>153.33333333333334</v>
          </cell>
          <cell r="N619">
            <v>100</v>
          </cell>
          <cell r="O619">
            <v>103</v>
          </cell>
          <cell r="P619">
            <v>106.09</v>
          </cell>
          <cell r="Q619">
            <v>109.2727</v>
          </cell>
          <cell r="R619">
            <v>112.550881</v>
          </cell>
          <cell r="S619">
            <v>115.92740743</v>
          </cell>
          <cell r="T619">
            <v>119.4052296529</v>
          </cell>
        </row>
        <row r="620">
          <cell r="K620" t="str">
            <v>IndiaConsultingGTIN LT Strat / Ops Skills96NA</v>
          </cell>
          <cell r="L620" t="str">
            <v>Sr. Executive</v>
          </cell>
          <cell r="M620">
            <v>153.33333333333334</v>
          </cell>
          <cell r="N620">
            <v>100</v>
          </cell>
          <cell r="O620">
            <v>103</v>
          </cell>
          <cell r="P620">
            <v>106.09</v>
          </cell>
          <cell r="Q620">
            <v>109.2727</v>
          </cell>
          <cell r="R620">
            <v>112.550881</v>
          </cell>
          <cell r="S620">
            <v>115.92740743</v>
          </cell>
          <cell r="T620">
            <v>119.4052296529</v>
          </cell>
        </row>
        <row r="621">
          <cell r="K621" t="str">
            <v>IndiaConsultingGTIN LT Strat / Ops Skills71NA</v>
          </cell>
          <cell r="L621" t="str">
            <v>Sr. Manager</v>
          </cell>
          <cell r="M621">
            <v>153.33333333333334</v>
          </cell>
          <cell r="N621">
            <v>100</v>
          </cell>
          <cell r="O621">
            <v>103</v>
          </cell>
          <cell r="P621">
            <v>106.09</v>
          </cell>
          <cell r="Q621">
            <v>109.2727</v>
          </cell>
          <cell r="R621">
            <v>112.550881</v>
          </cell>
          <cell r="S621">
            <v>115.92740743</v>
          </cell>
          <cell r="T621">
            <v>119.4052296529</v>
          </cell>
        </row>
        <row r="622">
          <cell r="K622" t="str">
            <v>IndiaConsultingGTIN LT Strat / Ops Skills72NA</v>
          </cell>
          <cell r="L622" t="str">
            <v>Sr. Manager</v>
          </cell>
          <cell r="M622">
            <v>153.33333333333334</v>
          </cell>
          <cell r="N622">
            <v>100</v>
          </cell>
          <cell r="O622">
            <v>103</v>
          </cell>
          <cell r="P622">
            <v>106.09</v>
          </cell>
          <cell r="Q622">
            <v>109.2727</v>
          </cell>
          <cell r="R622">
            <v>112.550881</v>
          </cell>
          <cell r="S622">
            <v>115.92740743</v>
          </cell>
          <cell r="T622">
            <v>119.4052296529</v>
          </cell>
        </row>
        <row r="623">
          <cell r="K623" t="str">
            <v>IndiaConsultingGTIN ST Analytics30NA</v>
          </cell>
          <cell r="L623" t="str">
            <v>Analyst</v>
          </cell>
          <cell r="M623">
            <v>153.33333333333334</v>
          </cell>
          <cell r="N623">
            <v>100</v>
          </cell>
          <cell r="O623">
            <v>103</v>
          </cell>
          <cell r="P623">
            <v>106.09</v>
          </cell>
          <cell r="Q623">
            <v>109.2727</v>
          </cell>
          <cell r="R623">
            <v>112.550881</v>
          </cell>
          <cell r="S623">
            <v>115.92740743</v>
          </cell>
          <cell r="T623">
            <v>119.4052296529</v>
          </cell>
        </row>
        <row r="624">
          <cell r="K624" t="str">
            <v>IndiaConsultingGTIN ST Analytics31NA</v>
          </cell>
          <cell r="L624" t="str">
            <v>Analyst</v>
          </cell>
          <cell r="M624">
            <v>153.33333333333334</v>
          </cell>
          <cell r="N624">
            <v>100</v>
          </cell>
          <cell r="O624">
            <v>103</v>
          </cell>
          <cell r="P624">
            <v>106.09</v>
          </cell>
          <cell r="Q624">
            <v>109.2727</v>
          </cell>
          <cell r="R624">
            <v>112.550881</v>
          </cell>
          <cell r="S624">
            <v>115.92740743</v>
          </cell>
          <cell r="T624">
            <v>119.4052296529</v>
          </cell>
        </row>
        <row r="625">
          <cell r="K625" t="str">
            <v>IndiaConsultingGTIN ST Analytics32NA</v>
          </cell>
          <cell r="L625" t="str">
            <v>Analyst</v>
          </cell>
          <cell r="M625">
            <v>153.33333333333334</v>
          </cell>
          <cell r="N625">
            <v>100</v>
          </cell>
          <cell r="O625">
            <v>103</v>
          </cell>
          <cell r="P625">
            <v>106.09</v>
          </cell>
          <cell r="Q625">
            <v>109.2727</v>
          </cell>
          <cell r="R625">
            <v>112.550881</v>
          </cell>
          <cell r="S625">
            <v>115.92740743</v>
          </cell>
          <cell r="T625">
            <v>119.4052296529</v>
          </cell>
        </row>
        <row r="626">
          <cell r="K626" t="str">
            <v>IndiaConsultingGTIN ST Analytics51NA</v>
          </cell>
          <cell r="L626" t="str">
            <v>Consultant</v>
          </cell>
          <cell r="M626">
            <v>153.33333333333334</v>
          </cell>
          <cell r="N626">
            <v>100</v>
          </cell>
          <cell r="O626">
            <v>103</v>
          </cell>
          <cell r="P626">
            <v>106.09</v>
          </cell>
          <cell r="Q626">
            <v>109.2727</v>
          </cell>
          <cell r="R626">
            <v>112.550881</v>
          </cell>
          <cell r="S626">
            <v>115.92740743</v>
          </cell>
          <cell r="T626">
            <v>119.4052296529</v>
          </cell>
        </row>
        <row r="627">
          <cell r="K627" t="str">
            <v>IndiaConsultingGTIN ST Analytics52NA</v>
          </cell>
          <cell r="L627" t="str">
            <v>Consultant</v>
          </cell>
          <cell r="M627">
            <v>153.33333333333334</v>
          </cell>
          <cell r="N627">
            <v>100</v>
          </cell>
          <cell r="O627">
            <v>103</v>
          </cell>
          <cell r="P627">
            <v>106.09</v>
          </cell>
          <cell r="Q627">
            <v>109.2727</v>
          </cell>
          <cell r="R627">
            <v>112.550881</v>
          </cell>
          <cell r="S627">
            <v>115.92740743</v>
          </cell>
          <cell r="T627">
            <v>119.4052296529</v>
          </cell>
        </row>
        <row r="628">
          <cell r="K628" t="str">
            <v>IndiaConsultingGTIN ST Analytics53NA</v>
          </cell>
          <cell r="L628" t="str">
            <v>Consultant</v>
          </cell>
          <cell r="M628">
            <v>153.33333333333334</v>
          </cell>
          <cell r="N628">
            <v>100</v>
          </cell>
          <cell r="O628">
            <v>103</v>
          </cell>
          <cell r="P628">
            <v>106.09</v>
          </cell>
          <cell r="Q628">
            <v>109.2727</v>
          </cell>
          <cell r="R628">
            <v>112.550881</v>
          </cell>
          <cell r="S628">
            <v>115.92740743</v>
          </cell>
          <cell r="T628">
            <v>119.4052296529</v>
          </cell>
        </row>
        <row r="629">
          <cell r="K629" t="str">
            <v>IndiaConsultingGTIN ST Analytics54NA</v>
          </cell>
          <cell r="L629" t="str">
            <v>Consultant</v>
          </cell>
          <cell r="M629">
            <v>153.33333333333334</v>
          </cell>
          <cell r="N629">
            <v>100</v>
          </cell>
          <cell r="O629">
            <v>103</v>
          </cell>
          <cell r="P629">
            <v>106.09</v>
          </cell>
          <cell r="Q629">
            <v>109.2727</v>
          </cell>
          <cell r="R629">
            <v>112.550881</v>
          </cell>
          <cell r="S629">
            <v>115.92740743</v>
          </cell>
          <cell r="T629">
            <v>119.4052296529</v>
          </cell>
        </row>
        <row r="630">
          <cell r="K630" t="str">
            <v>IndiaConsultingGTIN ST Analytics60NA</v>
          </cell>
          <cell r="L630" t="str">
            <v>Manager</v>
          </cell>
          <cell r="M630">
            <v>153.33333333333334</v>
          </cell>
          <cell r="N630">
            <v>100</v>
          </cell>
          <cell r="O630">
            <v>103</v>
          </cell>
          <cell r="P630">
            <v>106.09</v>
          </cell>
          <cell r="Q630">
            <v>109.2727</v>
          </cell>
          <cell r="R630">
            <v>112.550881</v>
          </cell>
          <cell r="S630">
            <v>115.92740743</v>
          </cell>
          <cell r="T630">
            <v>119.4052296529</v>
          </cell>
        </row>
        <row r="631">
          <cell r="K631" t="str">
            <v>IndiaConsultingGTIN ST Analytics61NA</v>
          </cell>
          <cell r="L631" t="str">
            <v>Manager</v>
          </cell>
          <cell r="M631">
            <v>153.33333333333334</v>
          </cell>
          <cell r="N631">
            <v>100</v>
          </cell>
          <cell r="O631">
            <v>103</v>
          </cell>
          <cell r="P631">
            <v>106.09</v>
          </cell>
          <cell r="Q631">
            <v>109.2727</v>
          </cell>
          <cell r="R631">
            <v>112.550881</v>
          </cell>
          <cell r="S631">
            <v>115.92740743</v>
          </cell>
          <cell r="T631">
            <v>119.4052296529</v>
          </cell>
        </row>
        <row r="632">
          <cell r="K632" t="str">
            <v>IndiaConsultingGTIN ST Analytics62NA</v>
          </cell>
          <cell r="L632" t="str">
            <v>Manager</v>
          </cell>
          <cell r="M632">
            <v>153.33333333333334</v>
          </cell>
          <cell r="N632">
            <v>100</v>
          </cell>
          <cell r="O632">
            <v>103</v>
          </cell>
          <cell r="P632">
            <v>106.09</v>
          </cell>
          <cell r="Q632">
            <v>109.2727</v>
          </cell>
          <cell r="R632">
            <v>112.550881</v>
          </cell>
          <cell r="S632">
            <v>115.92740743</v>
          </cell>
          <cell r="T632">
            <v>119.4052296529</v>
          </cell>
        </row>
        <row r="633">
          <cell r="K633" t="str">
            <v>IndiaConsultingGTIN ST Analytics63NA</v>
          </cell>
          <cell r="L633" t="str">
            <v>Manager</v>
          </cell>
          <cell r="M633">
            <v>153.33333333333334</v>
          </cell>
          <cell r="N633">
            <v>100</v>
          </cell>
          <cell r="O633">
            <v>103</v>
          </cell>
          <cell r="P633">
            <v>106.09</v>
          </cell>
          <cell r="Q633">
            <v>109.2727</v>
          </cell>
          <cell r="R633">
            <v>112.550881</v>
          </cell>
          <cell r="S633">
            <v>115.92740743</v>
          </cell>
          <cell r="T633">
            <v>119.4052296529</v>
          </cell>
        </row>
        <row r="634">
          <cell r="K634" t="str">
            <v>IndiaConsultingGTIN ST Analytics80NA</v>
          </cell>
          <cell r="L634" t="str">
            <v>Sr. Executive</v>
          </cell>
          <cell r="M634">
            <v>153.33333333333334</v>
          </cell>
          <cell r="N634">
            <v>100</v>
          </cell>
          <cell r="O634">
            <v>103</v>
          </cell>
          <cell r="P634">
            <v>106.09</v>
          </cell>
          <cell r="Q634">
            <v>109.2727</v>
          </cell>
          <cell r="R634">
            <v>112.550881</v>
          </cell>
          <cell r="S634">
            <v>115.92740743</v>
          </cell>
          <cell r="T634">
            <v>119.4052296529</v>
          </cell>
        </row>
        <row r="635">
          <cell r="K635" t="str">
            <v>IndiaConsultingGTIN ST Analytics81NA</v>
          </cell>
          <cell r="L635" t="str">
            <v>Sr. Executive</v>
          </cell>
          <cell r="M635">
            <v>153.33333333333334</v>
          </cell>
          <cell r="N635">
            <v>100</v>
          </cell>
          <cell r="O635">
            <v>103</v>
          </cell>
          <cell r="P635">
            <v>106.09</v>
          </cell>
          <cell r="Q635">
            <v>109.2727</v>
          </cell>
          <cell r="R635">
            <v>112.550881</v>
          </cell>
          <cell r="S635">
            <v>115.92740743</v>
          </cell>
          <cell r="T635">
            <v>119.4052296529</v>
          </cell>
        </row>
        <row r="636">
          <cell r="K636" t="str">
            <v>IndiaConsultingGTIN ST Analytics82NA</v>
          </cell>
          <cell r="L636" t="str">
            <v>Sr. Executive</v>
          </cell>
          <cell r="M636">
            <v>153.33333333333334</v>
          </cell>
          <cell r="N636">
            <v>100</v>
          </cell>
          <cell r="O636">
            <v>103</v>
          </cell>
          <cell r="P636">
            <v>106.09</v>
          </cell>
          <cell r="Q636">
            <v>109.2727</v>
          </cell>
          <cell r="R636">
            <v>112.550881</v>
          </cell>
          <cell r="S636">
            <v>115.92740743</v>
          </cell>
          <cell r="T636">
            <v>119.4052296529</v>
          </cell>
        </row>
        <row r="637">
          <cell r="K637" t="str">
            <v>IndiaConsultingGTIN ST Analytics83NA</v>
          </cell>
          <cell r="L637" t="str">
            <v>Sr. Executive</v>
          </cell>
          <cell r="M637">
            <v>153.33333333333334</v>
          </cell>
          <cell r="N637">
            <v>100</v>
          </cell>
          <cell r="O637">
            <v>103</v>
          </cell>
          <cell r="P637">
            <v>106.09</v>
          </cell>
          <cell r="Q637">
            <v>109.2727</v>
          </cell>
          <cell r="R637">
            <v>112.550881</v>
          </cell>
          <cell r="S637">
            <v>115.92740743</v>
          </cell>
          <cell r="T637">
            <v>119.4052296529</v>
          </cell>
        </row>
        <row r="638">
          <cell r="K638" t="str">
            <v>IndiaConsultingGTIN ST Analytics84NA</v>
          </cell>
          <cell r="L638" t="str">
            <v>Sr. Executive</v>
          </cell>
          <cell r="M638">
            <v>153.33333333333334</v>
          </cell>
          <cell r="N638">
            <v>100</v>
          </cell>
          <cell r="O638">
            <v>103</v>
          </cell>
          <cell r="P638">
            <v>106.09</v>
          </cell>
          <cell r="Q638">
            <v>109.2727</v>
          </cell>
          <cell r="R638">
            <v>112.550881</v>
          </cell>
          <cell r="S638">
            <v>115.92740743</v>
          </cell>
          <cell r="T638">
            <v>119.4052296529</v>
          </cell>
        </row>
        <row r="639">
          <cell r="K639" t="str">
            <v>IndiaConsultingGTIN ST Analytics85NA</v>
          </cell>
          <cell r="L639" t="str">
            <v>Sr. Executive</v>
          </cell>
          <cell r="M639">
            <v>153.33333333333334</v>
          </cell>
          <cell r="N639">
            <v>100</v>
          </cell>
          <cell r="O639">
            <v>103</v>
          </cell>
          <cell r="P639">
            <v>106.09</v>
          </cell>
          <cell r="Q639">
            <v>109.2727</v>
          </cell>
          <cell r="R639">
            <v>112.550881</v>
          </cell>
          <cell r="S639">
            <v>115.92740743</v>
          </cell>
          <cell r="T639">
            <v>119.4052296529</v>
          </cell>
        </row>
        <row r="640">
          <cell r="K640" t="str">
            <v>IndiaConsultingGTIN ST Analytics86NA</v>
          </cell>
          <cell r="L640" t="str">
            <v>Sr. Executive</v>
          </cell>
          <cell r="M640">
            <v>153.33333333333334</v>
          </cell>
          <cell r="N640">
            <v>100</v>
          </cell>
          <cell r="O640">
            <v>103</v>
          </cell>
          <cell r="P640">
            <v>106.09</v>
          </cell>
          <cell r="Q640">
            <v>109.2727</v>
          </cell>
          <cell r="R640">
            <v>112.550881</v>
          </cell>
          <cell r="S640">
            <v>115.92740743</v>
          </cell>
          <cell r="T640">
            <v>119.4052296529</v>
          </cell>
        </row>
        <row r="641">
          <cell r="K641" t="str">
            <v>IndiaConsultingGTIN ST Analytics87NA</v>
          </cell>
          <cell r="L641" t="str">
            <v>Sr. Executive</v>
          </cell>
          <cell r="M641">
            <v>153.33333333333334</v>
          </cell>
          <cell r="N641">
            <v>100</v>
          </cell>
          <cell r="O641">
            <v>103</v>
          </cell>
          <cell r="P641">
            <v>106.09</v>
          </cell>
          <cell r="Q641">
            <v>109.2727</v>
          </cell>
          <cell r="R641">
            <v>112.550881</v>
          </cell>
          <cell r="S641">
            <v>115.92740743</v>
          </cell>
          <cell r="T641">
            <v>119.4052296529</v>
          </cell>
        </row>
        <row r="642">
          <cell r="K642" t="str">
            <v>IndiaConsultingGTIN ST Analytics88NA</v>
          </cell>
          <cell r="L642" t="str">
            <v>Sr. Executive</v>
          </cell>
          <cell r="M642">
            <v>153.33333333333334</v>
          </cell>
          <cell r="N642">
            <v>100</v>
          </cell>
          <cell r="O642">
            <v>103</v>
          </cell>
          <cell r="P642">
            <v>106.09</v>
          </cell>
          <cell r="Q642">
            <v>109.2727</v>
          </cell>
          <cell r="R642">
            <v>112.550881</v>
          </cell>
          <cell r="S642">
            <v>115.92740743</v>
          </cell>
          <cell r="T642">
            <v>119.4052296529</v>
          </cell>
        </row>
        <row r="643">
          <cell r="K643" t="str">
            <v>IndiaConsultingGTIN ST Analytics89NA</v>
          </cell>
          <cell r="L643" t="str">
            <v>Sr. Executive</v>
          </cell>
          <cell r="M643">
            <v>153.33333333333334</v>
          </cell>
          <cell r="N643">
            <v>100</v>
          </cell>
          <cell r="O643">
            <v>103</v>
          </cell>
          <cell r="P643">
            <v>106.09</v>
          </cell>
          <cell r="Q643">
            <v>109.2727</v>
          </cell>
          <cell r="R643">
            <v>112.550881</v>
          </cell>
          <cell r="S643">
            <v>115.92740743</v>
          </cell>
          <cell r="T643">
            <v>119.4052296529</v>
          </cell>
        </row>
        <row r="644">
          <cell r="K644" t="str">
            <v>IndiaConsultingGTIN ST Analytics90NA</v>
          </cell>
          <cell r="L644" t="str">
            <v>Sr. Executive</v>
          </cell>
          <cell r="M644">
            <v>153.33333333333334</v>
          </cell>
          <cell r="N644">
            <v>100</v>
          </cell>
          <cell r="O644">
            <v>103</v>
          </cell>
          <cell r="P644">
            <v>106.09</v>
          </cell>
          <cell r="Q644">
            <v>109.2727</v>
          </cell>
          <cell r="R644">
            <v>112.550881</v>
          </cell>
          <cell r="S644">
            <v>115.92740743</v>
          </cell>
          <cell r="T644">
            <v>119.4052296529</v>
          </cell>
        </row>
        <row r="645">
          <cell r="K645" t="str">
            <v>IndiaConsultingGTIN ST Analytics91NA</v>
          </cell>
          <cell r="L645" t="str">
            <v>Sr. Executive</v>
          </cell>
          <cell r="M645">
            <v>153.33333333333334</v>
          </cell>
          <cell r="N645">
            <v>100</v>
          </cell>
          <cell r="O645">
            <v>103</v>
          </cell>
          <cell r="P645">
            <v>106.09</v>
          </cell>
          <cell r="Q645">
            <v>109.2727</v>
          </cell>
          <cell r="R645">
            <v>112.550881</v>
          </cell>
          <cell r="S645">
            <v>115.92740743</v>
          </cell>
          <cell r="T645">
            <v>119.4052296529</v>
          </cell>
        </row>
        <row r="646">
          <cell r="K646" t="str">
            <v>IndiaConsultingGTIN ST Analytics92NA</v>
          </cell>
          <cell r="L646" t="str">
            <v>Sr. Executive</v>
          </cell>
          <cell r="M646">
            <v>153.33333333333334</v>
          </cell>
          <cell r="N646">
            <v>100</v>
          </cell>
          <cell r="O646">
            <v>103</v>
          </cell>
          <cell r="P646">
            <v>106.09</v>
          </cell>
          <cell r="Q646">
            <v>109.2727</v>
          </cell>
          <cell r="R646">
            <v>112.550881</v>
          </cell>
          <cell r="S646">
            <v>115.92740743</v>
          </cell>
          <cell r="T646">
            <v>119.4052296529</v>
          </cell>
        </row>
        <row r="647">
          <cell r="K647" t="str">
            <v>IndiaConsultingGTIN ST Analytics93NA</v>
          </cell>
          <cell r="L647" t="str">
            <v>Sr. Executive</v>
          </cell>
          <cell r="M647">
            <v>153.33333333333334</v>
          </cell>
          <cell r="N647">
            <v>100</v>
          </cell>
          <cell r="O647">
            <v>103</v>
          </cell>
          <cell r="P647">
            <v>106.09</v>
          </cell>
          <cell r="Q647">
            <v>109.2727</v>
          </cell>
          <cell r="R647">
            <v>112.550881</v>
          </cell>
          <cell r="S647">
            <v>115.92740743</v>
          </cell>
          <cell r="T647">
            <v>119.4052296529</v>
          </cell>
        </row>
        <row r="648">
          <cell r="K648" t="str">
            <v>IndiaConsultingGTIN ST Analytics94NA</v>
          </cell>
          <cell r="L648" t="str">
            <v>Sr. Executive</v>
          </cell>
          <cell r="M648">
            <v>153.33333333333334</v>
          </cell>
          <cell r="N648">
            <v>100</v>
          </cell>
          <cell r="O648">
            <v>103</v>
          </cell>
          <cell r="P648">
            <v>106.09</v>
          </cell>
          <cell r="Q648">
            <v>109.2727</v>
          </cell>
          <cell r="R648">
            <v>112.550881</v>
          </cell>
          <cell r="S648">
            <v>115.92740743</v>
          </cell>
          <cell r="T648">
            <v>119.4052296529</v>
          </cell>
        </row>
        <row r="649">
          <cell r="K649" t="str">
            <v>IndiaConsultingGTIN ST Analytics95NA</v>
          </cell>
          <cell r="L649" t="str">
            <v>Sr. Executive</v>
          </cell>
          <cell r="M649">
            <v>153.33333333333334</v>
          </cell>
          <cell r="N649">
            <v>100</v>
          </cell>
          <cell r="O649">
            <v>103</v>
          </cell>
          <cell r="P649">
            <v>106.09</v>
          </cell>
          <cell r="Q649">
            <v>109.2727</v>
          </cell>
          <cell r="R649">
            <v>112.550881</v>
          </cell>
          <cell r="S649">
            <v>115.92740743</v>
          </cell>
          <cell r="T649">
            <v>119.4052296529</v>
          </cell>
        </row>
        <row r="650">
          <cell r="K650" t="str">
            <v>IndiaConsultingGTIN ST Analytics96NA</v>
          </cell>
          <cell r="L650" t="str">
            <v>Sr. Executive</v>
          </cell>
          <cell r="M650">
            <v>153.33333333333334</v>
          </cell>
          <cell r="N650">
            <v>100</v>
          </cell>
          <cell r="O650">
            <v>103</v>
          </cell>
          <cell r="P650">
            <v>106.09</v>
          </cell>
          <cell r="Q650">
            <v>109.2727</v>
          </cell>
          <cell r="R650">
            <v>112.550881</v>
          </cell>
          <cell r="S650">
            <v>115.92740743</v>
          </cell>
          <cell r="T650">
            <v>119.4052296529</v>
          </cell>
        </row>
        <row r="651">
          <cell r="K651" t="str">
            <v>IndiaConsultingGTIN ST Analytics67NA</v>
          </cell>
          <cell r="L651" t="str">
            <v>Sr. Manager</v>
          </cell>
          <cell r="M651">
            <v>153.33333333333334</v>
          </cell>
          <cell r="N651">
            <v>100</v>
          </cell>
          <cell r="O651">
            <v>103</v>
          </cell>
          <cell r="P651">
            <v>106.09</v>
          </cell>
          <cell r="Q651">
            <v>109.2727</v>
          </cell>
          <cell r="R651">
            <v>112.550881</v>
          </cell>
          <cell r="S651">
            <v>115.92740743</v>
          </cell>
          <cell r="T651">
            <v>119.4052296529</v>
          </cell>
        </row>
        <row r="652">
          <cell r="K652" t="str">
            <v>IndiaConsultingGTIN ST Analytics68NA</v>
          </cell>
          <cell r="L652" t="str">
            <v>Sr. Manager</v>
          </cell>
          <cell r="M652">
            <v>153.33333333333334</v>
          </cell>
          <cell r="N652">
            <v>100</v>
          </cell>
          <cell r="O652">
            <v>103</v>
          </cell>
          <cell r="P652">
            <v>106.09</v>
          </cell>
          <cell r="Q652">
            <v>109.2727</v>
          </cell>
          <cell r="R652">
            <v>112.550881</v>
          </cell>
          <cell r="S652">
            <v>115.92740743</v>
          </cell>
          <cell r="T652">
            <v>119.4052296529</v>
          </cell>
        </row>
        <row r="653">
          <cell r="K653" t="str">
            <v>IndiaConsultingGTIN ST Analytics71NA</v>
          </cell>
          <cell r="L653" t="str">
            <v>Sr. Manager</v>
          </cell>
          <cell r="M653">
            <v>153.33333333333334</v>
          </cell>
          <cell r="N653">
            <v>100</v>
          </cell>
          <cell r="O653">
            <v>103</v>
          </cell>
          <cell r="P653">
            <v>106.09</v>
          </cell>
          <cell r="Q653">
            <v>109.2727</v>
          </cell>
          <cell r="R653">
            <v>112.550881</v>
          </cell>
          <cell r="S653">
            <v>115.92740743</v>
          </cell>
          <cell r="T653">
            <v>119.4052296529</v>
          </cell>
        </row>
        <row r="654">
          <cell r="K654" t="str">
            <v>IndiaConsultingGTIN ST Industry / Func Skills30NA</v>
          </cell>
          <cell r="L654" t="str">
            <v>Analyst</v>
          </cell>
          <cell r="M654">
            <v>153.33333333333334</v>
          </cell>
          <cell r="N654">
            <v>100</v>
          </cell>
          <cell r="O654">
            <v>103</v>
          </cell>
          <cell r="P654">
            <v>106.09</v>
          </cell>
          <cell r="Q654">
            <v>109.2727</v>
          </cell>
          <cell r="R654">
            <v>112.550881</v>
          </cell>
          <cell r="S654">
            <v>115.92740743</v>
          </cell>
          <cell r="T654">
            <v>119.4052296529</v>
          </cell>
        </row>
        <row r="655">
          <cell r="K655" t="str">
            <v>IndiaConsultingGTIN ST Industry / Func Skills31NA</v>
          </cell>
          <cell r="L655" t="str">
            <v>Analyst</v>
          </cell>
          <cell r="M655">
            <v>153.33333333333334</v>
          </cell>
          <cell r="N655">
            <v>100</v>
          </cell>
          <cell r="O655">
            <v>103</v>
          </cell>
          <cell r="P655">
            <v>106.09</v>
          </cell>
          <cell r="Q655">
            <v>109.2727</v>
          </cell>
          <cell r="R655">
            <v>112.550881</v>
          </cell>
          <cell r="S655">
            <v>115.92740743</v>
          </cell>
          <cell r="T655">
            <v>119.4052296529</v>
          </cell>
        </row>
        <row r="656">
          <cell r="K656" t="str">
            <v>IndiaConsultingGTIN ST Industry / Func Skills32NA</v>
          </cell>
          <cell r="L656" t="str">
            <v>Analyst</v>
          </cell>
          <cell r="M656">
            <v>153.33333333333334</v>
          </cell>
          <cell r="N656">
            <v>100</v>
          </cell>
          <cell r="O656">
            <v>103</v>
          </cell>
          <cell r="P656">
            <v>106.09</v>
          </cell>
          <cell r="Q656">
            <v>109.2727</v>
          </cell>
          <cell r="R656">
            <v>112.550881</v>
          </cell>
          <cell r="S656">
            <v>115.92740743</v>
          </cell>
          <cell r="T656">
            <v>119.4052296529</v>
          </cell>
        </row>
        <row r="657">
          <cell r="K657" t="str">
            <v>IndiaConsultingGTIN ST Industry / Func Skills52NA</v>
          </cell>
          <cell r="L657" t="str">
            <v>Consultant</v>
          </cell>
          <cell r="M657">
            <v>153.33333333333334</v>
          </cell>
          <cell r="N657">
            <v>100</v>
          </cell>
          <cell r="O657">
            <v>103</v>
          </cell>
          <cell r="P657">
            <v>106.09</v>
          </cell>
          <cell r="Q657">
            <v>109.2727</v>
          </cell>
          <cell r="R657">
            <v>112.550881</v>
          </cell>
          <cell r="S657">
            <v>115.92740743</v>
          </cell>
          <cell r="T657">
            <v>119.4052296529</v>
          </cell>
        </row>
        <row r="658">
          <cell r="K658" t="str">
            <v>IndiaConsultingGTIN ST Industry / Func Skills53NA</v>
          </cell>
          <cell r="L658" t="str">
            <v>Consultant</v>
          </cell>
          <cell r="M658">
            <v>153.33333333333334</v>
          </cell>
          <cell r="N658">
            <v>100</v>
          </cell>
          <cell r="O658">
            <v>103</v>
          </cell>
          <cell r="P658">
            <v>106.09</v>
          </cell>
          <cell r="Q658">
            <v>109.2727</v>
          </cell>
          <cell r="R658">
            <v>112.550881</v>
          </cell>
          <cell r="S658">
            <v>115.92740743</v>
          </cell>
          <cell r="T658">
            <v>119.4052296529</v>
          </cell>
        </row>
        <row r="659">
          <cell r="K659" t="str">
            <v>IndiaConsultingGTIN ST Industry / Func Skills54NA</v>
          </cell>
          <cell r="L659" t="str">
            <v>Consultant</v>
          </cell>
          <cell r="M659">
            <v>153.33333333333334</v>
          </cell>
          <cell r="N659">
            <v>100</v>
          </cell>
          <cell r="O659">
            <v>103</v>
          </cell>
          <cell r="P659">
            <v>106.09</v>
          </cell>
          <cell r="Q659">
            <v>109.2727</v>
          </cell>
          <cell r="R659">
            <v>112.550881</v>
          </cell>
          <cell r="S659">
            <v>115.92740743</v>
          </cell>
          <cell r="T659">
            <v>119.4052296529</v>
          </cell>
        </row>
        <row r="660">
          <cell r="K660" t="str">
            <v>IndiaConsultingGTIN ST Industry / Func Skills55NA</v>
          </cell>
          <cell r="L660" t="str">
            <v>Consultant</v>
          </cell>
          <cell r="M660">
            <v>153.33333333333334</v>
          </cell>
          <cell r="N660">
            <v>100</v>
          </cell>
          <cell r="O660">
            <v>103</v>
          </cell>
          <cell r="P660">
            <v>106.09</v>
          </cell>
          <cell r="Q660">
            <v>109.2727</v>
          </cell>
          <cell r="R660">
            <v>112.550881</v>
          </cell>
          <cell r="S660">
            <v>115.92740743</v>
          </cell>
          <cell r="T660">
            <v>119.4052296529</v>
          </cell>
        </row>
        <row r="661">
          <cell r="K661" t="str">
            <v>IndiaConsultingGTIN ST Industry / Func Skills60NA</v>
          </cell>
          <cell r="L661" t="str">
            <v>Manager</v>
          </cell>
          <cell r="M661">
            <v>153.33333333333334</v>
          </cell>
          <cell r="N661">
            <v>100</v>
          </cell>
          <cell r="O661">
            <v>103</v>
          </cell>
          <cell r="P661">
            <v>106.09</v>
          </cell>
          <cell r="Q661">
            <v>109.2727</v>
          </cell>
          <cell r="R661">
            <v>112.550881</v>
          </cell>
          <cell r="S661">
            <v>115.92740743</v>
          </cell>
          <cell r="T661">
            <v>119.4052296529</v>
          </cell>
        </row>
        <row r="662">
          <cell r="K662" t="str">
            <v>IndiaConsultingGTIN ST Industry / Func Skills61NA</v>
          </cell>
          <cell r="L662" t="str">
            <v>Manager</v>
          </cell>
          <cell r="M662">
            <v>153.33333333333334</v>
          </cell>
          <cell r="N662">
            <v>100</v>
          </cell>
          <cell r="O662">
            <v>103</v>
          </cell>
          <cell r="P662">
            <v>106.09</v>
          </cell>
          <cell r="Q662">
            <v>109.2727</v>
          </cell>
          <cell r="R662">
            <v>112.550881</v>
          </cell>
          <cell r="S662">
            <v>115.92740743</v>
          </cell>
          <cell r="T662">
            <v>119.4052296529</v>
          </cell>
        </row>
        <row r="663">
          <cell r="K663" t="str">
            <v>IndiaConsultingGTIN ST Industry / Func Skills62NA</v>
          </cell>
          <cell r="L663" t="str">
            <v>Manager</v>
          </cell>
          <cell r="M663">
            <v>153.33333333333334</v>
          </cell>
          <cell r="N663">
            <v>100</v>
          </cell>
          <cell r="O663">
            <v>103</v>
          </cell>
          <cell r="P663">
            <v>106.09</v>
          </cell>
          <cell r="Q663">
            <v>109.2727</v>
          </cell>
          <cell r="R663">
            <v>112.550881</v>
          </cell>
          <cell r="S663">
            <v>115.92740743</v>
          </cell>
          <cell r="T663">
            <v>119.4052296529</v>
          </cell>
        </row>
        <row r="664">
          <cell r="K664" t="str">
            <v>IndiaConsultingGTIN ST Industry / Func Skills80NA</v>
          </cell>
          <cell r="L664" t="str">
            <v>Sr. Executive</v>
          </cell>
          <cell r="M664">
            <v>153.33333333333334</v>
          </cell>
          <cell r="N664">
            <v>100</v>
          </cell>
          <cell r="O664">
            <v>103</v>
          </cell>
          <cell r="P664">
            <v>106.09</v>
          </cell>
          <cell r="Q664">
            <v>109.2727</v>
          </cell>
          <cell r="R664">
            <v>112.550881</v>
          </cell>
          <cell r="S664">
            <v>115.92740743</v>
          </cell>
          <cell r="T664">
            <v>119.4052296529</v>
          </cell>
        </row>
        <row r="665">
          <cell r="K665" t="str">
            <v>IndiaConsultingGTIN ST Industry / Func Skills81NA</v>
          </cell>
          <cell r="L665" t="str">
            <v>Sr. Executive</v>
          </cell>
          <cell r="M665">
            <v>153.33333333333334</v>
          </cell>
          <cell r="N665">
            <v>100</v>
          </cell>
          <cell r="O665">
            <v>103</v>
          </cell>
          <cell r="P665">
            <v>106.09</v>
          </cell>
          <cell r="Q665">
            <v>109.2727</v>
          </cell>
          <cell r="R665">
            <v>112.550881</v>
          </cell>
          <cell r="S665">
            <v>115.92740743</v>
          </cell>
          <cell r="T665">
            <v>119.4052296529</v>
          </cell>
        </row>
        <row r="666">
          <cell r="K666" t="str">
            <v>IndiaConsultingGTIN ST Industry / Func Skills82NA</v>
          </cell>
          <cell r="L666" t="str">
            <v>Sr. Executive</v>
          </cell>
          <cell r="M666">
            <v>153.33333333333334</v>
          </cell>
          <cell r="N666">
            <v>100</v>
          </cell>
          <cell r="O666">
            <v>103</v>
          </cell>
          <cell r="P666">
            <v>106.09</v>
          </cell>
          <cell r="Q666">
            <v>109.2727</v>
          </cell>
          <cell r="R666">
            <v>112.550881</v>
          </cell>
          <cell r="S666">
            <v>115.92740743</v>
          </cell>
          <cell r="T666">
            <v>119.4052296529</v>
          </cell>
        </row>
        <row r="667">
          <cell r="K667" t="str">
            <v>IndiaConsultingGTIN ST Industry / Func Skills83NA</v>
          </cell>
          <cell r="L667" t="str">
            <v>Sr. Executive</v>
          </cell>
          <cell r="M667">
            <v>153.33333333333334</v>
          </cell>
          <cell r="N667">
            <v>100</v>
          </cell>
          <cell r="O667">
            <v>103</v>
          </cell>
          <cell r="P667">
            <v>106.09</v>
          </cell>
          <cell r="Q667">
            <v>109.2727</v>
          </cell>
          <cell r="R667">
            <v>112.550881</v>
          </cell>
          <cell r="S667">
            <v>115.92740743</v>
          </cell>
          <cell r="T667">
            <v>119.4052296529</v>
          </cell>
        </row>
        <row r="668">
          <cell r="K668" t="str">
            <v>IndiaConsultingGTIN ST Industry / Func Skills84NA</v>
          </cell>
          <cell r="L668" t="str">
            <v>Sr. Executive</v>
          </cell>
          <cell r="M668">
            <v>153.33333333333334</v>
          </cell>
          <cell r="N668">
            <v>100</v>
          </cell>
          <cell r="O668">
            <v>103</v>
          </cell>
          <cell r="P668">
            <v>106.09</v>
          </cell>
          <cell r="Q668">
            <v>109.2727</v>
          </cell>
          <cell r="R668">
            <v>112.550881</v>
          </cell>
          <cell r="S668">
            <v>115.92740743</v>
          </cell>
          <cell r="T668">
            <v>119.4052296529</v>
          </cell>
        </row>
        <row r="669">
          <cell r="K669" t="str">
            <v>IndiaConsultingGTIN ST Industry / Func Skills85NA</v>
          </cell>
          <cell r="L669" t="str">
            <v>Sr. Executive</v>
          </cell>
          <cell r="M669">
            <v>153.33333333333334</v>
          </cell>
          <cell r="N669">
            <v>100</v>
          </cell>
          <cell r="O669">
            <v>103</v>
          </cell>
          <cell r="P669">
            <v>106.09</v>
          </cell>
          <cell r="Q669">
            <v>109.2727</v>
          </cell>
          <cell r="R669">
            <v>112.550881</v>
          </cell>
          <cell r="S669">
            <v>115.92740743</v>
          </cell>
          <cell r="T669">
            <v>119.4052296529</v>
          </cell>
        </row>
        <row r="670">
          <cell r="K670" t="str">
            <v>IndiaConsultingGTIN ST Industry / Func Skills86NA</v>
          </cell>
          <cell r="L670" t="str">
            <v>Sr. Executive</v>
          </cell>
          <cell r="M670">
            <v>153.33333333333334</v>
          </cell>
          <cell r="N670">
            <v>100</v>
          </cell>
          <cell r="O670">
            <v>103</v>
          </cell>
          <cell r="P670">
            <v>106.09</v>
          </cell>
          <cell r="Q670">
            <v>109.2727</v>
          </cell>
          <cell r="R670">
            <v>112.550881</v>
          </cell>
          <cell r="S670">
            <v>115.92740743</v>
          </cell>
          <cell r="T670">
            <v>119.4052296529</v>
          </cell>
        </row>
        <row r="671">
          <cell r="K671" t="str">
            <v>IndiaConsultingGTIN ST Industry / Func Skills87NA</v>
          </cell>
          <cell r="L671" t="str">
            <v>Sr. Executive</v>
          </cell>
          <cell r="M671">
            <v>153.33333333333334</v>
          </cell>
          <cell r="N671">
            <v>100</v>
          </cell>
          <cell r="O671">
            <v>103</v>
          </cell>
          <cell r="P671">
            <v>106.09</v>
          </cell>
          <cell r="Q671">
            <v>109.2727</v>
          </cell>
          <cell r="R671">
            <v>112.550881</v>
          </cell>
          <cell r="S671">
            <v>115.92740743</v>
          </cell>
          <cell r="T671">
            <v>119.4052296529</v>
          </cell>
        </row>
        <row r="672">
          <cell r="K672" t="str">
            <v>IndiaConsultingGTIN ST Industry / Func Skills88NA</v>
          </cell>
          <cell r="L672" t="str">
            <v>Sr. Executive</v>
          </cell>
          <cell r="M672">
            <v>153.33333333333334</v>
          </cell>
          <cell r="N672">
            <v>100</v>
          </cell>
          <cell r="O672">
            <v>103</v>
          </cell>
          <cell r="P672">
            <v>106.09</v>
          </cell>
          <cell r="Q672">
            <v>109.2727</v>
          </cell>
          <cell r="R672">
            <v>112.550881</v>
          </cell>
          <cell r="S672">
            <v>115.92740743</v>
          </cell>
          <cell r="T672">
            <v>119.4052296529</v>
          </cell>
        </row>
        <row r="673">
          <cell r="K673" t="str">
            <v>IndiaConsultingGTIN ST Industry / Func Skills89NA</v>
          </cell>
          <cell r="L673" t="str">
            <v>Sr. Executive</v>
          </cell>
          <cell r="M673">
            <v>153.33333333333334</v>
          </cell>
          <cell r="N673">
            <v>100</v>
          </cell>
          <cell r="O673">
            <v>103</v>
          </cell>
          <cell r="P673">
            <v>106.09</v>
          </cell>
          <cell r="Q673">
            <v>109.2727</v>
          </cell>
          <cell r="R673">
            <v>112.550881</v>
          </cell>
          <cell r="S673">
            <v>115.92740743</v>
          </cell>
          <cell r="T673">
            <v>119.4052296529</v>
          </cell>
        </row>
        <row r="674">
          <cell r="K674" t="str">
            <v>IndiaConsultingGTIN ST Industry / Func Skills90NA</v>
          </cell>
          <cell r="L674" t="str">
            <v>Sr. Executive</v>
          </cell>
          <cell r="M674">
            <v>153.33333333333334</v>
          </cell>
          <cell r="N674">
            <v>100</v>
          </cell>
          <cell r="O674">
            <v>103</v>
          </cell>
          <cell r="P674">
            <v>106.09</v>
          </cell>
          <cell r="Q674">
            <v>109.2727</v>
          </cell>
          <cell r="R674">
            <v>112.550881</v>
          </cell>
          <cell r="S674">
            <v>115.92740743</v>
          </cell>
          <cell r="T674">
            <v>119.4052296529</v>
          </cell>
        </row>
        <row r="675">
          <cell r="K675" t="str">
            <v>IndiaConsultingGTIN ST Industry / Func Skills91NA</v>
          </cell>
          <cell r="L675" t="str">
            <v>Sr. Executive</v>
          </cell>
          <cell r="M675">
            <v>153.33333333333334</v>
          </cell>
          <cell r="N675">
            <v>100</v>
          </cell>
          <cell r="O675">
            <v>103</v>
          </cell>
          <cell r="P675">
            <v>106.09</v>
          </cell>
          <cell r="Q675">
            <v>109.2727</v>
          </cell>
          <cell r="R675">
            <v>112.550881</v>
          </cell>
          <cell r="S675">
            <v>115.92740743</v>
          </cell>
          <cell r="T675">
            <v>119.4052296529</v>
          </cell>
        </row>
        <row r="676">
          <cell r="K676" t="str">
            <v>IndiaConsultingGTIN ST Industry / Func Skills92NA</v>
          </cell>
          <cell r="L676" t="str">
            <v>Sr. Executive</v>
          </cell>
          <cell r="M676">
            <v>153.33333333333334</v>
          </cell>
          <cell r="N676">
            <v>100</v>
          </cell>
          <cell r="O676">
            <v>103</v>
          </cell>
          <cell r="P676">
            <v>106.09</v>
          </cell>
          <cell r="Q676">
            <v>109.2727</v>
          </cell>
          <cell r="R676">
            <v>112.550881</v>
          </cell>
          <cell r="S676">
            <v>115.92740743</v>
          </cell>
          <cell r="T676">
            <v>119.4052296529</v>
          </cell>
        </row>
        <row r="677">
          <cell r="K677" t="str">
            <v>IndiaConsultingGTIN ST Industry / Func Skills93NA</v>
          </cell>
          <cell r="L677" t="str">
            <v>Sr. Executive</v>
          </cell>
          <cell r="M677">
            <v>153.33333333333334</v>
          </cell>
          <cell r="N677">
            <v>100</v>
          </cell>
          <cell r="O677">
            <v>103</v>
          </cell>
          <cell r="P677">
            <v>106.09</v>
          </cell>
          <cell r="Q677">
            <v>109.2727</v>
          </cell>
          <cell r="R677">
            <v>112.550881</v>
          </cell>
          <cell r="S677">
            <v>115.92740743</v>
          </cell>
          <cell r="T677">
            <v>119.4052296529</v>
          </cell>
        </row>
        <row r="678">
          <cell r="K678" t="str">
            <v>IndiaConsultingGTIN ST Industry / Func Skills94NA</v>
          </cell>
          <cell r="L678" t="str">
            <v>Sr. Executive</v>
          </cell>
          <cell r="M678">
            <v>153.33333333333334</v>
          </cell>
          <cell r="N678">
            <v>100</v>
          </cell>
          <cell r="O678">
            <v>103</v>
          </cell>
          <cell r="P678">
            <v>106.09</v>
          </cell>
          <cell r="Q678">
            <v>109.2727</v>
          </cell>
          <cell r="R678">
            <v>112.550881</v>
          </cell>
          <cell r="S678">
            <v>115.92740743</v>
          </cell>
          <cell r="T678">
            <v>119.4052296529</v>
          </cell>
        </row>
        <row r="679">
          <cell r="K679" t="str">
            <v>IndiaConsultingGTIN ST Industry / Func Skills95NA</v>
          </cell>
          <cell r="L679" t="str">
            <v>Sr. Executive</v>
          </cell>
          <cell r="M679">
            <v>153.33333333333334</v>
          </cell>
          <cell r="N679">
            <v>100</v>
          </cell>
          <cell r="O679">
            <v>103</v>
          </cell>
          <cell r="P679">
            <v>106.09</v>
          </cell>
          <cell r="Q679">
            <v>109.2727</v>
          </cell>
          <cell r="R679">
            <v>112.550881</v>
          </cell>
          <cell r="S679">
            <v>115.92740743</v>
          </cell>
          <cell r="T679">
            <v>119.4052296529</v>
          </cell>
        </row>
        <row r="680">
          <cell r="K680" t="str">
            <v>IndiaConsultingGTIN ST Industry / Func Skills96NA</v>
          </cell>
          <cell r="L680" t="str">
            <v>Sr. Executive</v>
          </cell>
          <cell r="M680">
            <v>153.33333333333334</v>
          </cell>
          <cell r="N680">
            <v>100</v>
          </cell>
          <cell r="O680">
            <v>103</v>
          </cell>
          <cell r="P680">
            <v>106.09</v>
          </cell>
          <cell r="Q680">
            <v>109.2727</v>
          </cell>
          <cell r="R680">
            <v>112.550881</v>
          </cell>
          <cell r="S680">
            <v>115.92740743</v>
          </cell>
          <cell r="T680">
            <v>119.4052296529</v>
          </cell>
        </row>
        <row r="681">
          <cell r="K681" t="str">
            <v>IndiaConsultingGTIN ST Industry / Func Skills67NA</v>
          </cell>
          <cell r="L681" t="str">
            <v>Sr. Manager</v>
          </cell>
          <cell r="M681">
            <v>153.33333333333334</v>
          </cell>
          <cell r="N681">
            <v>100</v>
          </cell>
          <cell r="O681">
            <v>103</v>
          </cell>
          <cell r="P681">
            <v>106.09</v>
          </cell>
          <cell r="Q681">
            <v>109.2727</v>
          </cell>
          <cell r="R681">
            <v>112.550881</v>
          </cell>
          <cell r="S681">
            <v>115.92740743</v>
          </cell>
          <cell r="T681">
            <v>119.4052296529</v>
          </cell>
        </row>
        <row r="682">
          <cell r="K682" t="str">
            <v>IndiaConsultingGTIN ST Industry / Func Skills68NA</v>
          </cell>
          <cell r="L682" t="str">
            <v>Sr. Manager</v>
          </cell>
          <cell r="M682">
            <v>153.33333333333334</v>
          </cell>
          <cell r="N682">
            <v>100</v>
          </cell>
          <cell r="O682">
            <v>103</v>
          </cell>
          <cell r="P682">
            <v>106.09</v>
          </cell>
          <cell r="Q682">
            <v>109.2727</v>
          </cell>
          <cell r="R682">
            <v>112.550881</v>
          </cell>
          <cell r="S682">
            <v>115.92740743</v>
          </cell>
          <cell r="T682">
            <v>119.4052296529</v>
          </cell>
        </row>
        <row r="683">
          <cell r="K683" t="str">
            <v>IndiaConsultingGTIN ST Industry / Func Skills69NA</v>
          </cell>
          <cell r="L683" t="str">
            <v>Sr. Manager</v>
          </cell>
          <cell r="M683">
            <v>153.33333333333334</v>
          </cell>
          <cell r="N683">
            <v>100</v>
          </cell>
          <cell r="O683">
            <v>103</v>
          </cell>
          <cell r="P683">
            <v>106.09</v>
          </cell>
          <cell r="Q683">
            <v>109.2727</v>
          </cell>
          <cell r="R683">
            <v>112.550881</v>
          </cell>
          <cell r="S683">
            <v>115.92740743</v>
          </cell>
          <cell r="T683">
            <v>119.4052296529</v>
          </cell>
        </row>
        <row r="684">
          <cell r="K684" t="str">
            <v>IndiaConsultingGTIN ST Industry / Func Skills70NA</v>
          </cell>
          <cell r="L684" t="str">
            <v>Sr. Manager</v>
          </cell>
          <cell r="M684">
            <v>153.33333333333334</v>
          </cell>
          <cell r="N684">
            <v>100</v>
          </cell>
          <cell r="O684">
            <v>103</v>
          </cell>
          <cell r="P684">
            <v>106.09</v>
          </cell>
          <cell r="Q684">
            <v>109.2727</v>
          </cell>
          <cell r="R684">
            <v>112.550881</v>
          </cell>
          <cell r="S684">
            <v>115.92740743</v>
          </cell>
          <cell r="T684">
            <v>119.4052296529</v>
          </cell>
        </row>
        <row r="685">
          <cell r="K685" t="str">
            <v>IndiaConsultingGTIN ST Strat / Ops Skills34NA</v>
          </cell>
          <cell r="L685" t="str">
            <v>Analyst</v>
          </cell>
          <cell r="M685">
            <v>153.33333333333334</v>
          </cell>
          <cell r="N685">
            <v>100</v>
          </cell>
          <cell r="O685">
            <v>103</v>
          </cell>
          <cell r="P685">
            <v>106.09</v>
          </cell>
          <cell r="Q685">
            <v>109.2727</v>
          </cell>
          <cell r="R685">
            <v>112.550881</v>
          </cell>
          <cell r="S685">
            <v>115.92740743</v>
          </cell>
          <cell r="T685">
            <v>119.4052296529</v>
          </cell>
        </row>
        <row r="686">
          <cell r="K686" t="str">
            <v>IndiaConsultingGTIN ST Strat / Ops Skills35NA</v>
          </cell>
          <cell r="L686" t="str">
            <v>Analyst</v>
          </cell>
          <cell r="M686">
            <v>153.33333333333334</v>
          </cell>
          <cell r="N686">
            <v>100</v>
          </cell>
          <cell r="O686">
            <v>103</v>
          </cell>
          <cell r="P686">
            <v>106.09</v>
          </cell>
          <cell r="Q686">
            <v>109.2727</v>
          </cell>
          <cell r="R686">
            <v>112.550881</v>
          </cell>
          <cell r="S686">
            <v>115.92740743</v>
          </cell>
          <cell r="T686">
            <v>119.4052296529</v>
          </cell>
        </row>
        <row r="687">
          <cell r="K687" t="str">
            <v>IndiaConsultingGTIN ST Strat / Ops Skills55NA</v>
          </cell>
          <cell r="L687" t="str">
            <v>Consultant</v>
          </cell>
          <cell r="M687">
            <v>153.33333333333334</v>
          </cell>
          <cell r="N687">
            <v>100</v>
          </cell>
          <cell r="O687">
            <v>103</v>
          </cell>
          <cell r="P687">
            <v>106.09</v>
          </cell>
          <cell r="Q687">
            <v>109.2727</v>
          </cell>
          <cell r="R687">
            <v>112.550881</v>
          </cell>
          <cell r="S687">
            <v>115.92740743</v>
          </cell>
          <cell r="T687">
            <v>119.4052296529</v>
          </cell>
        </row>
        <row r="688">
          <cell r="K688" t="str">
            <v>IndiaConsultingGTIN ST Strat / Ops Skills56NA</v>
          </cell>
          <cell r="L688" t="str">
            <v>Consultant</v>
          </cell>
          <cell r="M688">
            <v>153.33333333333334</v>
          </cell>
          <cell r="N688">
            <v>100</v>
          </cell>
          <cell r="O688">
            <v>103</v>
          </cell>
          <cell r="P688">
            <v>106.09</v>
          </cell>
          <cell r="Q688">
            <v>109.2727</v>
          </cell>
          <cell r="R688">
            <v>112.550881</v>
          </cell>
          <cell r="S688">
            <v>115.92740743</v>
          </cell>
          <cell r="T688">
            <v>119.4052296529</v>
          </cell>
        </row>
        <row r="689">
          <cell r="K689" t="str">
            <v>IndiaConsultingGTIN ST Strat / Ops Skills57NA</v>
          </cell>
          <cell r="L689" t="str">
            <v>Consultant</v>
          </cell>
          <cell r="M689">
            <v>153.33333333333334</v>
          </cell>
          <cell r="N689">
            <v>100</v>
          </cell>
          <cell r="O689">
            <v>103</v>
          </cell>
          <cell r="P689">
            <v>106.09</v>
          </cell>
          <cell r="Q689">
            <v>109.2727</v>
          </cell>
          <cell r="R689">
            <v>112.550881</v>
          </cell>
          <cell r="S689">
            <v>115.92740743</v>
          </cell>
          <cell r="T689">
            <v>119.4052296529</v>
          </cell>
        </row>
        <row r="690">
          <cell r="K690" t="str">
            <v>IndiaConsultingGTIN ST Strat / Ops Skills63NA</v>
          </cell>
          <cell r="L690" t="str">
            <v>Manager</v>
          </cell>
          <cell r="M690">
            <v>153.33333333333334</v>
          </cell>
          <cell r="N690">
            <v>100</v>
          </cell>
          <cell r="O690">
            <v>103</v>
          </cell>
          <cell r="P690">
            <v>106.09</v>
          </cell>
          <cell r="Q690">
            <v>109.2727</v>
          </cell>
          <cell r="R690">
            <v>112.550881</v>
          </cell>
          <cell r="S690">
            <v>115.92740743</v>
          </cell>
          <cell r="T690">
            <v>119.4052296529</v>
          </cell>
        </row>
        <row r="691">
          <cell r="K691" t="str">
            <v>IndiaConsultingGTIN ST Strat / Ops Skills64NA</v>
          </cell>
          <cell r="L691" t="str">
            <v>Manager</v>
          </cell>
          <cell r="M691">
            <v>153.33333333333334</v>
          </cell>
          <cell r="N691">
            <v>100</v>
          </cell>
          <cell r="O691">
            <v>103</v>
          </cell>
          <cell r="P691">
            <v>106.09</v>
          </cell>
          <cell r="Q691">
            <v>109.2727</v>
          </cell>
          <cell r="R691">
            <v>112.550881</v>
          </cell>
          <cell r="S691">
            <v>115.92740743</v>
          </cell>
          <cell r="T691">
            <v>119.4052296529</v>
          </cell>
        </row>
        <row r="692">
          <cell r="K692" t="str">
            <v>IndiaConsultingGTIN ST Strat / Ops Skills65NA</v>
          </cell>
          <cell r="L692" t="str">
            <v>Manager</v>
          </cell>
          <cell r="M692">
            <v>153.33333333333334</v>
          </cell>
          <cell r="N692">
            <v>100</v>
          </cell>
          <cell r="O692">
            <v>103</v>
          </cell>
          <cell r="P692">
            <v>106.09</v>
          </cell>
          <cell r="Q692">
            <v>109.2727</v>
          </cell>
          <cell r="R692">
            <v>112.550881</v>
          </cell>
          <cell r="S692">
            <v>115.92740743</v>
          </cell>
          <cell r="T692">
            <v>119.4052296529</v>
          </cell>
        </row>
        <row r="693">
          <cell r="K693" t="str">
            <v>IndiaConsultingGTIN ST Strat / Ops Skills66NA</v>
          </cell>
          <cell r="L693" t="str">
            <v>Manager</v>
          </cell>
          <cell r="M693">
            <v>153.33333333333334</v>
          </cell>
          <cell r="N693">
            <v>100</v>
          </cell>
          <cell r="O693">
            <v>103</v>
          </cell>
          <cell r="P693">
            <v>106.09</v>
          </cell>
          <cell r="Q693">
            <v>109.2727</v>
          </cell>
          <cell r="R693">
            <v>112.550881</v>
          </cell>
          <cell r="S693">
            <v>115.92740743</v>
          </cell>
          <cell r="T693">
            <v>119.4052296529</v>
          </cell>
        </row>
        <row r="694">
          <cell r="K694" t="str">
            <v>IndiaConsultingGTIN ST Strat / Ops Skills80NA</v>
          </cell>
          <cell r="L694" t="str">
            <v>Sr. Executive</v>
          </cell>
          <cell r="M694">
            <v>153.33333333333334</v>
          </cell>
          <cell r="N694">
            <v>100</v>
          </cell>
          <cell r="O694">
            <v>103</v>
          </cell>
          <cell r="P694">
            <v>106.09</v>
          </cell>
          <cell r="Q694">
            <v>109.2727</v>
          </cell>
          <cell r="R694">
            <v>112.550881</v>
          </cell>
          <cell r="S694">
            <v>115.92740743</v>
          </cell>
          <cell r="T694">
            <v>119.4052296529</v>
          </cell>
        </row>
        <row r="695">
          <cell r="K695" t="str">
            <v>IndiaConsultingGTIN ST Strat / Ops Skills81NA</v>
          </cell>
          <cell r="L695" t="str">
            <v>Sr. Executive</v>
          </cell>
          <cell r="M695">
            <v>153.33333333333334</v>
          </cell>
          <cell r="N695">
            <v>100</v>
          </cell>
          <cell r="O695">
            <v>103</v>
          </cell>
          <cell r="P695">
            <v>106.09</v>
          </cell>
          <cell r="Q695">
            <v>109.2727</v>
          </cell>
          <cell r="R695">
            <v>112.550881</v>
          </cell>
          <cell r="S695">
            <v>115.92740743</v>
          </cell>
          <cell r="T695">
            <v>119.4052296529</v>
          </cell>
        </row>
        <row r="696">
          <cell r="K696" t="str">
            <v>IndiaConsultingGTIN ST Strat / Ops Skills82NA</v>
          </cell>
          <cell r="L696" t="str">
            <v>Sr. Executive</v>
          </cell>
          <cell r="M696">
            <v>153.33333333333334</v>
          </cell>
          <cell r="N696">
            <v>100</v>
          </cell>
          <cell r="O696">
            <v>103</v>
          </cell>
          <cell r="P696">
            <v>106.09</v>
          </cell>
          <cell r="Q696">
            <v>109.2727</v>
          </cell>
          <cell r="R696">
            <v>112.550881</v>
          </cell>
          <cell r="S696">
            <v>115.92740743</v>
          </cell>
          <cell r="T696">
            <v>119.4052296529</v>
          </cell>
        </row>
        <row r="697">
          <cell r="K697" t="str">
            <v>IndiaConsultingGTIN ST Strat / Ops Skills83NA</v>
          </cell>
          <cell r="L697" t="str">
            <v>Sr. Executive</v>
          </cell>
          <cell r="M697">
            <v>153.33333333333334</v>
          </cell>
          <cell r="N697">
            <v>100</v>
          </cell>
          <cell r="O697">
            <v>103</v>
          </cell>
          <cell r="P697">
            <v>106.09</v>
          </cell>
          <cell r="Q697">
            <v>109.2727</v>
          </cell>
          <cell r="R697">
            <v>112.550881</v>
          </cell>
          <cell r="S697">
            <v>115.92740743</v>
          </cell>
          <cell r="T697">
            <v>119.4052296529</v>
          </cell>
        </row>
        <row r="698">
          <cell r="K698" t="str">
            <v>IndiaConsultingGTIN ST Strat / Ops Skills84NA</v>
          </cell>
          <cell r="L698" t="str">
            <v>Sr. Executive</v>
          </cell>
          <cell r="M698">
            <v>153.33333333333334</v>
          </cell>
          <cell r="N698">
            <v>100</v>
          </cell>
          <cell r="O698">
            <v>103</v>
          </cell>
          <cell r="P698">
            <v>106.09</v>
          </cell>
          <cell r="Q698">
            <v>109.2727</v>
          </cell>
          <cell r="R698">
            <v>112.550881</v>
          </cell>
          <cell r="S698">
            <v>115.92740743</v>
          </cell>
          <cell r="T698">
            <v>119.4052296529</v>
          </cell>
        </row>
        <row r="699">
          <cell r="K699" t="str">
            <v>IndiaConsultingGTIN ST Strat / Ops Skills85NA</v>
          </cell>
          <cell r="L699" t="str">
            <v>Sr. Executive</v>
          </cell>
          <cell r="M699">
            <v>153.33333333333334</v>
          </cell>
          <cell r="N699">
            <v>100</v>
          </cell>
          <cell r="O699">
            <v>103</v>
          </cell>
          <cell r="P699">
            <v>106.09</v>
          </cell>
          <cell r="Q699">
            <v>109.2727</v>
          </cell>
          <cell r="R699">
            <v>112.550881</v>
          </cell>
          <cell r="S699">
            <v>115.92740743</v>
          </cell>
          <cell r="T699">
            <v>119.4052296529</v>
          </cell>
        </row>
        <row r="700">
          <cell r="K700" t="str">
            <v>IndiaConsultingGTIN ST Strat / Ops Skills86NA</v>
          </cell>
          <cell r="L700" t="str">
            <v>Sr. Executive</v>
          </cell>
          <cell r="M700">
            <v>153.33333333333334</v>
          </cell>
          <cell r="N700">
            <v>100</v>
          </cell>
          <cell r="O700">
            <v>103</v>
          </cell>
          <cell r="P700">
            <v>106.09</v>
          </cell>
          <cell r="Q700">
            <v>109.2727</v>
          </cell>
          <cell r="R700">
            <v>112.550881</v>
          </cell>
          <cell r="S700">
            <v>115.92740743</v>
          </cell>
          <cell r="T700">
            <v>119.4052296529</v>
          </cell>
        </row>
        <row r="701">
          <cell r="K701" t="str">
            <v>IndiaConsultingGTIN ST Strat / Ops Skills87NA</v>
          </cell>
          <cell r="L701" t="str">
            <v>Sr. Executive</v>
          </cell>
          <cell r="M701">
            <v>153.33333333333334</v>
          </cell>
          <cell r="N701">
            <v>100</v>
          </cell>
          <cell r="O701">
            <v>103</v>
          </cell>
          <cell r="P701">
            <v>106.09</v>
          </cell>
          <cell r="Q701">
            <v>109.2727</v>
          </cell>
          <cell r="R701">
            <v>112.550881</v>
          </cell>
          <cell r="S701">
            <v>115.92740743</v>
          </cell>
          <cell r="T701">
            <v>119.4052296529</v>
          </cell>
        </row>
        <row r="702">
          <cell r="K702" t="str">
            <v>IndiaConsultingGTIN ST Strat / Ops Skills88NA</v>
          </cell>
          <cell r="L702" t="str">
            <v>Sr. Executive</v>
          </cell>
          <cell r="M702">
            <v>153.33333333333334</v>
          </cell>
          <cell r="N702">
            <v>100</v>
          </cell>
          <cell r="O702">
            <v>103</v>
          </cell>
          <cell r="P702">
            <v>106.09</v>
          </cell>
          <cell r="Q702">
            <v>109.2727</v>
          </cell>
          <cell r="R702">
            <v>112.550881</v>
          </cell>
          <cell r="S702">
            <v>115.92740743</v>
          </cell>
          <cell r="T702">
            <v>119.4052296529</v>
          </cell>
        </row>
        <row r="703">
          <cell r="K703" t="str">
            <v>IndiaConsultingGTIN ST Strat / Ops Skills89NA</v>
          </cell>
          <cell r="L703" t="str">
            <v>Sr. Executive</v>
          </cell>
          <cell r="M703">
            <v>153.33333333333334</v>
          </cell>
          <cell r="N703">
            <v>100</v>
          </cell>
          <cell r="O703">
            <v>103</v>
          </cell>
          <cell r="P703">
            <v>106.09</v>
          </cell>
          <cell r="Q703">
            <v>109.2727</v>
          </cell>
          <cell r="R703">
            <v>112.550881</v>
          </cell>
          <cell r="S703">
            <v>115.92740743</v>
          </cell>
          <cell r="T703">
            <v>119.4052296529</v>
          </cell>
        </row>
        <row r="704">
          <cell r="K704" t="str">
            <v>IndiaConsultingGTIN ST Strat / Ops Skills90NA</v>
          </cell>
          <cell r="L704" t="str">
            <v>Sr. Executive</v>
          </cell>
          <cell r="M704">
            <v>153.33333333333334</v>
          </cell>
          <cell r="N704">
            <v>100</v>
          </cell>
          <cell r="O704">
            <v>103</v>
          </cell>
          <cell r="P704">
            <v>106.09</v>
          </cell>
          <cell r="Q704">
            <v>109.2727</v>
          </cell>
          <cell r="R704">
            <v>112.550881</v>
          </cell>
          <cell r="S704">
            <v>115.92740743</v>
          </cell>
          <cell r="T704">
            <v>119.4052296529</v>
          </cell>
        </row>
        <row r="705">
          <cell r="K705" t="str">
            <v>IndiaConsultingGTIN ST Strat / Ops Skills91NA</v>
          </cell>
          <cell r="L705" t="str">
            <v>Sr. Executive</v>
          </cell>
          <cell r="M705">
            <v>153.33333333333334</v>
          </cell>
          <cell r="N705">
            <v>100</v>
          </cell>
          <cell r="O705">
            <v>103</v>
          </cell>
          <cell r="P705">
            <v>106.09</v>
          </cell>
          <cell r="Q705">
            <v>109.2727</v>
          </cell>
          <cell r="R705">
            <v>112.550881</v>
          </cell>
          <cell r="S705">
            <v>115.92740743</v>
          </cell>
          <cell r="T705">
            <v>119.4052296529</v>
          </cell>
        </row>
        <row r="706">
          <cell r="K706" t="str">
            <v>IndiaConsultingGTIN ST Strat / Ops Skills92NA</v>
          </cell>
          <cell r="L706" t="str">
            <v>Sr. Executive</v>
          </cell>
          <cell r="M706">
            <v>153.33333333333334</v>
          </cell>
          <cell r="N706">
            <v>100</v>
          </cell>
          <cell r="O706">
            <v>103</v>
          </cell>
          <cell r="P706">
            <v>106.09</v>
          </cell>
          <cell r="Q706">
            <v>109.2727</v>
          </cell>
          <cell r="R706">
            <v>112.550881</v>
          </cell>
          <cell r="S706">
            <v>115.92740743</v>
          </cell>
          <cell r="T706">
            <v>119.4052296529</v>
          </cell>
        </row>
        <row r="707">
          <cell r="K707" t="str">
            <v>IndiaConsultingGTIN ST Strat / Ops Skills93NA</v>
          </cell>
          <cell r="L707" t="str">
            <v>Sr. Executive</v>
          </cell>
          <cell r="M707">
            <v>153.33333333333334</v>
          </cell>
          <cell r="N707">
            <v>100</v>
          </cell>
          <cell r="O707">
            <v>103</v>
          </cell>
          <cell r="P707">
            <v>106.09</v>
          </cell>
          <cell r="Q707">
            <v>109.2727</v>
          </cell>
          <cell r="R707">
            <v>112.550881</v>
          </cell>
          <cell r="S707">
            <v>115.92740743</v>
          </cell>
          <cell r="T707">
            <v>119.4052296529</v>
          </cell>
        </row>
        <row r="708">
          <cell r="K708" t="str">
            <v>IndiaConsultingGTIN ST Strat / Ops Skills94NA</v>
          </cell>
          <cell r="L708" t="str">
            <v>Sr. Executive</v>
          </cell>
          <cell r="M708">
            <v>153.33333333333334</v>
          </cell>
          <cell r="N708">
            <v>100</v>
          </cell>
          <cell r="O708">
            <v>103</v>
          </cell>
          <cell r="P708">
            <v>106.09</v>
          </cell>
          <cell r="Q708">
            <v>109.2727</v>
          </cell>
          <cell r="R708">
            <v>112.550881</v>
          </cell>
          <cell r="S708">
            <v>115.92740743</v>
          </cell>
          <cell r="T708">
            <v>119.4052296529</v>
          </cell>
        </row>
        <row r="709">
          <cell r="K709" t="str">
            <v>IndiaConsultingGTIN ST Strat / Ops Skills95NA</v>
          </cell>
          <cell r="L709" t="str">
            <v>Sr. Executive</v>
          </cell>
          <cell r="M709">
            <v>153.33333333333334</v>
          </cell>
          <cell r="N709">
            <v>100</v>
          </cell>
          <cell r="O709">
            <v>103</v>
          </cell>
          <cell r="P709">
            <v>106.09</v>
          </cell>
          <cell r="Q709">
            <v>109.2727</v>
          </cell>
          <cell r="R709">
            <v>112.550881</v>
          </cell>
          <cell r="S709">
            <v>115.92740743</v>
          </cell>
          <cell r="T709">
            <v>119.4052296529</v>
          </cell>
        </row>
        <row r="710">
          <cell r="K710" t="str">
            <v>IndiaConsultingGTIN ST Strat / Ops Skills96NA</v>
          </cell>
          <cell r="L710" t="str">
            <v>Sr. Executive</v>
          </cell>
          <cell r="M710">
            <v>153.33333333333334</v>
          </cell>
          <cell r="N710">
            <v>100</v>
          </cell>
          <cell r="O710">
            <v>103</v>
          </cell>
          <cell r="P710">
            <v>106.09</v>
          </cell>
          <cell r="Q710">
            <v>109.2727</v>
          </cell>
          <cell r="R710">
            <v>112.550881</v>
          </cell>
          <cell r="S710">
            <v>115.92740743</v>
          </cell>
          <cell r="T710">
            <v>119.4052296529</v>
          </cell>
        </row>
        <row r="711">
          <cell r="K711" t="str">
            <v>IndiaConsultingGTIN ST Strat / Ops Skills71NA</v>
          </cell>
          <cell r="L711" t="str">
            <v>Sr. Manager</v>
          </cell>
          <cell r="M711">
            <v>153.33333333333334</v>
          </cell>
          <cell r="N711">
            <v>100</v>
          </cell>
          <cell r="O711">
            <v>103</v>
          </cell>
          <cell r="P711">
            <v>106.09</v>
          </cell>
          <cell r="Q711">
            <v>109.2727</v>
          </cell>
          <cell r="R711">
            <v>112.550881</v>
          </cell>
          <cell r="S711">
            <v>115.92740743</v>
          </cell>
          <cell r="T711">
            <v>119.4052296529</v>
          </cell>
        </row>
        <row r="712">
          <cell r="K712" t="str">
            <v>IndiaConsultingGTIN ST Strat / Ops Skills72NA</v>
          </cell>
          <cell r="L712" t="str">
            <v>Sr. Manager</v>
          </cell>
          <cell r="M712">
            <v>153.33333333333334</v>
          </cell>
          <cell r="N712">
            <v>100</v>
          </cell>
          <cell r="O712">
            <v>103</v>
          </cell>
          <cell r="P712">
            <v>106.09</v>
          </cell>
          <cell r="Q712">
            <v>109.2727</v>
          </cell>
          <cell r="R712">
            <v>112.550881</v>
          </cell>
          <cell r="S712">
            <v>115.92740743</v>
          </cell>
          <cell r="T712">
            <v>119.4052296529</v>
          </cell>
        </row>
      </sheetData>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Estimates"/>
      <sheetName val="Staffing Detail"/>
      <sheetName val="Financial Model"/>
      <sheetName val="CTA Link"/>
      <sheetName val="Lookups"/>
      <sheetName val="RateCard"/>
      <sheetName val="Payment Schedule"/>
      <sheetName val="Metrics"/>
      <sheetName val="WorkStream Effort"/>
      <sheetName val="Slides"/>
      <sheetName val="Slides-2"/>
    </sheetNames>
    <sheetDataSet>
      <sheetData sheetId="0" refreshError="1"/>
      <sheetData sheetId="1" refreshError="1"/>
      <sheetData sheetId="2" refreshError="1"/>
      <sheetData sheetId="3" refreshError="1"/>
      <sheetData sheetId="4" refreshError="1">
        <row r="2">
          <cell r="A2" t="str">
            <v>USA</v>
          </cell>
          <cell r="B2" t="str">
            <v>SourceList</v>
          </cell>
          <cell r="C2" t="str">
            <v>USA</v>
          </cell>
          <cell r="D2" t="str">
            <v>ACN Onshore</v>
          </cell>
          <cell r="M2">
            <v>30</v>
          </cell>
          <cell r="AA2" t="str">
            <v xml:space="preserve">Management </v>
          </cell>
        </row>
        <row r="3">
          <cell r="A3" t="str">
            <v>INDIA</v>
          </cell>
          <cell r="B3" t="str">
            <v>ForeignSourceList</v>
          </cell>
          <cell r="C3" t="str">
            <v>INDIA</v>
          </cell>
          <cell r="D3" t="str">
            <v>Subcontractor Onshore</v>
          </cell>
          <cell r="M3">
            <v>31</v>
          </cell>
          <cell r="AA3" t="str">
            <v xml:space="preserve">Architect Staff </v>
          </cell>
        </row>
        <row r="4">
          <cell r="A4" t="str">
            <v>Philippines</v>
          </cell>
          <cell r="B4" t="str">
            <v>ForeignSourceList</v>
          </cell>
          <cell r="C4" t="str">
            <v>Philippines</v>
          </cell>
          <cell r="D4" t="str">
            <v>Client</v>
          </cell>
          <cell r="M4">
            <v>32</v>
          </cell>
          <cell r="AA4" t="str">
            <v xml:space="preserve">Project Management Staff </v>
          </cell>
        </row>
        <row r="5">
          <cell r="A5" t="str">
            <v>ACN Onshore</v>
          </cell>
          <cell r="B5" t="str">
            <v>ACNWorkforceList</v>
          </cell>
          <cell r="M5">
            <v>33</v>
          </cell>
          <cell r="AA5" t="str">
            <v xml:space="preserve">Quality Assurance Staff </v>
          </cell>
        </row>
        <row r="6">
          <cell r="A6" t="str">
            <v>Client</v>
          </cell>
          <cell r="B6" t="str">
            <v>ClientWorkforceList</v>
          </cell>
          <cell r="M6">
            <v>34</v>
          </cell>
          <cell r="AA6" t="str">
            <v xml:space="preserve">Database Administrator(s) </v>
          </cell>
        </row>
        <row r="7">
          <cell r="A7" t="str">
            <v>Subcontractor Onshore</v>
          </cell>
          <cell r="B7" t="str">
            <v>SubkWorkforceList</v>
          </cell>
          <cell r="M7">
            <v>50</v>
          </cell>
          <cell r="AA7" t="str">
            <v xml:space="preserve">Senior System Analyst(s) </v>
          </cell>
        </row>
        <row r="8">
          <cell r="A8" t="str">
            <v>ACN OnshoreConsulting</v>
          </cell>
          <cell r="B8" t="str">
            <v>ACNConsultingRateTypeList</v>
          </cell>
          <cell r="M8">
            <v>51</v>
          </cell>
          <cell r="AA8" t="str">
            <v xml:space="preserve">Programmer/Analyst(s) </v>
          </cell>
        </row>
        <row r="9">
          <cell r="A9" t="str">
            <v>ACN OnshoreEnterprise</v>
          </cell>
          <cell r="B9" t="str">
            <v>ACNEnterpriseRateTypeList</v>
          </cell>
          <cell r="M9">
            <v>52</v>
          </cell>
          <cell r="AA9" t="str">
            <v xml:space="preserve">Training Staff </v>
          </cell>
        </row>
        <row r="10">
          <cell r="A10" t="str">
            <v>ACN OnshoreSolutions</v>
          </cell>
          <cell r="B10" t="str">
            <v>ACNSolutionsRateTypeList</v>
          </cell>
          <cell r="M10">
            <v>53</v>
          </cell>
          <cell r="AA10" t="str">
            <v xml:space="preserve">Technical Writer(s) </v>
          </cell>
        </row>
        <row r="11">
          <cell r="A11" t="str">
            <v>ACN OnshoreServices</v>
          </cell>
          <cell r="B11" t="str">
            <v>ACNServicesRateTypeList</v>
          </cell>
          <cell r="M11">
            <v>54</v>
          </cell>
          <cell r="AA11" t="str">
            <v xml:space="preserve">Help Desk/Call Center Support Analyst(s) </v>
          </cell>
        </row>
        <row r="12">
          <cell r="A12" t="str">
            <v>ClientClient</v>
          </cell>
          <cell r="B12" t="str">
            <v>NAList</v>
          </cell>
          <cell r="M12">
            <v>55</v>
          </cell>
          <cell r="AA12" t="str">
            <v xml:space="preserve">Clerical </v>
          </cell>
        </row>
        <row r="13">
          <cell r="A13" t="str">
            <v>Subcontractor OnshoreSubcontractors</v>
          </cell>
          <cell r="B13" t="str">
            <v>SubkWorkforceRateTypeList</v>
          </cell>
          <cell r="M13">
            <v>60</v>
          </cell>
          <cell r="AA13" t="str">
            <v xml:space="preserve">System Engineers </v>
          </cell>
        </row>
        <row r="14">
          <cell r="A14" t="str">
            <v>Subcontractor OnshoreSubcontractorsNA</v>
          </cell>
          <cell r="B14" t="str">
            <v>NAList</v>
          </cell>
          <cell r="M14">
            <v>61</v>
          </cell>
          <cell r="AA14" t="str">
            <v xml:space="preserve">System Operations Administrator(s) </v>
          </cell>
        </row>
        <row r="15">
          <cell r="A15" t="str">
            <v>Subcontractor OnshoreSubcontractor 3</v>
          </cell>
          <cell r="B15" t="str">
            <v>NAList</v>
          </cell>
          <cell r="M15">
            <v>62</v>
          </cell>
          <cell r="AA15" t="str">
            <v xml:space="preserve">Subject Matter Experts </v>
          </cell>
        </row>
        <row r="16">
          <cell r="A16" t="str">
            <v>Subcontractor OnshoreSubcontractor 4</v>
          </cell>
          <cell r="B16" t="str">
            <v>NAList</v>
          </cell>
          <cell r="M16">
            <v>63</v>
          </cell>
          <cell r="AA16" t="str">
            <v xml:space="preserve">Business Analysts </v>
          </cell>
        </row>
        <row r="17">
          <cell r="A17" t="str">
            <v>Subcontractor OnshoreSubcontractor 5</v>
          </cell>
          <cell r="B17" t="str">
            <v>NAList</v>
          </cell>
          <cell r="M17">
            <v>64</v>
          </cell>
          <cell r="AA17" t="str">
            <v xml:space="preserve">Reporting Analysts </v>
          </cell>
        </row>
        <row r="18">
          <cell r="A18" t="str">
            <v>ConsultingSI</v>
          </cell>
          <cell r="B18" t="str">
            <v>ConsultingBillCodes</v>
          </cell>
          <cell r="M18">
            <v>65</v>
          </cell>
        </row>
        <row r="19">
          <cell r="A19" t="str">
            <v>ConsultingMgt</v>
          </cell>
          <cell r="B19" t="str">
            <v>ConsultingBillCodes</v>
          </cell>
          <cell r="M19">
            <v>66</v>
          </cell>
        </row>
        <row r="20">
          <cell r="A20" t="str">
            <v>ConsultingTech</v>
          </cell>
          <cell r="B20" t="str">
            <v>ConsultingBillCodes</v>
          </cell>
          <cell r="M20">
            <v>67</v>
          </cell>
        </row>
        <row r="21">
          <cell r="A21" t="str">
            <v>EnterpriseNA</v>
          </cell>
          <cell r="B21" t="str">
            <v>EnterpriseBillCodes</v>
          </cell>
          <cell r="M21">
            <v>68</v>
          </cell>
        </row>
        <row r="22">
          <cell r="A22" t="str">
            <v>ServicesDelivery Center</v>
          </cell>
          <cell r="B22" t="str">
            <v>ServicesDeliveryCenterBillCodes</v>
          </cell>
          <cell r="M22">
            <v>69</v>
          </cell>
        </row>
        <row r="23">
          <cell r="A23" t="str">
            <v>ServicesStandard</v>
          </cell>
          <cell r="B23" t="str">
            <v>ServicesStandardBillCodes</v>
          </cell>
          <cell r="M23">
            <v>70</v>
          </cell>
        </row>
        <row r="24">
          <cell r="A24" t="str">
            <v>SolutionsDelivery Center/Local</v>
          </cell>
          <cell r="B24" t="str">
            <v>SolutionsBillCodes</v>
          </cell>
          <cell r="M24">
            <v>71</v>
          </cell>
        </row>
        <row r="25">
          <cell r="A25" t="str">
            <v>SolutionsIndia GCP to US</v>
          </cell>
          <cell r="B25" t="str">
            <v>GCPBillCodes</v>
          </cell>
          <cell r="M25">
            <v>72</v>
          </cell>
        </row>
        <row r="26">
          <cell r="A26" t="str">
            <v>SolutionsManila GCP to US</v>
          </cell>
          <cell r="B26" t="str">
            <v>GCPBillCodes</v>
          </cell>
          <cell r="M26">
            <v>80</v>
          </cell>
        </row>
        <row r="27">
          <cell r="A27" t="str">
            <v>ClientNA</v>
          </cell>
          <cell r="B27" t="str">
            <v>NAList</v>
          </cell>
          <cell r="M27">
            <v>81</v>
          </cell>
        </row>
        <row r="28">
          <cell r="A28" t="str">
            <v>SubcontractorsNA</v>
          </cell>
          <cell r="B28" t="str">
            <v>Subcontractor1BillCodes</v>
          </cell>
          <cell r="M28">
            <v>82</v>
          </cell>
        </row>
        <row r="29">
          <cell r="A29" t="str">
            <v>Subcontractor 2NA</v>
          </cell>
          <cell r="B29" t="str">
            <v>Subcontractor2BillCodes</v>
          </cell>
          <cell r="M29">
            <v>83</v>
          </cell>
        </row>
        <row r="30">
          <cell r="A30" t="str">
            <v>Subcontractor 3NA</v>
          </cell>
          <cell r="B30" t="str">
            <v>Subcontractor3BillCodes</v>
          </cell>
          <cell r="M30">
            <v>84</v>
          </cell>
        </row>
        <row r="31">
          <cell r="A31" t="str">
            <v>Subcontractor 4NA</v>
          </cell>
          <cell r="B31" t="str">
            <v>Subcontractor4BillCodes</v>
          </cell>
          <cell r="M31">
            <v>85</v>
          </cell>
        </row>
        <row r="32">
          <cell r="A32" t="str">
            <v>Subcontractor 5NA</v>
          </cell>
          <cell r="B32" t="str">
            <v>Subcontractor5BillCodes</v>
          </cell>
          <cell r="M32">
            <v>86</v>
          </cell>
        </row>
        <row r="33">
          <cell r="A33" t="str">
            <v>ACN OnshoreConsultingSI</v>
          </cell>
          <cell r="B33" t="str">
            <v>NAList</v>
          </cell>
          <cell r="M33">
            <v>87</v>
          </cell>
        </row>
        <row r="34">
          <cell r="A34" t="str">
            <v>ACN OnshoreConsultingMgt</v>
          </cell>
          <cell r="B34" t="str">
            <v>NAList</v>
          </cell>
          <cell r="M34">
            <v>88</v>
          </cell>
        </row>
        <row r="35">
          <cell r="A35" t="str">
            <v>ACN OnshoreConsultingTech</v>
          </cell>
          <cell r="B35" t="str">
            <v>NAList</v>
          </cell>
          <cell r="M35">
            <v>89</v>
          </cell>
        </row>
        <row r="36">
          <cell r="A36" t="str">
            <v>ACN OnshoreEnterpriseNA</v>
          </cell>
          <cell r="B36" t="str">
            <v>NAList</v>
          </cell>
          <cell r="M36">
            <v>90</v>
          </cell>
        </row>
        <row r="37">
          <cell r="A37" t="str">
            <v>ACN OnshoreServicesDelivery Center</v>
          </cell>
          <cell r="B37" t="str">
            <v>SolutionsLoadTypes</v>
          </cell>
          <cell r="M37">
            <v>91</v>
          </cell>
        </row>
        <row r="38">
          <cell r="A38" t="str">
            <v>ACN OnshoreServicesStandard</v>
          </cell>
          <cell r="B38" t="str">
            <v>ServicesLoadTypes</v>
          </cell>
          <cell r="M38">
            <v>92</v>
          </cell>
        </row>
        <row r="39">
          <cell r="A39" t="str">
            <v>ACN OnshoreSolutionsDelivery Center/Local</v>
          </cell>
          <cell r="B39" t="str">
            <v>SolutionsLoadTypes</v>
          </cell>
          <cell r="M39">
            <v>93</v>
          </cell>
        </row>
        <row r="40">
          <cell r="A40" t="str">
            <v>ACN OnshoreSolutionsIndia GCP to US</v>
          </cell>
          <cell r="B40" t="str">
            <v>NAList</v>
          </cell>
          <cell r="M40">
            <v>94</v>
          </cell>
        </row>
        <row r="41">
          <cell r="A41" t="str">
            <v>ACN OnshoreSolutionsManila GCP to US</v>
          </cell>
          <cell r="B41" t="str">
            <v>NAList</v>
          </cell>
          <cell r="M41">
            <v>95</v>
          </cell>
        </row>
        <row r="42">
          <cell r="A42" t="str">
            <v>ClientClientNA</v>
          </cell>
          <cell r="B42" t="str">
            <v>NAList</v>
          </cell>
          <cell r="M42">
            <v>96</v>
          </cell>
        </row>
        <row r="43">
          <cell r="A43" t="str">
            <v>Subcontractor OnshoreSubcontractor 1NA</v>
          </cell>
          <cell r="B43" t="str">
            <v>NAList</v>
          </cell>
          <cell r="M43">
            <v>97</v>
          </cell>
        </row>
        <row r="44">
          <cell r="A44" t="str">
            <v>Subcontractor OnshoreSubcontractor 2NA</v>
          </cell>
          <cell r="B44" t="str">
            <v>NAList</v>
          </cell>
          <cell r="M44">
            <v>98</v>
          </cell>
        </row>
        <row r="45">
          <cell r="A45" t="str">
            <v>Subcontractor OnshoreSubcontractor 3NA</v>
          </cell>
          <cell r="B45" t="str">
            <v>NAList</v>
          </cell>
        </row>
        <row r="46">
          <cell r="A46" t="str">
            <v>Subcontractor OnshoreSubcontractor 4NA</v>
          </cell>
          <cell r="B46" t="str">
            <v>NAList</v>
          </cell>
        </row>
        <row r="47">
          <cell r="A47" t="str">
            <v>Subcontractor OnshoreSubcontractor 5NA</v>
          </cell>
          <cell r="B47" t="str">
            <v>NAList</v>
          </cell>
        </row>
        <row r="54">
          <cell r="M54">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sheetData>
      <sheetData sheetId="5" refreshError="1">
        <row r="21">
          <cell r="K21" t="str">
            <v>USAConsultingMgt30NA</v>
          </cell>
          <cell r="L21" t="str">
            <v>Analyst</v>
          </cell>
          <cell r="M21">
            <v>150.66666666666666</v>
          </cell>
          <cell r="N21">
            <v>59.49395501239443</v>
          </cell>
          <cell r="O21">
            <v>61.71506246787731</v>
          </cell>
          <cell r="P21">
            <v>64.183664966592403</v>
          </cell>
          <cell r="Q21">
            <v>67.392848214922026</v>
          </cell>
          <cell r="R21">
            <v>70.762490625668136</v>
          </cell>
          <cell r="S21">
            <v>74.300615156951551</v>
          </cell>
          <cell r="T21">
            <v>78.015645914799137</v>
          </cell>
        </row>
        <row r="22">
          <cell r="K22" t="str">
            <v>USAConsultingMgt31NA</v>
          </cell>
          <cell r="L22" t="str">
            <v>Analyst</v>
          </cell>
          <cell r="M22">
            <v>150.66666666666666</v>
          </cell>
          <cell r="N22">
            <v>68.356862757430363</v>
          </cell>
          <cell r="O22">
            <v>70.908852072518229</v>
          </cell>
          <cell r="P22">
            <v>73.745206155418956</v>
          </cell>
          <cell r="Q22">
            <v>77.432466463189911</v>
          </cell>
          <cell r="R22">
            <v>81.304089786349408</v>
          </cell>
          <cell r="S22">
            <v>85.369294275666888</v>
          </cell>
          <cell r="T22">
            <v>89.637758989450234</v>
          </cell>
        </row>
        <row r="23">
          <cell r="K23" t="str">
            <v>USAConsultingMgt32NA</v>
          </cell>
          <cell r="L23" t="str">
            <v>Analyst</v>
          </cell>
          <cell r="M23">
            <v>150.66666666666666</v>
          </cell>
          <cell r="N23">
            <v>75.551782672537598</v>
          </cell>
          <cell r="O23">
            <v>78.372382307139731</v>
          </cell>
          <cell r="P23">
            <v>81.507277599425322</v>
          </cell>
          <cell r="Q23">
            <v>85.582641479396585</v>
          </cell>
          <cell r="R23">
            <v>89.861773553366419</v>
          </cell>
          <cell r="S23">
            <v>94.354862231034744</v>
          </cell>
          <cell r="T23">
            <v>99.072605342586485</v>
          </cell>
        </row>
        <row r="24">
          <cell r="K24" t="str">
            <v>USAConsultingMgt33NA</v>
          </cell>
          <cell r="L24" t="str">
            <v>Analyst</v>
          </cell>
          <cell r="M24">
            <v>150.66666666666666</v>
          </cell>
          <cell r="N24">
            <v>85.632091729539624</v>
          </cell>
          <cell r="O24">
            <v>88.829022868668801</v>
          </cell>
          <cell r="P24">
            <v>92.382183783415556</v>
          </cell>
          <cell r="Q24">
            <v>97.001292972586342</v>
          </cell>
          <cell r="R24">
            <v>101.85135762121567</v>
          </cell>
          <cell r="S24">
            <v>106.94392550227646</v>
          </cell>
          <cell r="T24">
            <v>112.29112177739029</v>
          </cell>
        </row>
        <row r="25">
          <cell r="K25" t="str">
            <v>USAConsultingMgt34NA</v>
          </cell>
          <cell r="L25" t="str">
            <v>Analyst</v>
          </cell>
          <cell r="M25">
            <v>150.66666666666666</v>
          </cell>
          <cell r="N25">
            <v>97.391207032935228</v>
          </cell>
          <cell r="O25">
            <v>101.02714510419412</v>
          </cell>
          <cell r="P25">
            <v>105.06823090836188</v>
          </cell>
          <cell r="Q25">
            <v>110.32164245377999</v>
          </cell>
          <cell r="R25">
            <v>115.83772457646899</v>
          </cell>
          <cell r="S25">
            <v>121.62961080529244</v>
          </cell>
          <cell r="T25">
            <v>127.71109134555707</v>
          </cell>
        </row>
        <row r="26">
          <cell r="K26" t="str">
            <v>USAConsultingMgt50NA</v>
          </cell>
          <cell r="L26" t="str">
            <v>Consultant</v>
          </cell>
          <cell r="M26">
            <v>150.66666666666666</v>
          </cell>
          <cell r="N26">
            <v>74.905600371998275</v>
          </cell>
          <cell r="O26">
            <v>77.702075869534212</v>
          </cell>
          <cell r="P26">
            <v>80.810158904315585</v>
          </cell>
          <cell r="Q26">
            <v>84.850666849531365</v>
          </cell>
          <cell r="R26">
            <v>89.093200192007941</v>
          </cell>
          <cell r="S26">
            <v>93.547860201608344</v>
          </cell>
          <cell r="T26">
            <v>98.225253211688766</v>
          </cell>
        </row>
        <row r="27">
          <cell r="K27" t="str">
            <v>USAConsultingMgt51NA</v>
          </cell>
          <cell r="L27" t="str">
            <v>Consultant</v>
          </cell>
          <cell r="M27">
            <v>150.66666666666666</v>
          </cell>
          <cell r="N27">
            <v>83.570081230744634</v>
          </cell>
          <cell r="O27">
            <v>86.690030651458841</v>
          </cell>
          <cell r="P27">
            <v>90.157631877517204</v>
          </cell>
          <cell r="Q27">
            <v>94.665513471393069</v>
          </cell>
          <cell r="R27">
            <v>99.39878914496272</v>
          </cell>
          <cell r="S27">
            <v>104.36872860221087</v>
          </cell>
          <cell r="T27">
            <v>109.58716503232141</v>
          </cell>
        </row>
        <row r="28">
          <cell r="K28" t="str">
            <v>USAConsultingMgt52NA</v>
          </cell>
          <cell r="L28" t="str">
            <v>Consultant</v>
          </cell>
          <cell r="M28">
            <v>150.66666666666666</v>
          </cell>
          <cell r="N28">
            <v>92.969041666807499</v>
          </cell>
          <cell r="O28">
            <v>96.439885579138178</v>
          </cell>
          <cell r="P28">
            <v>100.29748100230371</v>
          </cell>
          <cell r="Q28">
            <v>105.31235505241891</v>
          </cell>
          <cell r="R28">
            <v>110.57797280503986</v>
          </cell>
          <cell r="S28">
            <v>116.10687144529186</v>
          </cell>
          <cell r="T28">
            <v>121.91221501755646</v>
          </cell>
        </row>
        <row r="29">
          <cell r="K29" t="str">
            <v>USAConsultingMgt53NA</v>
          </cell>
          <cell r="L29" t="str">
            <v>Consultant</v>
          </cell>
          <cell r="M29">
            <v>150.66666666666666</v>
          </cell>
          <cell r="N29">
            <v>102.73943131330014</v>
          </cell>
          <cell r="O29">
            <v>106.57503640653192</v>
          </cell>
          <cell r="P29">
            <v>110.8380378627932</v>
          </cell>
          <cell r="Q29">
            <v>116.37993975593287</v>
          </cell>
          <cell r="R29">
            <v>122.19893674372952</v>
          </cell>
          <cell r="S29">
            <v>128.30888358091599</v>
          </cell>
          <cell r="T29">
            <v>134.7243277599618</v>
          </cell>
        </row>
        <row r="30">
          <cell r="K30" t="str">
            <v>USAConsultingMgt54NA</v>
          </cell>
          <cell r="L30" t="str">
            <v>Consultant</v>
          </cell>
          <cell r="M30">
            <v>150.66666666666666</v>
          </cell>
          <cell r="N30">
            <v>112.81778772749912</v>
          </cell>
          <cell r="O30">
            <v>117.0296514265998</v>
          </cell>
          <cell r="P30">
            <v>121.71083748366379</v>
          </cell>
          <cell r="Q30">
            <v>127.79637935784699</v>
          </cell>
          <cell r="R30">
            <v>134.18619832573935</v>
          </cell>
          <cell r="S30">
            <v>140.89550824202632</v>
          </cell>
          <cell r="T30">
            <v>147.94028365412765</v>
          </cell>
        </row>
        <row r="31">
          <cell r="K31" t="str">
            <v>USAConsultingMgt55NA</v>
          </cell>
          <cell r="L31" t="str">
            <v>Consultant</v>
          </cell>
          <cell r="M31">
            <v>150.66666666666666</v>
          </cell>
          <cell r="N31">
            <v>130.38239585754678</v>
          </cell>
          <cell r="O31">
            <v>135.25000486828722</v>
          </cell>
          <cell r="P31">
            <v>140.6600050630187</v>
          </cell>
          <cell r="Q31">
            <v>147.69300531616963</v>
          </cell>
          <cell r="R31">
            <v>155.07765558197812</v>
          </cell>
          <cell r="S31">
            <v>162.83153836107704</v>
          </cell>
          <cell r="T31">
            <v>170.97311527913089</v>
          </cell>
        </row>
        <row r="32">
          <cell r="K32" t="str">
            <v>USAConsultingMgt60NA</v>
          </cell>
          <cell r="L32" t="str">
            <v>Manager</v>
          </cell>
          <cell r="M32">
            <v>149.33333333333334</v>
          </cell>
          <cell r="N32">
            <v>106.25105158290732</v>
          </cell>
          <cell r="O32">
            <v>110.21775715449903</v>
          </cell>
          <cell r="P32">
            <v>114.62646744067899</v>
          </cell>
          <cell r="Q32">
            <v>120.35779081271295</v>
          </cell>
          <cell r="R32">
            <v>126.3756803533486</v>
          </cell>
          <cell r="S32">
            <v>132.69446437101604</v>
          </cell>
          <cell r="T32">
            <v>139.32918758956686</v>
          </cell>
        </row>
        <row r="33">
          <cell r="K33" t="str">
            <v>USAConsultingMgt61NA</v>
          </cell>
          <cell r="L33" t="str">
            <v>Manager</v>
          </cell>
          <cell r="M33">
            <v>149.33333333333334</v>
          </cell>
          <cell r="N33">
            <v>124.90378082623951</v>
          </cell>
          <cell r="O33">
            <v>129.5668548940732</v>
          </cell>
          <cell r="P33">
            <v>134.74952908983613</v>
          </cell>
          <cell r="Q33">
            <v>141.48700554432796</v>
          </cell>
          <cell r="R33">
            <v>148.56135582154437</v>
          </cell>
          <cell r="S33">
            <v>155.98942361262158</v>
          </cell>
          <cell r="T33">
            <v>163.78889479325267</v>
          </cell>
        </row>
        <row r="34">
          <cell r="K34" t="str">
            <v>USAConsultingMgt62NA</v>
          </cell>
          <cell r="L34" t="str">
            <v>Manager</v>
          </cell>
          <cell r="M34">
            <v>149.33333333333334</v>
          </cell>
          <cell r="N34">
            <v>142.14508952770441</v>
          </cell>
          <cell r="O34">
            <v>147.45183906292175</v>
          </cell>
          <cell r="P34">
            <v>153.34991262543863</v>
          </cell>
          <cell r="Q34">
            <v>161.01740825671058</v>
          </cell>
          <cell r="R34">
            <v>169.06827866954612</v>
          </cell>
          <cell r="S34">
            <v>177.52169260302344</v>
          </cell>
          <cell r="T34">
            <v>186.39777723317462</v>
          </cell>
        </row>
        <row r="35">
          <cell r="K35" t="str">
            <v>USAConsultingMgt63NA</v>
          </cell>
          <cell r="L35" t="str">
            <v>Manager</v>
          </cell>
          <cell r="M35">
            <v>149.33333333333334</v>
          </cell>
          <cell r="N35">
            <v>156.48973660752441</v>
          </cell>
          <cell r="O35">
            <v>162.33201958590621</v>
          </cell>
          <cell r="P35">
            <v>168.82530036934247</v>
          </cell>
          <cell r="Q35">
            <v>177.26656538780961</v>
          </cell>
          <cell r="R35">
            <v>186.12989365720009</v>
          </cell>
          <cell r="S35">
            <v>195.43638834006009</v>
          </cell>
          <cell r="T35">
            <v>205.20820775706309</v>
          </cell>
        </row>
        <row r="36">
          <cell r="K36" t="str">
            <v>USAConsultingMgt64NA</v>
          </cell>
          <cell r="L36" t="str">
            <v>Manager</v>
          </cell>
          <cell r="M36">
            <v>149.33333333333334</v>
          </cell>
          <cell r="N36">
            <v>164.54451151333888</v>
          </cell>
          <cell r="O36">
            <v>170.68750606135515</v>
          </cell>
          <cell r="P36">
            <v>177.51500630380937</v>
          </cell>
          <cell r="Q36">
            <v>186.39075661899986</v>
          </cell>
          <cell r="R36">
            <v>195.71029444994986</v>
          </cell>
          <cell r="S36">
            <v>205.49580917244737</v>
          </cell>
          <cell r="T36">
            <v>215.77059963106976</v>
          </cell>
        </row>
        <row r="37">
          <cell r="K37" t="str">
            <v>USAConsultingMgt65NA</v>
          </cell>
          <cell r="L37" t="str">
            <v>Manager</v>
          </cell>
          <cell r="M37">
            <v>149.33333333333334</v>
          </cell>
          <cell r="N37">
            <v>175.7228198527757</v>
          </cell>
          <cell r="O37">
            <v>182.28313787486994</v>
          </cell>
          <cell r="P37">
            <v>189.57446338986475</v>
          </cell>
          <cell r="Q37">
            <v>199.05318655935798</v>
          </cell>
          <cell r="R37">
            <v>209.0058458873259</v>
          </cell>
          <cell r="S37">
            <v>219.45613818169221</v>
          </cell>
          <cell r="T37">
            <v>230.42894509077684</v>
          </cell>
        </row>
        <row r="38">
          <cell r="K38" t="str">
            <v>USAConsultingMgt66NA</v>
          </cell>
          <cell r="L38" t="str">
            <v>Manager</v>
          </cell>
          <cell r="M38">
            <v>149.33333333333334</v>
          </cell>
          <cell r="N38">
            <v>191.00286542569285</v>
          </cell>
          <cell r="O38">
            <v>198.13363843157583</v>
          </cell>
          <cell r="P38">
            <v>206.05898396883887</v>
          </cell>
          <cell r="Q38">
            <v>216.36193316728082</v>
          </cell>
          <cell r="R38">
            <v>227.18002982564488</v>
          </cell>
          <cell r="S38">
            <v>238.53903131692712</v>
          </cell>
          <cell r="T38">
            <v>250.46598288277349</v>
          </cell>
        </row>
        <row r="39">
          <cell r="K39" t="str">
            <v>USAConsultingMgt80NA</v>
          </cell>
          <cell r="L39" t="str">
            <v>Sr. Executive</v>
          </cell>
          <cell r="M39">
            <v>149.33333333333334</v>
          </cell>
          <cell r="N39">
            <v>208.73498044258679</v>
          </cell>
          <cell r="O39">
            <v>216.52775234999345</v>
          </cell>
          <cell r="P39">
            <v>225.1888624439932</v>
          </cell>
          <cell r="Q39">
            <v>236.44830556619289</v>
          </cell>
          <cell r="R39">
            <v>248.27072084450253</v>
          </cell>
          <cell r="S39">
            <v>260.68425688672767</v>
          </cell>
          <cell r="T39">
            <v>273.71846973106409</v>
          </cell>
        </row>
        <row r="40">
          <cell r="K40" t="str">
            <v>USAConsultingMgt81NA</v>
          </cell>
          <cell r="L40" t="str">
            <v>Sr. Executive</v>
          </cell>
          <cell r="M40">
            <v>149.33333333333334</v>
          </cell>
          <cell r="N40">
            <v>232.73406982645579</v>
          </cell>
          <cell r="O40">
            <v>241.42280765752992</v>
          </cell>
          <cell r="P40">
            <v>251.07971996383111</v>
          </cell>
          <cell r="Q40">
            <v>263.6337059620227</v>
          </cell>
          <cell r="R40">
            <v>276.81539126012387</v>
          </cell>
          <cell r="S40">
            <v>290.65616082313011</v>
          </cell>
          <cell r="T40">
            <v>305.18896886428661</v>
          </cell>
        </row>
        <row r="41">
          <cell r="K41" t="str">
            <v>USAConsultingMgt82NA</v>
          </cell>
          <cell r="L41" t="str">
            <v>Sr. Executive</v>
          </cell>
          <cell r="M41">
            <v>149.33333333333334</v>
          </cell>
          <cell r="N41">
            <v>255.13502989081687</v>
          </cell>
          <cell r="O41">
            <v>264.6600701562906</v>
          </cell>
          <cell r="P41">
            <v>275.24647296254221</v>
          </cell>
          <cell r="Q41">
            <v>289.00879661066932</v>
          </cell>
          <cell r="R41">
            <v>303.45923644120279</v>
          </cell>
          <cell r="S41">
            <v>318.63219826326292</v>
          </cell>
          <cell r="T41">
            <v>334.56380817642611</v>
          </cell>
        </row>
        <row r="42">
          <cell r="K42" t="str">
            <v>USAConsultingMgt83NA</v>
          </cell>
          <cell r="L42" t="str">
            <v>Sr. Executive</v>
          </cell>
          <cell r="M42">
            <v>149.33333333333334</v>
          </cell>
          <cell r="N42">
            <v>280.29918162721572</v>
          </cell>
          <cell r="O42">
            <v>290.7636834736345</v>
          </cell>
          <cell r="P42">
            <v>302.39423081257991</v>
          </cell>
          <cell r="Q42">
            <v>317.5139423532089</v>
          </cell>
          <cell r="R42">
            <v>333.38963947086938</v>
          </cell>
          <cell r="S42">
            <v>350.05912144441288</v>
          </cell>
          <cell r="T42">
            <v>367.56207751663356</v>
          </cell>
        </row>
        <row r="43">
          <cell r="K43" t="str">
            <v>USAConsultingMgt84NA</v>
          </cell>
          <cell r="L43" t="str">
            <v>Sr. Executive</v>
          </cell>
          <cell r="M43">
            <v>149.33333333333334</v>
          </cell>
          <cell r="N43">
            <v>309.85016359696021</v>
          </cell>
          <cell r="O43">
            <v>321.41790200507955</v>
          </cell>
          <cell r="P43">
            <v>334.27461808528273</v>
          </cell>
          <cell r="Q43">
            <v>350.98834898954686</v>
          </cell>
          <cell r="R43">
            <v>368.53776643902421</v>
          </cell>
          <cell r="S43">
            <v>386.96465476097546</v>
          </cell>
          <cell r="T43">
            <v>406.31288749902427</v>
          </cell>
        </row>
        <row r="44">
          <cell r="K44" t="str">
            <v>USAConsultingMgt85NA</v>
          </cell>
          <cell r="L44" t="str">
            <v>Sr. Executive</v>
          </cell>
          <cell r="M44">
            <v>149.33333333333334</v>
          </cell>
          <cell r="N44">
            <v>327.91960338314601</v>
          </cell>
          <cell r="O44">
            <v>340.16193414971815</v>
          </cell>
          <cell r="P44">
            <v>353.76841151570687</v>
          </cell>
          <cell r="Q44">
            <v>371.45683209149223</v>
          </cell>
          <cell r="R44">
            <v>390.02967369606688</v>
          </cell>
          <cell r="S44">
            <v>409.53115738087024</v>
          </cell>
          <cell r="T44">
            <v>430.00771524991376</v>
          </cell>
        </row>
        <row r="45">
          <cell r="K45" t="str">
            <v>USAConsultingMgt86NA</v>
          </cell>
          <cell r="L45" t="str">
            <v>Sr. Executive</v>
          </cell>
          <cell r="M45">
            <v>149.33333333333334</v>
          </cell>
          <cell r="N45">
            <v>356.65663399497356</v>
          </cell>
          <cell r="O45">
            <v>369.97181380859712</v>
          </cell>
          <cell r="P45">
            <v>384.770686360941</v>
          </cell>
          <cell r="Q45">
            <v>404.00922067898807</v>
          </cell>
          <cell r="R45">
            <v>424.20968171293748</v>
          </cell>
          <cell r="S45">
            <v>445.42016579858438</v>
          </cell>
          <cell r="T45">
            <v>467.69117408851361</v>
          </cell>
        </row>
        <row r="46">
          <cell r="K46" t="str">
            <v>USAConsultingMgt87NA</v>
          </cell>
          <cell r="L46" t="str">
            <v>Sr. Executive</v>
          </cell>
          <cell r="M46">
            <v>149.33333333333334</v>
          </cell>
          <cell r="N46">
            <v>377.23506507331115</v>
          </cell>
          <cell r="O46">
            <v>391.31850624526459</v>
          </cell>
          <cell r="P46">
            <v>406.97124649507521</v>
          </cell>
          <cell r="Q46">
            <v>427.31980881982901</v>
          </cell>
          <cell r="R46">
            <v>448.68579926082049</v>
          </cell>
          <cell r="S46">
            <v>471.12008922386156</v>
          </cell>
          <cell r="T46">
            <v>494.67609368505464</v>
          </cell>
        </row>
        <row r="47">
          <cell r="K47" t="str">
            <v>USAConsultingMgt88NA</v>
          </cell>
          <cell r="L47" t="str">
            <v>Sr. Executive</v>
          </cell>
          <cell r="M47">
            <v>149.33333333333334</v>
          </cell>
          <cell r="N47">
            <v>416.00301854375704</v>
          </cell>
          <cell r="O47">
            <v>431.53379651604723</v>
          </cell>
          <cell r="P47">
            <v>448.79514837668916</v>
          </cell>
          <cell r="Q47">
            <v>471.23490579552362</v>
          </cell>
          <cell r="R47">
            <v>494.7966510852998</v>
          </cell>
          <cell r="S47">
            <v>519.53648363956484</v>
          </cell>
          <cell r="T47">
            <v>545.51330782154309</v>
          </cell>
        </row>
        <row r="48">
          <cell r="K48" t="str">
            <v>USAConsultingMgt89NA</v>
          </cell>
          <cell r="L48" t="str">
            <v>Sr. Executive</v>
          </cell>
          <cell r="M48">
            <v>149.33333333333334</v>
          </cell>
          <cell r="N48">
            <v>457.10529065244651</v>
          </cell>
          <cell r="O48">
            <v>474.17055331312025</v>
          </cell>
          <cell r="P48">
            <v>493.13737544564509</v>
          </cell>
          <cell r="Q48">
            <v>517.79424421792737</v>
          </cell>
          <cell r="R48">
            <v>543.68395642882376</v>
          </cell>
          <cell r="S48">
            <v>570.86815425026498</v>
          </cell>
          <cell r="T48">
            <v>599.41156196277825</v>
          </cell>
        </row>
        <row r="49">
          <cell r="K49" t="str">
            <v>USAConsultingMgt90NA</v>
          </cell>
          <cell r="L49" t="str">
            <v>Sr. Executive</v>
          </cell>
          <cell r="M49">
            <v>149.33333333333334</v>
          </cell>
          <cell r="N49">
            <v>569.66430457721401</v>
          </cell>
          <cell r="O49">
            <v>590.93177004921563</v>
          </cell>
          <cell r="P49">
            <v>614.56904085118424</v>
          </cell>
          <cell r="Q49">
            <v>645.29749289374342</v>
          </cell>
          <cell r="R49">
            <v>677.56236753843064</v>
          </cell>
          <cell r="S49">
            <v>711.44048591535216</v>
          </cell>
          <cell r="T49">
            <v>747.01251021111977</v>
          </cell>
        </row>
        <row r="50">
          <cell r="K50" t="str">
            <v>USAConsultingMgt91NA</v>
          </cell>
          <cell r="L50" t="str">
            <v>Sr. Executive</v>
          </cell>
          <cell r="M50">
            <v>149.33333333333334</v>
          </cell>
          <cell r="N50">
            <v>745.57694318236997</v>
          </cell>
          <cell r="O50">
            <v>773.41181324258866</v>
          </cell>
          <cell r="P50">
            <v>804.34828577229223</v>
          </cell>
          <cell r="Q50">
            <v>844.56570006090692</v>
          </cell>
          <cell r="R50">
            <v>886.79398506395228</v>
          </cell>
          <cell r="S50">
            <v>931.13368431714991</v>
          </cell>
          <cell r="T50">
            <v>977.69036853300747</v>
          </cell>
        </row>
        <row r="51">
          <cell r="K51" t="str">
            <v>USAConsultingMgt92NA</v>
          </cell>
          <cell r="L51" t="str">
            <v>Sr. Executive</v>
          </cell>
          <cell r="M51">
            <v>149.33333333333334</v>
          </cell>
          <cell r="N51">
            <v>932.26945223847213</v>
          </cell>
          <cell r="O51">
            <v>967.0741753478103</v>
          </cell>
          <cell r="P51">
            <v>1005.7571423617228</v>
          </cell>
          <cell r="Q51">
            <v>1056.0449994798089</v>
          </cell>
          <cell r="R51">
            <v>1108.8472494537993</v>
          </cell>
          <cell r="S51">
            <v>1164.2896119264894</v>
          </cell>
          <cell r="T51">
            <v>1222.5040925228141</v>
          </cell>
        </row>
        <row r="52">
          <cell r="K52" t="str">
            <v>USAConsultingMgt93NA</v>
          </cell>
          <cell r="L52" t="str">
            <v>Sr. Executive</v>
          </cell>
          <cell r="M52">
            <v>149.33333333333334</v>
          </cell>
          <cell r="N52">
            <v>1279.600279411984</v>
          </cell>
          <cell r="O52">
            <v>1327.372018911364</v>
          </cell>
          <cell r="P52">
            <v>1380.4668996678186</v>
          </cell>
          <cell r="Q52">
            <v>1449.4902446512097</v>
          </cell>
          <cell r="R52">
            <v>1521.9647568837702</v>
          </cell>
          <cell r="S52">
            <v>1598.0629947279588</v>
          </cell>
          <cell r="T52">
            <v>1677.9661444643568</v>
          </cell>
        </row>
        <row r="53">
          <cell r="K53" t="str">
            <v>USAConsultingMgt94NA</v>
          </cell>
          <cell r="L53" t="str">
            <v>Sr. Executive</v>
          </cell>
          <cell r="M53">
            <v>149.33333333333334</v>
          </cell>
          <cell r="N53">
            <v>2838.7462929344547</v>
          </cell>
          <cell r="O53">
            <v>2944.7261450748533</v>
          </cell>
          <cell r="P53">
            <v>3062.5151908778475</v>
          </cell>
          <cell r="Q53">
            <v>3215.6409504217399</v>
          </cell>
          <cell r="R53">
            <v>3376.4229979428269</v>
          </cell>
          <cell r="S53">
            <v>3545.2441478399683</v>
          </cell>
          <cell r="T53">
            <v>3722.5063552319666</v>
          </cell>
        </row>
        <row r="54">
          <cell r="K54" t="str">
            <v>USAConsultingMgt95NA</v>
          </cell>
          <cell r="L54" t="str">
            <v>Sr. Executive</v>
          </cell>
          <cell r="M54">
            <v>149.33333333333334</v>
          </cell>
          <cell r="N54">
            <v>3214.967140744985</v>
          </cell>
          <cell r="O54">
            <v>3334.9925699495743</v>
          </cell>
          <cell r="P54">
            <v>3468.3922727475574</v>
          </cell>
          <cell r="Q54">
            <v>3641.8118863849354</v>
          </cell>
          <cell r="R54">
            <v>3823.9024807041824</v>
          </cell>
          <cell r="S54">
            <v>4015.0976047393915</v>
          </cell>
          <cell r="T54">
            <v>4215.8524849763617</v>
          </cell>
        </row>
        <row r="55">
          <cell r="K55" t="str">
            <v>USAConsultingMgt96NA</v>
          </cell>
          <cell r="L55" t="str">
            <v>Sr. Executive</v>
          </cell>
          <cell r="M55">
            <v>149.33333333333334</v>
          </cell>
          <cell r="N55">
            <v>3591.1879885555145</v>
          </cell>
          <cell r="O55">
            <v>3725.2589948242939</v>
          </cell>
          <cell r="P55">
            <v>3874.2693546172659</v>
          </cell>
          <cell r="Q55">
            <v>4067.9828223481295</v>
          </cell>
          <cell r="R55">
            <v>4271.3819634655365</v>
          </cell>
          <cell r="S55">
            <v>4484.9510616388134</v>
          </cell>
          <cell r="T55">
            <v>4709.1986147207544</v>
          </cell>
        </row>
        <row r="56">
          <cell r="K56" t="str">
            <v>USAConsultingMgt97NA</v>
          </cell>
          <cell r="L56" t="str">
            <v>Sr. Executive</v>
          </cell>
          <cell r="M56">
            <v>149.33333333333334</v>
          </cell>
          <cell r="N56">
            <v>3967.4088363660444</v>
          </cell>
          <cell r="O56">
            <v>4115.5254196990145</v>
          </cell>
          <cell r="P56">
            <v>4280.1464364869753</v>
          </cell>
          <cell r="Q56">
            <v>4494.1537583113241</v>
          </cell>
          <cell r="R56">
            <v>4718.8614462268906</v>
          </cell>
          <cell r="S56">
            <v>4954.8045185382352</v>
          </cell>
          <cell r="T56">
            <v>5202.5447444651472</v>
          </cell>
        </row>
        <row r="57">
          <cell r="K57" t="str">
            <v>USAConsultingMgt98NA</v>
          </cell>
          <cell r="L57" t="str">
            <v>Sr. Executive</v>
          </cell>
          <cell r="M57">
            <v>149.33333333333334</v>
          </cell>
          <cell r="N57">
            <v>4343.6301544526332</v>
          </cell>
          <cell r="O57">
            <v>4505.7923324067642</v>
          </cell>
          <cell r="P57">
            <v>4686.0240257030346</v>
          </cell>
          <cell r="Q57">
            <v>4920.3252269881868</v>
          </cell>
          <cell r="R57">
            <v>5166.3414883375963</v>
          </cell>
          <cell r="S57">
            <v>5424.6585627544764</v>
          </cell>
          <cell r="T57">
            <v>5695.8914908922006</v>
          </cell>
        </row>
        <row r="58">
          <cell r="K58" t="str">
            <v>USAConsultingMgt67NA</v>
          </cell>
          <cell r="L58" t="str">
            <v>Sr. Manager</v>
          </cell>
          <cell r="M58">
            <v>149.33333333333334</v>
          </cell>
          <cell r="N58">
            <v>145.76561498156403</v>
          </cell>
          <cell r="O58">
            <v>151.20753078832371</v>
          </cell>
          <cell r="P58">
            <v>157.25583201985665</v>
          </cell>
          <cell r="Q58">
            <v>165.11862362084949</v>
          </cell>
          <cell r="R58">
            <v>173.37455480189197</v>
          </cell>
          <cell r="S58">
            <v>182.04328254198657</v>
          </cell>
          <cell r="T58">
            <v>191.14544666908591</v>
          </cell>
        </row>
        <row r="59">
          <cell r="K59" t="str">
            <v>USAConsultingMgt68NA</v>
          </cell>
          <cell r="L59" t="str">
            <v>Sr. Manager</v>
          </cell>
          <cell r="M59">
            <v>149.33333333333334</v>
          </cell>
          <cell r="N59">
            <v>169.30329593043092</v>
          </cell>
          <cell r="O59">
            <v>175.62395174748937</v>
          </cell>
          <cell r="P59">
            <v>182.64890981738895</v>
          </cell>
          <cell r="Q59">
            <v>191.78135530825841</v>
          </cell>
          <cell r="R59">
            <v>201.37042307367133</v>
          </cell>
          <cell r="S59">
            <v>211.43894422735491</v>
          </cell>
          <cell r="T59">
            <v>222.01089143872267</v>
          </cell>
        </row>
        <row r="60">
          <cell r="K60" t="str">
            <v>USAConsultingMgt69NA</v>
          </cell>
          <cell r="L60" t="str">
            <v>Sr. Manager</v>
          </cell>
          <cell r="M60">
            <v>149.33333333333334</v>
          </cell>
          <cell r="N60">
            <v>193.30887360365301</v>
          </cell>
          <cell r="O60">
            <v>200.52573757382649</v>
          </cell>
          <cell r="P60">
            <v>208.54676707677956</v>
          </cell>
          <cell r="Q60">
            <v>218.97410543061855</v>
          </cell>
          <cell r="R60">
            <v>229.92281070214949</v>
          </cell>
          <cell r="S60">
            <v>241.41895123725698</v>
          </cell>
          <cell r="T60">
            <v>253.48989879911983</v>
          </cell>
        </row>
        <row r="61">
          <cell r="K61" t="str">
            <v>USAConsultingMgt70NA</v>
          </cell>
          <cell r="L61" t="str">
            <v>Sr. Manager</v>
          </cell>
          <cell r="M61">
            <v>149.33333333333334</v>
          </cell>
          <cell r="N61">
            <v>226.71502057986524</v>
          </cell>
          <cell r="O61">
            <v>235.17904725913016</v>
          </cell>
          <cell r="P61">
            <v>244.58620914949537</v>
          </cell>
          <cell r="Q61">
            <v>256.81551960697016</v>
          </cell>
          <cell r="R61">
            <v>269.65629558731865</v>
          </cell>
          <cell r="S61">
            <v>283.13911036668458</v>
          </cell>
          <cell r="T61">
            <v>297.29606588501883</v>
          </cell>
        </row>
        <row r="62">
          <cell r="K62" t="str">
            <v>USAConsultingMgt71NA</v>
          </cell>
          <cell r="L62" t="str">
            <v>Sr. Manager</v>
          </cell>
          <cell r="M62">
            <v>149.33333333333334</v>
          </cell>
          <cell r="N62">
            <v>280.64653467581934</v>
          </cell>
          <cell r="O62">
            <v>291.12400436822816</v>
          </cell>
          <cell r="P62">
            <v>302.76896454295729</v>
          </cell>
          <cell r="Q62">
            <v>317.90741277010517</v>
          </cell>
          <cell r="R62">
            <v>333.80278340861042</v>
          </cell>
          <cell r="S62">
            <v>350.49292257904096</v>
          </cell>
          <cell r="T62">
            <v>368.01756870799301</v>
          </cell>
        </row>
        <row r="63">
          <cell r="K63" t="str">
            <v>USAConsultingMgt72NA</v>
          </cell>
          <cell r="L63" t="str">
            <v>Sr. Manager</v>
          </cell>
          <cell r="M63">
            <v>149.33333333333334</v>
          </cell>
          <cell r="N63">
            <v>360.8740228318955</v>
          </cell>
          <cell r="O63">
            <v>374.34665181470621</v>
          </cell>
          <cell r="P63">
            <v>389.32051788729444</v>
          </cell>
          <cell r="Q63">
            <v>408.78654378165919</v>
          </cell>
          <cell r="R63">
            <v>429.22587097074216</v>
          </cell>
          <cell r="S63">
            <v>450.68716451927929</v>
          </cell>
          <cell r="T63">
            <v>473.22152274524331</v>
          </cell>
        </row>
        <row r="64">
          <cell r="K64" t="str">
            <v>USAConsultingSI30NA</v>
          </cell>
          <cell r="L64" t="str">
            <v>Analyst</v>
          </cell>
          <cell r="M64">
            <v>150.66666666666666</v>
          </cell>
          <cell r="N64">
            <v>57.781898753044949</v>
          </cell>
          <cell r="O64">
            <v>59.939089447218969</v>
          </cell>
          <cell r="P64">
            <v>62.336653025107729</v>
          </cell>
          <cell r="Q64">
            <v>65.453485676363115</v>
          </cell>
          <cell r="R64">
            <v>68.726159960181278</v>
          </cell>
          <cell r="S64">
            <v>72.162467958190348</v>
          </cell>
          <cell r="T64">
            <v>75.770591356099871</v>
          </cell>
        </row>
        <row r="65">
          <cell r="K65" t="str">
            <v>USAConsultingSI31NA</v>
          </cell>
          <cell r="L65" t="str">
            <v>Analyst</v>
          </cell>
          <cell r="M65">
            <v>150.66666666666666</v>
          </cell>
          <cell r="N65">
            <v>66.389758793187752</v>
          </cell>
          <cell r="O65">
            <v>68.868309566834242</v>
          </cell>
          <cell r="P65">
            <v>71.623041949507609</v>
          </cell>
          <cell r="Q65">
            <v>75.204194046982991</v>
          </cell>
          <cell r="R65">
            <v>78.964403749332149</v>
          </cell>
          <cell r="S65">
            <v>82.912623936798767</v>
          </cell>
          <cell r="T65">
            <v>87.05825513363871</v>
          </cell>
        </row>
        <row r="66">
          <cell r="K66" t="str">
            <v>USAConsultingSI32NA</v>
          </cell>
          <cell r="L66" t="str">
            <v>Analyst</v>
          </cell>
          <cell r="M66">
            <v>150.66666666666666</v>
          </cell>
          <cell r="N66">
            <v>73.377630653183999</v>
          </cell>
          <cell r="O66">
            <v>76.117061952977437</v>
          </cell>
          <cell r="P66">
            <v>79.161744431096537</v>
          </cell>
          <cell r="Q66">
            <v>83.119831652651371</v>
          </cell>
          <cell r="R66">
            <v>87.275823235283937</v>
          </cell>
          <cell r="S66">
            <v>91.639614397048135</v>
          </cell>
          <cell r="T66">
            <v>96.221595116900545</v>
          </cell>
        </row>
        <row r="67">
          <cell r="K67" t="str">
            <v>USAConsultingSI33NA</v>
          </cell>
          <cell r="L67" t="str">
            <v>Analyst</v>
          </cell>
          <cell r="M67">
            <v>150.66666666666666</v>
          </cell>
          <cell r="N67">
            <v>83.167858874013305</v>
          </cell>
          <cell r="O67">
            <v>86.272791994750278</v>
          </cell>
          <cell r="P67">
            <v>89.723703674540289</v>
          </cell>
          <cell r="Q67">
            <v>94.209888858267306</v>
          </cell>
          <cell r="R67">
            <v>98.920383301180678</v>
          </cell>
          <cell r="S67">
            <v>103.86640246623972</v>
          </cell>
          <cell r="T67">
            <v>109.05972258955171</v>
          </cell>
        </row>
        <row r="68">
          <cell r="K68" t="str">
            <v>USAConsultingSI34NA</v>
          </cell>
          <cell r="L68" t="str">
            <v>Analyst</v>
          </cell>
          <cell r="M68">
            <v>150.66666666666666</v>
          </cell>
          <cell r="N68">
            <v>94.588582370116953</v>
          </cell>
          <cell r="O68">
            <v>98.119889129972719</v>
          </cell>
          <cell r="P68">
            <v>102.04468469517163</v>
          </cell>
          <cell r="Q68">
            <v>107.14691892993021</v>
          </cell>
          <cell r="R68">
            <v>112.50426487642672</v>
          </cell>
          <cell r="S68">
            <v>118.12947812024805</v>
          </cell>
          <cell r="T68">
            <v>124.03595202626046</v>
          </cell>
        </row>
        <row r="69">
          <cell r="K69" t="str">
            <v>USAConsultingSI50NA</v>
          </cell>
          <cell r="L69" t="str">
            <v>Consultant</v>
          </cell>
          <cell r="M69">
            <v>150.66666666666666</v>
          </cell>
          <cell r="N69">
            <v>72.750043526760905</v>
          </cell>
          <cell r="O69">
            <v>75.466044909259836</v>
          </cell>
          <cell r="P69">
            <v>78.484686705630239</v>
          </cell>
          <cell r="Q69">
            <v>82.40892104091175</v>
          </cell>
          <cell r="R69">
            <v>86.529367092957344</v>
          </cell>
          <cell r="S69">
            <v>90.855835447605216</v>
          </cell>
          <cell r="T69">
            <v>95.398627219985485</v>
          </cell>
        </row>
        <row r="70">
          <cell r="K70" t="str">
            <v>USAConsultingSI51NA</v>
          </cell>
          <cell r="L70" t="str">
            <v>Consultant</v>
          </cell>
          <cell r="M70">
            <v>150.66666666666666</v>
          </cell>
          <cell r="N70">
            <v>81.165186806838307</v>
          </cell>
          <cell r="O70">
            <v>84.195353510409646</v>
          </cell>
          <cell r="P70">
            <v>87.563167650826031</v>
          </cell>
          <cell r="Q70">
            <v>91.941326033367332</v>
          </cell>
          <cell r="R70">
            <v>96.538392335035709</v>
          </cell>
          <cell r="S70">
            <v>101.3653119517875</v>
          </cell>
          <cell r="T70">
            <v>106.43357754937688</v>
          </cell>
        </row>
        <row r="71">
          <cell r="K71" t="str">
            <v>USAConsultingSI52NA</v>
          </cell>
          <cell r="L71" t="str">
            <v>Consultant</v>
          </cell>
          <cell r="M71">
            <v>150.66666666666666</v>
          </cell>
          <cell r="N71">
            <v>90.293673561287846</v>
          </cell>
          <cell r="O71">
            <v>93.664637073263691</v>
          </cell>
          <cell r="P71">
            <v>97.411222556194247</v>
          </cell>
          <cell r="Q71">
            <v>102.28178368400397</v>
          </cell>
          <cell r="R71">
            <v>107.39587286820417</v>
          </cell>
          <cell r="S71">
            <v>112.76566651161438</v>
          </cell>
          <cell r="T71">
            <v>118.40394983719511</v>
          </cell>
        </row>
        <row r="72">
          <cell r="K72" t="str">
            <v>USAConsultingSI53NA</v>
          </cell>
          <cell r="L72" t="str">
            <v>Consultant</v>
          </cell>
          <cell r="M72">
            <v>150.66666666666666</v>
          </cell>
          <cell r="N72">
            <v>99.782900915795096</v>
          </cell>
          <cell r="O72">
            <v>103.50812888404178</v>
          </cell>
          <cell r="P72">
            <v>107.64845403940346</v>
          </cell>
          <cell r="Q72">
            <v>113.03087674137363</v>
          </cell>
          <cell r="R72">
            <v>118.68242057844232</v>
          </cell>
          <cell r="S72">
            <v>124.61654160736444</v>
          </cell>
          <cell r="T72">
            <v>130.84736868773265</v>
          </cell>
        </row>
        <row r="73">
          <cell r="K73" t="str">
            <v>USAConsultingSI54NA</v>
          </cell>
          <cell r="L73" t="str">
            <v>Consultant</v>
          </cell>
          <cell r="M73">
            <v>150.66666666666666</v>
          </cell>
          <cell r="N73">
            <v>109.57123268498115</v>
          </cell>
          <cell r="O73">
            <v>113.66189167331635</v>
          </cell>
          <cell r="P73">
            <v>118.20836734024901</v>
          </cell>
          <cell r="Q73">
            <v>124.11878570726147</v>
          </cell>
          <cell r="R73">
            <v>130.32472499262454</v>
          </cell>
          <cell r="S73">
            <v>136.84096124225576</v>
          </cell>
          <cell r="T73">
            <v>143.68300930436854</v>
          </cell>
        </row>
        <row r="74">
          <cell r="K74" t="str">
            <v>USAConsultingSI55NA</v>
          </cell>
          <cell r="L74" t="str">
            <v>Consultant</v>
          </cell>
          <cell r="M74">
            <v>150.66666666666666</v>
          </cell>
          <cell r="N74">
            <v>126.63038446596271</v>
          </cell>
          <cell r="O74">
            <v>131.35791839725738</v>
          </cell>
          <cell r="P74">
            <v>136.61223513314769</v>
          </cell>
          <cell r="Q74">
            <v>143.44284688980508</v>
          </cell>
          <cell r="R74">
            <v>150.61498923429534</v>
          </cell>
          <cell r="S74">
            <v>158.14573869601011</v>
          </cell>
          <cell r="T74">
            <v>166.05302563081062</v>
          </cell>
        </row>
        <row r="75">
          <cell r="K75" t="str">
            <v>USAConsultingSI60NA</v>
          </cell>
          <cell r="L75" t="str">
            <v>Manager</v>
          </cell>
          <cell r="M75">
            <v>149.33333333333334</v>
          </cell>
          <cell r="N75">
            <v>103.19346736469416</v>
          </cell>
          <cell r="O75">
            <v>107.04602313566453</v>
          </cell>
          <cell r="P75">
            <v>111.32786406109111</v>
          </cell>
          <cell r="Q75">
            <v>116.89425726414566</v>
          </cell>
          <cell r="R75">
            <v>122.73897012735296</v>
          </cell>
          <cell r="S75">
            <v>128.8759186337206</v>
          </cell>
          <cell r="T75">
            <v>135.31971456540663</v>
          </cell>
        </row>
        <row r="76">
          <cell r="K76" t="str">
            <v>USAConsultingSI61NA</v>
          </cell>
          <cell r="L76" t="str">
            <v>Manager</v>
          </cell>
          <cell r="M76">
            <v>149.33333333333334</v>
          </cell>
          <cell r="N76">
            <v>121.30942742116787</v>
          </cell>
          <cell r="O76">
            <v>125.83831230719338</v>
          </cell>
          <cell r="P76">
            <v>130.87184479948112</v>
          </cell>
          <cell r="Q76">
            <v>137.41543703945518</v>
          </cell>
          <cell r="R76">
            <v>144.28620889142795</v>
          </cell>
          <cell r="S76">
            <v>151.50051933599934</v>
          </cell>
          <cell r="T76">
            <v>159.07554530279933</v>
          </cell>
        </row>
        <row r="77">
          <cell r="K77" t="str">
            <v>USAConsultingSI62NA</v>
          </cell>
          <cell r="L77" t="str">
            <v>Manager</v>
          </cell>
          <cell r="M77">
            <v>149.33333333333334</v>
          </cell>
          <cell r="N77">
            <v>138.0545833542453</v>
          </cell>
          <cell r="O77">
            <v>143.20862067262186</v>
          </cell>
          <cell r="P77">
            <v>148.93696549952674</v>
          </cell>
          <cell r="Q77">
            <v>156.38381377450307</v>
          </cell>
          <cell r="R77">
            <v>164.20300446322824</v>
          </cell>
          <cell r="S77">
            <v>172.41315468638965</v>
          </cell>
          <cell r="T77">
            <v>181.03381242070913</v>
          </cell>
        </row>
        <row r="78">
          <cell r="K78" t="str">
            <v>USAConsultingSI63NA</v>
          </cell>
          <cell r="L78" t="str">
            <v>Manager</v>
          </cell>
          <cell r="M78">
            <v>149.33333333333334</v>
          </cell>
          <cell r="N78">
            <v>151.98643483464602</v>
          </cell>
          <cell r="O78">
            <v>157.66059456185135</v>
          </cell>
          <cell r="P78">
            <v>163.96701834432542</v>
          </cell>
          <cell r="Q78">
            <v>172.16536926154171</v>
          </cell>
          <cell r="R78">
            <v>180.77363772461879</v>
          </cell>
          <cell r="S78">
            <v>189.81231961084976</v>
          </cell>
          <cell r="T78">
            <v>199.30293559139224</v>
          </cell>
        </row>
        <row r="79">
          <cell r="K79" t="str">
            <v>USAConsultingSI64NA</v>
          </cell>
          <cell r="L79" t="str">
            <v>Manager</v>
          </cell>
          <cell r="M79">
            <v>149.33333333333334</v>
          </cell>
          <cell r="N79">
            <v>159.80941765683991</v>
          </cell>
          <cell r="O79">
            <v>165.77563538333055</v>
          </cell>
          <cell r="P79">
            <v>172.40666079866378</v>
          </cell>
          <cell r="Q79">
            <v>181.02699383859698</v>
          </cell>
          <cell r="R79">
            <v>190.07834353052684</v>
          </cell>
          <cell r="S79">
            <v>199.58226070705319</v>
          </cell>
          <cell r="T79">
            <v>209.56137374240586</v>
          </cell>
        </row>
        <row r="80">
          <cell r="K80" t="str">
            <v>USAConsultingSI65NA</v>
          </cell>
          <cell r="L80" t="str">
            <v>Manager</v>
          </cell>
          <cell r="M80">
            <v>149.33333333333334</v>
          </cell>
          <cell r="N80">
            <v>170.6660480584512</v>
          </cell>
          <cell r="O80">
            <v>177.03757995041323</v>
          </cell>
          <cell r="P80">
            <v>184.11908314842978</v>
          </cell>
          <cell r="Q80">
            <v>193.32503730585128</v>
          </cell>
          <cell r="R80">
            <v>202.99128917114385</v>
          </cell>
          <cell r="S80">
            <v>213.14085362970104</v>
          </cell>
          <cell r="T80">
            <v>223.79789631118609</v>
          </cell>
        </row>
        <row r="81">
          <cell r="K81" t="str">
            <v>USAConsultingSI66NA</v>
          </cell>
          <cell r="L81" t="str">
            <v>Manager</v>
          </cell>
          <cell r="M81">
            <v>149.33333333333334</v>
          </cell>
          <cell r="N81">
            <v>185.50638008970168</v>
          </cell>
          <cell r="O81">
            <v>192.43195099469594</v>
          </cell>
          <cell r="P81">
            <v>200.12922903448379</v>
          </cell>
          <cell r="Q81">
            <v>210.13569048620798</v>
          </cell>
          <cell r="R81">
            <v>220.64247501051838</v>
          </cell>
          <cell r="S81">
            <v>231.67459876104431</v>
          </cell>
          <cell r="T81">
            <v>243.25832869909652</v>
          </cell>
        </row>
        <row r="82">
          <cell r="K82" t="str">
            <v>USAConsultingSI80NA</v>
          </cell>
          <cell r="L82" t="str">
            <v>Sr. Executive</v>
          </cell>
          <cell r="M82">
            <v>149.33333333333334</v>
          </cell>
          <cell r="N82">
            <v>202.72821841546201</v>
          </cell>
          <cell r="O82">
            <v>210.29673789387854</v>
          </cell>
          <cell r="P82">
            <v>218.70860740963369</v>
          </cell>
          <cell r="Q82">
            <v>229.64403778011538</v>
          </cell>
          <cell r="R82">
            <v>241.12623966912116</v>
          </cell>
          <cell r="S82">
            <v>253.18255165257722</v>
          </cell>
          <cell r="T82">
            <v>265.84167923520607</v>
          </cell>
        </row>
        <row r="83">
          <cell r="K83" t="str">
            <v>USAConsultingSI81NA</v>
          </cell>
          <cell r="L83" t="str">
            <v>Sr. Executive</v>
          </cell>
          <cell r="M83">
            <v>149.33333333333334</v>
          </cell>
          <cell r="N83">
            <v>226.03668652209737</v>
          </cell>
          <cell r="O83">
            <v>234.47538873213338</v>
          </cell>
          <cell r="P83">
            <v>243.85440428141874</v>
          </cell>
          <cell r="Q83">
            <v>256.0471244954897</v>
          </cell>
          <cell r="R83">
            <v>268.84948072026418</v>
          </cell>
          <cell r="S83">
            <v>282.29195475627739</v>
          </cell>
          <cell r="T83">
            <v>296.40655249409127</v>
          </cell>
        </row>
        <row r="84">
          <cell r="K84" t="str">
            <v>USAConsultingSI82NA</v>
          </cell>
          <cell r="L84" t="str">
            <v>Sr. Executive</v>
          </cell>
          <cell r="M84">
            <v>149.33333333333334</v>
          </cell>
          <cell r="N84">
            <v>247.79301464216024</v>
          </cell>
          <cell r="O84">
            <v>257.04395302949086</v>
          </cell>
          <cell r="P84">
            <v>267.32571115067049</v>
          </cell>
          <cell r="Q84">
            <v>280.69199670820404</v>
          </cell>
          <cell r="R84">
            <v>294.72659654361428</v>
          </cell>
          <cell r="S84">
            <v>309.462926370795</v>
          </cell>
          <cell r="T84">
            <v>324.93607268933476</v>
          </cell>
        </row>
        <row r="85">
          <cell r="K85" t="str">
            <v>USAConsultingSI83NA</v>
          </cell>
          <cell r="L85" t="str">
            <v>Sr. Executive</v>
          </cell>
          <cell r="M85">
            <v>149.33333333333334</v>
          </cell>
          <cell r="N85">
            <v>272.23301812715192</v>
          </cell>
          <cell r="O85">
            <v>282.39638322978891</v>
          </cell>
          <cell r="P85">
            <v>293.69223855898048</v>
          </cell>
          <cell r="Q85">
            <v>308.37685048692953</v>
          </cell>
          <cell r="R85">
            <v>323.795693011276</v>
          </cell>
          <cell r="S85">
            <v>339.98547766183981</v>
          </cell>
          <cell r="T85">
            <v>356.98475154493184</v>
          </cell>
        </row>
        <row r="86">
          <cell r="K86" t="str">
            <v>USAConsultingSI84NA</v>
          </cell>
          <cell r="L86" t="str">
            <v>Sr. Executive</v>
          </cell>
          <cell r="M86">
            <v>149.33333333333334</v>
          </cell>
          <cell r="N86">
            <v>300.93361212654406</v>
          </cell>
          <cell r="O86">
            <v>312.16846597615637</v>
          </cell>
          <cell r="P86">
            <v>324.65520461520265</v>
          </cell>
          <cell r="Q86">
            <v>340.88796484596281</v>
          </cell>
          <cell r="R86">
            <v>357.93236308826096</v>
          </cell>
          <cell r="S86">
            <v>375.82898124267405</v>
          </cell>
          <cell r="T86">
            <v>394.62043030480777</v>
          </cell>
        </row>
        <row r="87">
          <cell r="K87" t="str">
            <v>USAConsultingSI85NA</v>
          </cell>
          <cell r="L87" t="str">
            <v>Sr. Executive</v>
          </cell>
          <cell r="M87">
            <v>149.33333333333334</v>
          </cell>
          <cell r="N87">
            <v>318.48306803399072</v>
          </cell>
          <cell r="O87">
            <v>330.37310151231617</v>
          </cell>
          <cell r="P87">
            <v>343.58802557280882</v>
          </cell>
          <cell r="Q87">
            <v>360.76742685144927</v>
          </cell>
          <cell r="R87">
            <v>378.80579819402175</v>
          </cell>
          <cell r="S87">
            <v>397.74608810372285</v>
          </cell>
          <cell r="T87">
            <v>417.63339250890903</v>
          </cell>
        </row>
        <row r="88">
          <cell r="K88" t="str">
            <v>USAConsultingSI86NA</v>
          </cell>
          <cell r="L88" t="str">
            <v>Sr. Executive</v>
          </cell>
          <cell r="M88">
            <v>149.33333333333334</v>
          </cell>
          <cell r="N88">
            <v>346.39313373612544</v>
          </cell>
          <cell r="O88">
            <v>359.32514290763038</v>
          </cell>
          <cell r="P88">
            <v>373.69814862393559</v>
          </cell>
          <cell r="Q88">
            <v>392.38305605513239</v>
          </cell>
          <cell r="R88">
            <v>412.002208857889</v>
          </cell>
          <cell r="S88">
            <v>432.60231930078345</v>
          </cell>
          <cell r="T88">
            <v>454.23243526582263</v>
          </cell>
        </row>
        <row r="89">
          <cell r="K89" t="str">
            <v>USAConsultingSI87NA</v>
          </cell>
          <cell r="L89" t="str">
            <v>Sr. Executive</v>
          </cell>
          <cell r="M89">
            <v>149.33333333333334</v>
          </cell>
          <cell r="N89">
            <v>366.37937974746046</v>
          </cell>
          <cell r="O89">
            <v>380.05754203676776</v>
          </cell>
          <cell r="P89">
            <v>395.25984371823847</v>
          </cell>
          <cell r="Q89">
            <v>415.02283590415044</v>
          </cell>
          <cell r="R89">
            <v>435.773977699358</v>
          </cell>
          <cell r="S89">
            <v>457.56267658432591</v>
          </cell>
          <cell r="T89">
            <v>480.44081041354224</v>
          </cell>
        </row>
        <row r="90">
          <cell r="K90" t="str">
            <v>USAConsultingSI88NA</v>
          </cell>
          <cell r="L90" t="str">
            <v>Sr. Executive</v>
          </cell>
          <cell r="M90">
            <v>149.33333333333334</v>
          </cell>
          <cell r="N90">
            <v>404.03170865760575</v>
          </cell>
          <cell r="O90">
            <v>419.11555776738402</v>
          </cell>
          <cell r="P90">
            <v>435.88018007807938</v>
          </cell>
          <cell r="Q90">
            <v>457.67418908198334</v>
          </cell>
          <cell r="R90">
            <v>480.55789853608252</v>
          </cell>
          <cell r="S90">
            <v>504.58579346288667</v>
          </cell>
          <cell r="T90">
            <v>529.81508313603103</v>
          </cell>
        </row>
        <row r="91">
          <cell r="K91" t="str">
            <v>USAConsultingSI89NA</v>
          </cell>
          <cell r="L91" t="str">
            <v>Sr. Executive</v>
          </cell>
          <cell r="M91">
            <v>149.33333333333334</v>
          </cell>
          <cell r="N91">
            <v>443.95118156892289</v>
          </cell>
          <cell r="O91">
            <v>460.52535753432545</v>
          </cell>
          <cell r="P91">
            <v>478.94637183569847</v>
          </cell>
          <cell r="Q91">
            <v>502.89369042748342</v>
          </cell>
          <cell r="R91">
            <v>528.03837494885761</v>
          </cell>
          <cell r="S91">
            <v>554.4402936963005</v>
          </cell>
          <cell r="T91">
            <v>582.16230838111551</v>
          </cell>
        </row>
        <row r="92">
          <cell r="K92" t="str">
            <v>USAConsultingSI90NA</v>
          </cell>
          <cell r="L92" t="str">
            <v>Sr. Executive</v>
          </cell>
          <cell r="M92">
            <v>149.33333333333334</v>
          </cell>
          <cell r="N92">
            <v>553.27108717930855</v>
          </cell>
          <cell r="O92">
            <v>573.92653925643242</v>
          </cell>
          <cell r="P92">
            <v>596.88360082668976</v>
          </cell>
          <cell r="Q92">
            <v>626.7277808680243</v>
          </cell>
          <cell r="R92">
            <v>658.06416991142555</v>
          </cell>
          <cell r="S92">
            <v>690.96737840699689</v>
          </cell>
          <cell r="T92">
            <v>725.51574732734673</v>
          </cell>
        </row>
        <row r="93">
          <cell r="K93" t="str">
            <v>USAConsultingSI91NA</v>
          </cell>
          <cell r="L93" t="str">
            <v>Sr. Executive</v>
          </cell>
          <cell r="M93">
            <v>149.33333333333334</v>
          </cell>
          <cell r="N93">
            <v>724.12149157999966</v>
          </cell>
          <cell r="O93">
            <v>751.15535818524802</v>
          </cell>
          <cell r="P93">
            <v>781.201572512658</v>
          </cell>
          <cell r="Q93">
            <v>820.26165113829097</v>
          </cell>
          <cell r="R93">
            <v>861.27473369520555</v>
          </cell>
          <cell r="S93">
            <v>904.33847037996588</v>
          </cell>
          <cell r="T93">
            <v>949.55539389896421</v>
          </cell>
        </row>
        <row r="94">
          <cell r="K94" t="str">
            <v>USAConsultingSI92NA</v>
          </cell>
          <cell r="L94" t="str">
            <v>Sr. Executive</v>
          </cell>
          <cell r="M94">
            <v>149.33333333333334</v>
          </cell>
          <cell r="N94">
            <v>905.44155433232902</v>
          </cell>
          <cell r="O94">
            <v>939.24470267593085</v>
          </cell>
          <cell r="P94">
            <v>976.81449078296816</v>
          </cell>
          <cell r="Q94">
            <v>1025.6552153221166</v>
          </cell>
          <cell r="R94">
            <v>1076.9379760882225</v>
          </cell>
          <cell r="S94">
            <v>1130.7848748926338</v>
          </cell>
          <cell r="T94">
            <v>1187.3241186372654</v>
          </cell>
        </row>
        <row r="95">
          <cell r="K95" t="str">
            <v>USAConsultingSI93NA</v>
          </cell>
          <cell r="L95" t="str">
            <v>Sr. Executive</v>
          </cell>
          <cell r="M95">
            <v>149.33333333333334</v>
          </cell>
          <cell r="N95">
            <v>1242.7772497886176</v>
          </cell>
          <cell r="O95">
            <v>1289.1742629714686</v>
          </cell>
          <cell r="P95">
            <v>1340.7412334903274</v>
          </cell>
          <cell r="Q95">
            <v>1407.7782951648439</v>
          </cell>
          <cell r="R95">
            <v>1478.1672099230861</v>
          </cell>
          <cell r="S95">
            <v>1552.0755704192404</v>
          </cell>
          <cell r="T95">
            <v>1629.6793489402025</v>
          </cell>
        </row>
        <row r="96">
          <cell r="K96" t="str">
            <v>USAConsultingSI94NA</v>
          </cell>
          <cell r="L96" t="str">
            <v>Sr. Executive</v>
          </cell>
          <cell r="M96">
            <v>149.33333333333334</v>
          </cell>
          <cell r="N96">
            <v>2757.0557521305855</v>
          </cell>
          <cell r="O96">
            <v>2859.9858243532749</v>
          </cell>
          <cell r="P96">
            <v>2974.3852573274062</v>
          </cell>
          <cell r="Q96">
            <v>3123.1045201937768</v>
          </cell>
          <cell r="R96">
            <v>3279.259746203466</v>
          </cell>
          <cell r="S96">
            <v>3443.2227335136395</v>
          </cell>
          <cell r="T96">
            <v>3615.3838701893214</v>
          </cell>
        </row>
        <row r="97">
          <cell r="K97" t="str">
            <v>USAConsultingSI95NA</v>
          </cell>
          <cell r="L97" t="str">
            <v>Sr. Executive</v>
          </cell>
          <cell r="M97">
            <v>149.33333333333334</v>
          </cell>
          <cell r="N97">
            <v>3122.4501007235463</v>
          </cell>
          <cell r="O97">
            <v>3239.021560742392</v>
          </cell>
          <cell r="P97">
            <v>3368.5824231720876</v>
          </cell>
          <cell r="Q97">
            <v>3537.0115443306922</v>
          </cell>
          <cell r="R97">
            <v>3713.8621215472272</v>
          </cell>
          <cell r="S97">
            <v>3899.5552276245885</v>
          </cell>
          <cell r="T97">
            <v>4094.5329890058183</v>
          </cell>
        </row>
        <row r="98">
          <cell r="K98" t="str">
            <v>USAConsultingSI96NA</v>
          </cell>
          <cell r="L98" t="str">
            <v>Sr. Executive</v>
          </cell>
          <cell r="M98">
            <v>149.33333333333334</v>
          </cell>
          <cell r="N98">
            <v>3487.8444493165071</v>
          </cell>
          <cell r="O98">
            <v>3618.0572971315087</v>
          </cell>
          <cell r="P98">
            <v>3762.779589016769</v>
          </cell>
          <cell r="Q98">
            <v>3950.9185684676077</v>
          </cell>
          <cell r="R98">
            <v>4148.4644968909879</v>
          </cell>
          <cell r="S98">
            <v>4355.8877217355375</v>
          </cell>
          <cell r="T98">
            <v>4573.6821078223147</v>
          </cell>
        </row>
        <row r="99">
          <cell r="K99" t="str">
            <v>USAConsultingSI97NA</v>
          </cell>
          <cell r="L99" t="str">
            <v>Sr. Executive</v>
          </cell>
          <cell r="M99">
            <v>149.33333333333334</v>
          </cell>
          <cell r="N99">
            <v>3853.2387979094674</v>
          </cell>
          <cell r="O99">
            <v>3997.0930335206249</v>
          </cell>
          <cell r="P99">
            <v>4156.97675486145</v>
          </cell>
          <cell r="Q99">
            <v>4364.8255926045231</v>
          </cell>
          <cell r="R99">
            <v>4583.0668722347491</v>
          </cell>
          <cell r="S99">
            <v>4812.220215846487</v>
          </cell>
          <cell r="T99">
            <v>5052.8312266388111</v>
          </cell>
        </row>
        <row r="100">
          <cell r="K100" t="str">
            <v>USAConsultingSI98NA</v>
          </cell>
          <cell r="L100" t="str">
            <v>Sr. Executive</v>
          </cell>
          <cell r="M100">
            <v>149.33333333333334</v>
          </cell>
          <cell r="N100">
            <v>4218.6336032453628</v>
          </cell>
          <cell r="O100">
            <v>4376.1292437044112</v>
          </cell>
          <cell r="P100">
            <v>4551.1744134525879</v>
          </cell>
          <cell r="Q100">
            <v>4778.7331341252175</v>
          </cell>
          <cell r="R100">
            <v>5017.6697908314782</v>
          </cell>
          <cell r="S100">
            <v>5268.5532803730521</v>
          </cell>
          <cell r="T100">
            <v>5531.9809443917047</v>
          </cell>
        </row>
        <row r="101">
          <cell r="K101" t="str">
            <v>USAConsultingSI67NA</v>
          </cell>
          <cell r="L101" t="str">
            <v>Sr. Manager</v>
          </cell>
          <cell r="M101">
            <v>149.33333333333334</v>
          </cell>
          <cell r="N101">
            <v>141.57092102526002</v>
          </cell>
          <cell r="O101">
            <v>146.85623493829999</v>
          </cell>
          <cell r="P101">
            <v>152.73048433583199</v>
          </cell>
          <cell r="Q101">
            <v>160.36700855262359</v>
          </cell>
          <cell r="R101">
            <v>168.38535898025478</v>
          </cell>
          <cell r="S101">
            <v>176.80462692926753</v>
          </cell>
          <cell r="T101">
            <v>185.64485827573091</v>
          </cell>
        </row>
        <row r="102">
          <cell r="K102" t="str">
            <v>USAConsultingSI68NA</v>
          </cell>
          <cell r="L102" t="str">
            <v>Sr. Manager</v>
          </cell>
          <cell r="M102">
            <v>149.33333333333334</v>
          </cell>
          <cell r="N102">
            <v>164.43125863746886</v>
          </cell>
          <cell r="O102">
            <v>170.57002507849685</v>
          </cell>
          <cell r="P102">
            <v>177.39282608163674</v>
          </cell>
          <cell r="Q102">
            <v>186.26246738571859</v>
          </cell>
          <cell r="R102">
            <v>195.57559075500453</v>
          </cell>
          <cell r="S102">
            <v>205.35437029275477</v>
          </cell>
          <cell r="T102">
            <v>215.62208880739252</v>
          </cell>
        </row>
        <row r="103">
          <cell r="K103" t="str">
            <v>USAConsultingSI69NA</v>
          </cell>
          <cell r="L103" t="str">
            <v>Sr. Manager</v>
          </cell>
          <cell r="M103">
            <v>149.33333333333334</v>
          </cell>
          <cell r="N103">
            <v>187.74602832009464</v>
          </cell>
          <cell r="O103">
            <v>194.75521275155808</v>
          </cell>
          <cell r="P103">
            <v>202.54542126162042</v>
          </cell>
          <cell r="Q103">
            <v>212.67269232470144</v>
          </cell>
          <cell r="R103">
            <v>223.30632694093651</v>
          </cell>
          <cell r="S103">
            <v>234.47164328798334</v>
          </cell>
          <cell r="T103">
            <v>246.19522545238252</v>
          </cell>
        </row>
        <row r="104">
          <cell r="K104" t="str">
            <v>USAConsultingSI70NA</v>
          </cell>
          <cell r="L104" t="str">
            <v>Sr. Manager</v>
          </cell>
          <cell r="M104">
            <v>149.33333333333334</v>
          </cell>
          <cell r="N104">
            <v>220.19084732576837</v>
          </cell>
          <cell r="O104">
            <v>228.41130489196092</v>
          </cell>
          <cell r="P104">
            <v>237.54775708763938</v>
          </cell>
          <cell r="Q104">
            <v>249.42514494202138</v>
          </cell>
          <cell r="R104">
            <v>261.89640218912245</v>
          </cell>
          <cell r="S104">
            <v>274.99122229857858</v>
          </cell>
          <cell r="T104">
            <v>288.74078341350753</v>
          </cell>
        </row>
        <row r="105">
          <cell r="K105" t="str">
            <v>USAConsultingSI71NA</v>
          </cell>
          <cell r="L105" t="str">
            <v>Sr. Manager</v>
          </cell>
          <cell r="M105">
            <v>149.33333333333334</v>
          </cell>
          <cell r="N105">
            <v>272.57037540457276</v>
          </cell>
          <cell r="O105">
            <v>282.74633517777556</v>
          </cell>
          <cell r="P105">
            <v>294.05618858488657</v>
          </cell>
          <cell r="Q105">
            <v>308.7589980141309</v>
          </cell>
          <cell r="R105">
            <v>324.19694791483744</v>
          </cell>
          <cell r="S105">
            <v>340.4067953105793</v>
          </cell>
          <cell r="T105">
            <v>357.4271350761083</v>
          </cell>
        </row>
        <row r="106">
          <cell r="K106" t="str">
            <v>USAConsultingSI72NA</v>
          </cell>
          <cell r="L106" t="str">
            <v>Sr. Manager</v>
          </cell>
          <cell r="M106">
            <v>149.33333333333334</v>
          </cell>
          <cell r="N106">
            <v>350.48915886550998</v>
          </cell>
          <cell r="O106">
            <v>363.57408629485849</v>
          </cell>
          <cell r="P106">
            <v>378.11704974665287</v>
          </cell>
          <cell r="Q106">
            <v>397.02290223398552</v>
          </cell>
          <cell r="R106">
            <v>416.8740473456848</v>
          </cell>
          <cell r="S106">
            <v>437.71774971296907</v>
          </cell>
          <cell r="T106">
            <v>459.60363719861755</v>
          </cell>
        </row>
        <row r="107">
          <cell r="K107" t="str">
            <v>USAConsultingTech30NA</v>
          </cell>
          <cell r="L107" t="str">
            <v>Analyst</v>
          </cell>
          <cell r="M107">
            <v>150.66666666666666</v>
          </cell>
          <cell r="N107">
            <v>59.065940947557053</v>
          </cell>
          <cell r="O107">
            <v>61.271069212712717</v>
          </cell>
          <cell r="P107">
            <v>63.721911981221226</v>
          </cell>
          <cell r="Q107">
            <v>66.908007580282288</v>
          </cell>
          <cell r="R107">
            <v>70.25340795929641</v>
          </cell>
          <cell r="S107">
            <v>73.766078357261236</v>
          </cell>
          <cell r="T107">
            <v>77.454382275124303</v>
          </cell>
        </row>
        <row r="108">
          <cell r="K108" t="str">
            <v>USAConsultingTech31NA</v>
          </cell>
          <cell r="L108" t="str">
            <v>Analyst</v>
          </cell>
          <cell r="M108">
            <v>150.66666666666666</v>
          </cell>
          <cell r="N108">
            <v>67.8650867663697</v>
          </cell>
          <cell r="O108">
            <v>70.398716446097211</v>
          </cell>
          <cell r="P108">
            <v>73.214665103941101</v>
          </cell>
          <cell r="Q108">
            <v>76.87539835913816</v>
          </cell>
          <cell r="R108">
            <v>80.719168277095065</v>
          </cell>
          <cell r="S108">
            <v>84.755126690949822</v>
          </cell>
          <cell r="T108">
            <v>88.992883025497321</v>
          </cell>
        </row>
        <row r="109">
          <cell r="K109" t="str">
            <v>USAConsultingTech32NA</v>
          </cell>
          <cell r="L109" t="str">
            <v>Analyst</v>
          </cell>
          <cell r="M109">
            <v>150.66666666666666</v>
          </cell>
          <cell r="N109">
            <v>75.008244667699188</v>
          </cell>
          <cell r="O109">
            <v>77.808552218599146</v>
          </cell>
          <cell r="P109">
            <v>80.920894307343119</v>
          </cell>
          <cell r="Q109">
            <v>84.966939022710278</v>
          </cell>
          <cell r="R109">
            <v>89.215285973845795</v>
          </cell>
          <cell r="S109">
            <v>93.676050272538092</v>
          </cell>
          <cell r="T109">
            <v>98.359852786165007</v>
          </cell>
        </row>
        <row r="110">
          <cell r="K110" t="str">
            <v>USAConsultingTech33NA</v>
          </cell>
          <cell r="L110" t="str">
            <v>Analyst</v>
          </cell>
          <cell r="M110">
            <v>150.66666666666666</v>
          </cell>
          <cell r="N110">
            <v>85.016033515658037</v>
          </cell>
          <cell r="O110">
            <v>88.189965150189167</v>
          </cell>
          <cell r="P110">
            <v>91.717563756196739</v>
          </cell>
          <cell r="Q110">
            <v>96.303441944006579</v>
          </cell>
          <cell r="R110">
            <v>101.11861404120691</v>
          </cell>
          <cell r="S110">
            <v>106.17454474326726</v>
          </cell>
          <cell r="T110">
            <v>111.48327198043063</v>
          </cell>
        </row>
        <row r="111">
          <cell r="K111" t="str">
            <v>USAConsultingTech34NA</v>
          </cell>
          <cell r="L111" t="str">
            <v>Analyst</v>
          </cell>
          <cell r="M111">
            <v>150.66666666666666</v>
          </cell>
          <cell r="N111">
            <v>96.690550867230641</v>
          </cell>
          <cell r="O111">
            <v>100.30033111063875</v>
          </cell>
          <cell r="P111">
            <v>104.31234435506431</v>
          </cell>
          <cell r="Q111">
            <v>109.52796157281753</v>
          </cell>
          <cell r="R111">
            <v>115.00435965145842</v>
          </cell>
          <cell r="S111">
            <v>120.75457763403134</v>
          </cell>
          <cell r="T111">
            <v>126.7923065157329</v>
          </cell>
        </row>
        <row r="112">
          <cell r="K112" t="str">
            <v>USAConsultingTech50NA</v>
          </cell>
          <cell r="L112" t="str">
            <v>Consultant</v>
          </cell>
          <cell r="M112">
            <v>150.66666666666666</v>
          </cell>
          <cell r="N112">
            <v>74.366711160688922</v>
          </cell>
          <cell r="O112">
            <v>77.143068129465604</v>
          </cell>
          <cell r="P112">
            <v>80.228790854644231</v>
          </cell>
          <cell r="Q112">
            <v>84.24023039737645</v>
          </cell>
          <cell r="R112">
            <v>88.452241917245274</v>
          </cell>
          <cell r="S112">
            <v>92.874854013107537</v>
          </cell>
          <cell r="T112">
            <v>97.518596713762918</v>
          </cell>
        </row>
        <row r="113">
          <cell r="K113" t="str">
            <v>USAConsultingTech51NA</v>
          </cell>
          <cell r="L113" t="str">
            <v>Consultant</v>
          </cell>
          <cell r="M113">
            <v>150.66666666666666</v>
          </cell>
          <cell r="N113">
            <v>82.968857624768034</v>
          </cell>
          <cell r="O113">
            <v>86.066361366196517</v>
          </cell>
          <cell r="P113">
            <v>89.509015820844382</v>
          </cell>
          <cell r="Q113">
            <v>93.984466611886603</v>
          </cell>
          <cell r="R113">
            <v>98.683689942480939</v>
          </cell>
          <cell r="S113">
            <v>103.61787443960499</v>
          </cell>
          <cell r="T113">
            <v>108.79876816158524</v>
          </cell>
        </row>
        <row r="114">
          <cell r="K114" t="str">
            <v>USAConsultingTech52NA</v>
          </cell>
          <cell r="L114" t="str">
            <v>Consultant</v>
          </cell>
          <cell r="M114">
            <v>150.66666666666666</v>
          </cell>
          <cell r="N114">
            <v>92.300199640427564</v>
          </cell>
          <cell r="O114">
            <v>95.746073452669535</v>
          </cell>
          <cell r="P114">
            <v>99.575916390776314</v>
          </cell>
          <cell r="Q114">
            <v>104.55471221031513</v>
          </cell>
          <cell r="R114">
            <v>109.7824478208309</v>
          </cell>
          <cell r="S114">
            <v>115.27157021187244</v>
          </cell>
          <cell r="T114">
            <v>121.03514872246608</v>
          </cell>
        </row>
        <row r="115">
          <cell r="K115" t="str">
            <v>USAConsultingTech53NA</v>
          </cell>
          <cell r="L115" t="str">
            <v>Consultant</v>
          </cell>
          <cell r="M115">
            <v>150.66666666666666</v>
          </cell>
          <cell r="N115">
            <v>102.00029871392387</v>
          </cell>
          <cell r="O115">
            <v>105.80830952590937</v>
          </cell>
          <cell r="P115">
            <v>110.04064190694574</v>
          </cell>
          <cell r="Q115">
            <v>115.54267400229303</v>
          </cell>
          <cell r="R115">
            <v>121.31980770240769</v>
          </cell>
          <cell r="S115">
            <v>127.38579808752807</v>
          </cell>
          <cell r="T115">
            <v>133.75508799190447</v>
          </cell>
        </row>
        <row r="116">
          <cell r="K116" t="str">
            <v>USAConsultingTech54NA</v>
          </cell>
          <cell r="L116" t="str">
            <v>Consultant</v>
          </cell>
          <cell r="M116">
            <v>150.66666666666666</v>
          </cell>
          <cell r="N116">
            <v>112.00614896686962</v>
          </cell>
          <cell r="O116">
            <v>116.18771148827892</v>
          </cell>
          <cell r="P116">
            <v>120.83521994781009</v>
          </cell>
          <cell r="Q116">
            <v>126.8769809452006</v>
          </cell>
          <cell r="R116">
            <v>133.22082999246064</v>
          </cell>
          <cell r="S116">
            <v>139.88187149208366</v>
          </cell>
          <cell r="T116">
            <v>146.87596506668785</v>
          </cell>
        </row>
        <row r="117">
          <cell r="K117" t="str">
            <v>USAConsultingTech55NA</v>
          </cell>
          <cell r="L117" t="str">
            <v>Consultant</v>
          </cell>
          <cell r="M117">
            <v>150.66666666666666</v>
          </cell>
          <cell r="N117">
            <v>129.44439300965075</v>
          </cell>
          <cell r="O117">
            <v>134.27698325052975</v>
          </cell>
          <cell r="P117">
            <v>139.64806258055094</v>
          </cell>
          <cell r="Q117">
            <v>146.63046570957849</v>
          </cell>
          <cell r="R117">
            <v>153.96198899505742</v>
          </cell>
          <cell r="S117">
            <v>161.6600884448103</v>
          </cell>
          <cell r="T117">
            <v>169.74309286705082</v>
          </cell>
        </row>
        <row r="118">
          <cell r="K118" t="str">
            <v>USAConsultingTech60NA</v>
          </cell>
          <cell r="L118" t="str">
            <v>Manager</v>
          </cell>
          <cell r="M118">
            <v>149.33333333333334</v>
          </cell>
          <cell r="N118">
            <v>105.48665552835402</v>
          </cell>
          <cell r="O118">
            <v>109.4248236497904</v>
          </cell>
          <cell r="P118">
            <v>113.80181659578201</v>
          </cell>
          <cell r="Q118">
            <v>119.49190742557111</v>
          </cell>
          <cell r="R118">
            <v>125.46650279684968</v>
          </cell>
          <cell r="S118">
            <v>131.73982793669217</v>
          </cell>
          <cell r="T118">
            <v>138.32681933352677</v>
          </cell>
        </row>
        <row r="119">
          <cell r="K119" t="str">
            <v>USAConsultingTech61NA</v>
          </cell>
          <cell r="L119" t="str">
            <v>Manager</v>
          </cell>
          <cell r="M119">
            <v>149.33333333333334</v>
          </cell>
          <cell r="N119">
            <v>124.00519247497158</v>
          </cell>
          <cell r="O119">
            <v>128.63471924735322</v>
          </cell>
          <cell r="P119">
            <v>133.78010801724736</v>
          </cell>
          <cell r="Q119">
            <v>140.46911341810974</v>
          </cell>
          <cell r="R119">
            <v>147.49256908901523</v>
          </cell>
          <cell r="S119">
            <v>154.86719754346601</v>
          </cell>
          <cell r="T119">
            <v>162.61055742063931</v>
          </cell>
        </row>
        <row r="120">
          <cell r="K120" t="str">
            <v>USAConsultingTech62NA</v>
          </cell>
          <cell r="L120" t="str">
            <v>Manager</v>
          </cell>
          <cell r="M120">
            <v>149.33333333333334</v>
          </cell>
          <cell r="N120">
            <v>141.12246298433962</v>
          </cell>
          <cell r="O120">
            <v>146.39103446534676</v>
          </cell>
          <cell r="P120">
            <v>152.24667584396065</v>
          </cell>
          <cell r="Q120">
            <v>159.85900963615867</v>
          </cell>
          <cell r="R120">
            <v>167.85196011796663</v>
          </cell>
          <cell r="S120">
            <v>176.24455812386498</v>
          </cell>
          <cell r="T120">
            <v>185.05678603005822</v>
          </cell>
        </row>
        <row r="121">
          <cell r="K121" t="str">
            <v>USAConsultingTech63NA</v>
          </cell>
          <cell r="L121" t="str">
            <v>Manager</v>
          </cell>
          <cell r="M121">
            <v>149.33333333333334</v>
          </cell>
          <cell r="N121">
            <v>155.3639111643048</v>
          </cell>
          <cell r="O121">
            <v>161.16416332989249</v>
          </cell>
          <cell r="P121">
            <v>167.61072986308818</v>
          </cell>
          <cell r="Q121">
            <v>175.99126635624259</v>
          </cell>
          <cell r="R121">
            <v>184.79082967405472</v>
          </cell>
          <cell r="S121">
            <v>194.03037115775746</v>
          </cell>
          <cell r="T121">
            <v>203.73188971564534</v>
          </cell>
        </row>
        <row r="122">
          <cell r="K122" t="str">
            <v>USAConsultingTech64NA</v>
          </cell>
          <cell r="L122" t="str">
            <v>Manager</v>
          </cell>
          <cell r="M122">
            <v>149.33333333333334</v>
          </cell>
          <cell r="N122">
            <v>163.36073804921409</v>
          </cell>
          <cell r="O122">
            <v>169.45953839184898</v>
          </cell>
          <cell r="P122">
            <v>176.23791992752294</v>
          </cell>
          <cell r="Q122">
            <v>185.0498159238991</v>
          </cell>
          <cell r="R122">
            <v>194.30230672009407</v>
          </cell>
          <cell r="S122">
            <v>204.01742205609878</v>
          </cell>
          <cell r="T122">
            <v>214.21829315890372</v>
          </cell>
        </row>
        <row r="123">
          <cell r="K123" t="str">
            <v>USAConsultingTech65NA</v>
          </cell>
          <cell r="L123" t="str">
            <v>Manager</v>
          </cell>
          <cell r="M123">
            <v>149.33333333333334</v>
          </cell>
          <cell r="N123">
            <v>174.45862690419455</v>
          </cell>
          <cell r="O123">
            <v>180.97174839375572</v>
          </cell>
          <cell r="P123">
            <v>188.21061832950596</v>
          </cell>
          <cell r="Q123">
            <v>197.62114924598126</v>
          </cell>
          <cell r="R123">
            <v>207.50220670828034</v>
          </cell>
          <cell r="S123">
            <v>217.87731704369438</v>
          </cell>
          <cell r="T123">
            <v>228.77118289587909</v>
          </cell>
        </row>
        <row r="124">
          <cell r="K124" t="str">
            <v>USAConsultingTech66NA</v>
          </cell>
          <cell r="L124" t="str">
            <v>Manager</v>
          </cell>
          <cell r="M124">
            <v>149.33333333333334</v>
          </cell>
          <cell r="N124">
            <v>189.62874409169501</v>
          </cell>
          <cell r="O124">
            <v>196.70821657235581</v>
          </cell>
          <cell r="P124">
            <v>204.57654523525005</v>
          </cell>
          <cell r="Q124">
            <v>214.80537249701257</v>
          </cell>
          <cell r="R124">
            <v>225.54564112186321</v>
          </cell>
          <cell r="S124">
            <v>236.8229231779564</v>
          </cell>
          <cell r="T124">
            <v>248.66406933685423</v>
          </cell>
        </row>
        <row r="125">
          <cell r="K125" t="str">
            <v>USAConsultingTech80NA</v>
          </cell>
          <cell r="L125" t="str">
            <v>Sr. Executive</v>
          </cell>
          <cell r="M125">
            <v>149.33333333333334</v>
          </cell>
          <cell r="N125">
            <v>207.23328993580557</v>
          </cell>
          <cell r="O125">
            <v>214.96999873596468</v>
          </cell>
          <cell r="P125">
            <v>223.56879868540327</v>
          </cell>
          <cell r="Q125">
            <v>234.74723861967342</v>
          </cell>
          <cell r="R125">
            <v>246.48460055065712</v>
          </cell>
          <cell r="S125">
            <v>258.80883057819</v>
          </cell>
          <cell r="T125">
            <v>271.7492721070995</v>
          </cell>
        </row>
        <row r="126">
          <cell r="K126" t="str">
            <v>USAConsultingTech81NA</v>
          </cell>
          <cell r="L126" t="str">
            <v>Sr. Executive</v>
          </cell>
          <cell r="M126">
            <v>149.33333333333334</v>
          </cell>
          <cell r="N126">
            <v>231.05972400036615</v>
          </cell>
          <cell r="O126">
            <v>239.68595292618076</v>
          </cell>
          <cell r="P126">
            <v>249.273391043228</v>
          </cell>
          <cell r="Q126">
            <v>261.73706059538944</v>
          </cell>
          <cell r="R126">
            <v>274.82391362515892</v>
          </cell>
          <cell r="S126">
            <v>288.5651093064169</v>
          </cell>
          <cell r="T126">
            <v>302.99336477173773</v>
          </cell>
        </row>
        <row r="127">
          <cell r="K127" t="str">
            <v>USAConsultingTech82NA</v>
          </cell>
          <cell r="L127" t="str">
            <v>Sr. Executive</v>
          </cell>
          <cell r="M127">
            <v>149.33333333333334</v>
          </cell>
          <cell r="N127">
            <v>253.29952607865266</v>
          </cell>
          <cell r="O127">
            <v>262.75604087459061</v>
          </cell>
          <cell r="P127">
            <v>273.26628250957424</v>
          </cell>
          <cell r="Q127">
            <v>286.92959663505297</v>
          </cell>
          <cell r="R127">
            <v>301.27607646680565</v>
          </cell>
          <cell r="S127">
            <v>316.33988029014597</v>
          </cell>
          <cell r="T127">
            <v>332.15687430465329</v>
          </cell>
        </row>
        <row r="128">
          <cell r="K128" t="str">
            <v>USAConsultingTech83NA</v>
          </cell>
          <cell r="L128" t="str">
            <v>Sr. Executive</v>
          </cell>
          <cell r="M128">
            <v>149.33333333333334</v>
          </cell>
          <cell r="N128">
            <v>278.28264075219971</v>
          </cell>
          <cell r="O128">
            <v>288.67185841267303</v>
          </cell>
          <cell r="P128">
            <v>300.21873274917999</v>
          </cell>
          <cell r="Q128">
            <v>315.22966938663899</v>
          </cell>
          <cell r="R128">
            <v>330.99115285597094</v>
          </cell>
          <cell r="S128">
            <v>347.5407104987695</v>
          </cell>
          <cell r="T128">
            <v>364.91774602370799</v>
          </cell>
        </row>
        <row r="129">
          <cell r="K129" t="str">
            <v>USAConsultingTech84NA</v>
          </cell>
          <cell r="L129" t="str">
            <v>Sr. Executive</v>
          </cell>
          <cell r="M129">
            <v>149.33333333333334</v>
          </cell>
          <cell r="N129">
            <v>307.62102572935612</v>
          </cell>
          <cell r="O129">
            <v>319.10554299784866</v>
          </cell>
          <cell r="P129">
            <v>331.86976471776262</v>
          </cell>
          <cell r="Q129">
            <v>348.46325295365079</v>
          </cell>
          <cell r="R129">
            <v>365.88641560133334</v>
          </cell>
          <cell r="S129">
            <v>384.18073638140004</v>
          </cell>
          <cell r="T129">
            <v>403.38977320047007</v>
          </cell>
        </row>
        <row r="130">
          <cell r="K130" t="str">
            <v>USAConsultingTech85NA</v>
          </cell>
          <cell r="L130" t="str">
            <v>Sr. Executive</v>
          </cell>
          <cell r="M130">
            <v>149.33333333333334</v>
          </cell>
          <cell r="N130">
            <v>325.56046954585713</v>
          </cell>
          <cell r="O130">
            <v>337.71472599036758</v>
          </cell>
          <cell r="P130">
            <v>351.2233150299823</v>
          </cell>
          <cell r="Q130">
            <v>368.78448078148142</v>
          </cell>
          <cell r="R130">
            <v>387.2237048205555</v>
          </cell>
          <cell r="S130">
            <v>406.58489006158328</v>
          </cell>
          <cell r="T130">
            <v>426.91413456466245</v>
          </cell>
        </row>
        <row r="131">
          <cell r="K131" t="str">
            <v>USAConsultingTech86NA</v>
          </cell>
          <cell r="L131" t="str">
            <v>Sr. Executive</v>
          </cell>
          <cell r="M131">
            <v>149.33333333333334</v>
          </cell>
          <cell r="N131">
            <v>354.09075893026147</v>
          </cell>
          <cell r="O131">
            <v>367.31014608335539</v>
          </cell>
          <cell r="P131">
            <v>382.00255192668965</v>
          </cell>
          <cell r="Q131">
            <v>401.10267952302416</v>
          </cell>
          <cell r="R131">
            <v>421.1578134991754</v>
          </cell>
          <cell r="S131">
            <v>442.2157041741342</v>
          </cell>
          <cell r="T131">
            <v>464.32648938284092</v>
          </cell>
        </row>
        <row r="132">
          <cell r="K132" t="str">
            <v>USAConsultingTech87NA</v>
          </cell>
          <cell r="L132" t="str">
            <v>Sr. Executive</v>
          </cell>
          <cell r="M132">
            <v>149.33333333333334</v>
          </cell>
          <cell r="N132">
            <v>374.52114374184839</v>
          </cell>
          <cell r="O132">
            <v>388.50326519314029</v>
          </cell>
          <cell r="P132">
            <v>404.04339580086594</v>
          </cell>
          <cell r="Q132">
            <v>424.24556559090928</v>
          </cell>
          <cell r="R132">
            <v>445.45784387045478</v>
          </cell>
          <cell r="S132">
            <v>467.73073606397753</v>
          </cell>
          <cell r="T132">
            <v>491.11727286717644</v>
          </cell>
        </row>
        <row r="133">
          <cell r="K133" t="str">
            <v>USAConsultingTech88NA</v>
          </cell>
          <cell r="L133" t="str">
            <v>Sr. Executive</v>
          </cell>
          <cell r="M133">
            <v>149.33333333333334</v>
          </cell>
          <cell r="N133">
            <v>413.01019107221913</v>
          </cell>
          <cell r="O133">
            <v>428.42923682888136</v>
          </cell>
          <cell r="P133">
            <v>445.56640630203663</v>
          </cell>
          <cell r="Q133">
            <v>467.84472661713846</v>
          </cell>
          <cell r="R133">
            <v>491.23696294799538</v>
          </cell>
          <cell r="S133">
            <v>515.79881109539519</v>
          </cell>
          <cell r="T133">
            <v>541.58875165016502</v>
          </cell>
        </row>
        <row r="134">
          <cell r="K134" t="str">
            <v>USAConsultingTech89NA</v>
          </cell>
          <cell r="L134" t="str">
            <v>Sr. Executive</v>
          </cell>
          <cell r="M134">
            <v>149.33333333333334</v>
          </cell>
          <cell r="N134">
            <v>453.81676338156552</v>
          </cell>
          <cell r="O134">
            <v>470.75925436842147</v>
          </cell>
          <cell r="P134">
            <v>489.58962454315832</v>
          </cell>
          <cell r="Q134">
            <v>514.06910577031624</v>
          </cell>
          <cell r="R134">
            <v>539.77256105883203</v>
          </cell>
          <cell r="S134">
            <v>566.76118911177366</v>
          </cell>
          <cell r="T134">
            <v>595.09924856736234</v>
          </cell>
        </row>
        <row r="135">
          <cell r="K135" t="str">
            <v>USAConsultingTech90NA</v>
          </cell>
          <cell r="L135" t="str">
            <v>Sr. Executive</v>
          </cell>
          <cell r="M135">
            <v>149.33333333333334</v>
          </cell>
          <cell r="N135">
            <v>565.56600022773762</v>
          </cell>
          <cell r="O135">
            <v>586.68046235101986</v>
          </cell>
          <cell r="P135">
            <v>610.14768084506068</v>
          </cell>
          <cell r="Q135">
            <v>640.65506488731376</v>
          </cell>
          <cell r="R135">
            <v>672.68781813167948</v>
          </cell>
          <cell r="S135">
            <v>706.32220903826351</v>
          </cell>
          <cell r="T135">
            <v>741.63831949017674</v>
          </cell>
        </row>
        <row r="136">
          <cell r="K136" t="str">
            <v>USAConsultingTech91NA</v>
          </cell>
          <cell r="L136" t="str">
            <v>Sr. Executive</v>
          </cell>
          <cell r="M136">
            <v>149.33333333333334</v>
          </cell>
          <cell r="N136">
            <v>740.21308028177725</v>
          </cell>
          <cell r="O136">
            <v>767.84769947825339</v>
          </cell>
          <cell r="P136">
            <v>798.5616074573835</v>
          </cell>
          <cell r="Q136">
            <v>838.48968783025271</v>
          </cell>
          <cell r="R136">
            <v>880.4141722217654</v>
          </cell>
          <cell r="S136">
            <v>924.43488083285365</v>
          </cell>
          <cell r="T136">
            <v>970.6566248744964</v>
          </cell>
        </row>
        <row r="137">
          <cell r="K137" t="str">
            <v>USAConsultingTech92NA</v>
          </cell>
          <cell r="L137" t="str">
            <v>Sr. Executive</v>
          </cell>
          <cell r="M137">
            <v>149.33333333333334</v>
          </cell>
          <cell r="N137">
            <v>925.56247776193618</v>
          </cell>
          <cell r="O137">
            <v>960.11680717984029</v>
          </cell>
          <cell r="P137">
            <v>998.52147946703394</v>
          </cell>
          <cell r="Q137">
            <v>1048.4475534403857</v>
          </cell>
          <cell r="R137">
            <v>1100.8699311124051</v>
          </cell>
          <cell r="S137">
            <v>1155.9134276680254</v>
          </cell>
          <cell r="T137">
            <v>1213.7090990514266</v>
          </cell>
        </row>
        <row r="138">
          <cell r="K138" t="str">
            <v>USAConsultingTech93NA</v>
          </cell>
          <cell r="L138" t="str">
            <v>Sr. Executive</v>
          </cell>
          <cell r="M138">
            <v>149.33333333333334</v>
          </cell>
          <cell r="N138">
            <v>1270.3945220061421</v>
          </cell>
          <cell r="O138">
            <v>1317.8225799263898</v>
          </cell>
          <cell r="P138">
            <v>1370.5354831234454</v>
          </cell>
          <cell r="Q138">
            <v>1439.0622572796176</v>
          </cell>
          <cell r="R138">
            <v>1511.0153701435986</v>
          </cell>
          <cell r="S138">
            <v>1586.5661386507786</v>
          </cell>
          <cell r="T138">
            <v>1665.8944455833175</v>
          </cell>
        </row>
        <row r="139">
          <cell r="K139" t="str">
            <v>USAConsultingTech94NA</v>
          </cell>
          <cell r="L139" t="str">
            <v>Sr. Executive</v>
          </cell>
          <cell r="M139">
            <v>149.33333333333334</v>
          </cell>
          <cell r="N139">
            <v>2818.3236577334869</v>
          </cell>
          <cell r="O139">
            <v>2923.5410648944585</v>
          </cell>
          <cell r="P139">
            <v>3040.4827074902369</v>
          </cell>
          <cell r="Q139">
            <v>3192.5068428647487</v>
          </cell>
          <cell r="R139">
            <v>3352.1321850079862</v>
          </cell>
          <cell r="S139">
            <v>3519.7387942583855</v>
          </cell>
          <cell r="T139">
            <v>3695.7257339713051</v>
          </cell>
        </row>
        <row r="140">
          <cell r="K140" t="str">
            <v>USAConsultingTech95NA</v>
          </cell>
          <cell r="L140" t="str">
            <v>Sr. Executive</v>
          </cell>
          <cell r="M140">
            <v>149.33333333333334</v>
          </cell>
          <cell r="N140">
            <v>3191.8378807396248</v>
          </cell>
          <cell r="O140">
            <v>3310.9998176477779</v>
          </cell>
          <cell r="P140">
            <v>3443.4398103536892</v>
          </cell>
          <cell r="Q140">
            <v>3615.6118008713738</v>
          </cell>
          <cell r="R140">
            <v>3796.3923909149426</v>
          </cell>
          <cell r="S140">
            <v>3986.2120104606897</v>
          </cell>
          <cell r="T140">
            <v>4185.522610983724</v>
          </cell>
        </row>
        <row r="141">
          <cell r="K141" t="str">
            <v>USAConsultingTech96NA</v>
          </cell>
          <cell r="L141" t="str">
            <v>Sr. Executive</v>
          </cell>
          <cell r="M141">
            <v>149.33333333333334</v>
          </cell>
          <cell r="N141">
            <v>3565.3521037457622</v>
          </cell>
          <cell r="O141">
            <v>3698.4585704010969</v>
          </cell>
          <cell r="P141">
            <v>3846.396913217141</v>
          </cell>
          <cell r="Q141">
            <v>4038.716758877998</v>
          </cell>
          <cell r="R141">
            <v>4240.6525968218984</v>
          </cell>
          <cell r="S141">
            <v>4452.685226662994</v>
          </cell>
          <cell r="T141">
            <v>4675.3194879961438</v>
          </cell>
        </row>
        <row r="142">
          <cell r="K142" t="str">
            <v>USAConsultingTech97NA</v>
          </cell>
          <cell r="L142" t="str">
            <v>Sr. Executive</v>
          </cell>
          <cell r="M142">
            <v>149.33333333333334</v>
          </cell>
          <cell r="N142">
            <v>3938.8663267518996</v>
          </cell>
          <cell r="O142">
            <v>4085.9173231544164</v>
          </cell>
          <cell r="P142">
            <v>4249.3540160805933</v>
          </cell>
          <cell r="Q142">
            <v>4461.8217168846231</v>
          </cell>
          <cell r="R142">
            <v>4684.9128027288543</v>
          </cell>
          <cell r="S142">
            <v>4919.1584428652968</v>
          </cell>
          <cell r="T142">
            <v>5165.1163650085618</v>
          </cell>
        </row>
        <row r="143">
          <cell r="K143" t="str">
            <v>USAConsultingTech98NA</v>
          </cell>
          <cell r="L143" t="str">
            <v>Sr. Executive</v>
          </cell>
          <cell r="M143">
            <v>149.33333333333334</v>
          </cell>
          <cell r="N143">
            <v>4312.3810166508147</v>
          </cell>
          <cell r="O143">
            <v>4473.3765602311751</v>
          </cell>
          <cell r="P143">
            <v>4652.3116226404218</v>
          </cell>
          <cell r="Q143">
            <v>4884.9272037724431</v>
          </cell>
          <cell r="R143">
            <v>5129.1735639610652</v>
          </cell>
          <cell r="S143">
            <v>5385.6322421591185</v>
          </cell>
          <cell r="T143">
            <v>5654.9138542670744</v>
          </cell>
        </row>
        <row r="144">
          <cell r="K144" t="str">
            <v>USAConsultingTech67NA</v>
          </cell>
          <cell r="L144" t="str">
            <v>Sr. Manager</v>
          </cell>
          <cell r="M144">
            <v>149.33333333333334</v>
          </cell>
          <cell r="N144">
            <v>144.71694149248799</v>
          </cell>
          <cell r="O144">
            <v>150.11970682581776</v>
          </cell>
          <cell r="P144">
            <v>156.12449509885047</v>
          </cell>
          <cell r="Q144">
            <v>163.93071985379299</v>
          </cell>
          <cell r="R144">
            <v>172.12725584648265</v>
          </cell>
          <cell r="S144">
            <v>180.7336186388068</v>
          </cell>
          <cell r="T144">
            <v>189.77029957074714</v>
          </cell>
        </row>
        <row r="145">
          <cell r="K145" t="str">
            <v>USAConsultingTech68NA</v>
          </cell>
          <cell r="L145" t="str">
            <v>Sr. Manager</v>
          </cell>
          <cell r="M145">
            <v>149.33333333333334</v>
          </cell>
          <cell r="N145">
            <v>168.08528660719037</v>
          </cell>
          <cell r="O145">
            <v>174.36047008024119</v>
          </cell>
          <cell r="P145">
            <v>181.33488888345084</v>
          </cell>
          <cell r="Q145">
            <v>190.40163332762339</v>
          </cell>
          <cell r="R145">
            <v>199.92171499400456</v>
          </cell>
          <cell r="S145">
            <v>209.91780074370479</v>
          </cell>
          <cell r="T145">
            <v>220.41369078089005</v>
          </cell>
        </row>
        <row r="146">
          <cell r="K146" t="str">
            <v>USAConsultingTech69NA</v>
          </cell>
          <cell r="L146" t="str">
            <v>Sr. Manager</v>
          </cell>
          <cell r="M146">
            <v>149.33333333333334</v>
          </cell>
          <cell r="N146">
            <v>191.9181622827634</v>
          </cell>
          <cell r="O146">
            <v>199.08310636825937</v>
          </cell>
          <cell r="P146">
            <v>207.04643062298976</v>
          </cell>
          <cell r="Q146">
            <v>217.39875215413926</v>
          </cell>
          <cell r="R146">
            <v>228.26868976184622</v>
          </cell>
          <cell r="S146">
            <v>239.68212424993854</v>
          </cell>
          <cell r="T146">
            <v>251.66623046243546</v>
          </cell>
        </row>
        <row r="147">
          <cell r="K147" t="str">
            <v>USAConsultingTech70NA</v>
          </cell>
          <cell r="L147" t="str">
            <v>Sr. Manager</v>
          </cell>
          <cell r="M147">
            <v>149.33333333333334</v>
          </cell>
          <cell r="N147">
            <v>225.08397726634098</v>
          </cell>
          <cell r="O147">
            <v>233.48711166733779</v>
          </cell>
          <cell r="P147">
            <v>242.82659613403129</v>
          </cell>
          <cell r="Q147">
            <v>254.96792594073287</v>
          </cell>
          <cell r="R147">
            <v>267.71632223776953</v>
          </cell>
          <cell r="S147">
            <v>281.10213834965805</v>
          </cell>
          <cell r="T147">
            <v>295.15724526714098</v>
          </cell>
        </row>
        <row r="148">
          <cell r="K148" t="str">
            <v>USAConsultingTech71NA</v>
          </cell>
          <cell r="L148" t="str">
            <v>Sr. Manager</v>
          </cell>
          <cell r="M148">
            <v>149.33333333333334</v>
          </cell>
          <cell r="N148">
            <v>278.62749485800765</v>
          </cell>
          <cell r="O148">
            <v>289.02958707061498</v>
          </cell>
          <cell r="P148">
            <v>300.5907705534396</v>
          </cell>
          <cell r="Q148">
            <v>315.6203090811116</v>
          </cell>
          <cell r="R148">
            <v>331.40132453516719</v>
          </cell>
          <cell r="S148">
            <v>347.97139076192559</v>
          </cell>
          <cell r="T148">
            <v>365.36996030002189</v>
          </cell>
        </row>
        <row r="149">
          <cell r="K149" t="str">
            <v>USAConsultingTech72NA</v>
          </cell>
          <cell r="L149" t="str">
            <v>Sr. Manager</v>
          </cell>
          <cell r="M149">
            <v>149.33333333333334</v>
          </cell>
          <cell r="N149">
            <v>358.27780684029904</v>
          </cell>
          <cell r="O149">
            <v>371.65351043474419</v>
          </cell>
          <cell r="P149">
            <v>386.51965085213396</v>
          </cell>
          <cell r="Q149">
            <v>405.84563339474067</v>
          </cell>
          <cell r="R149">
            <v>426.13791506447774</v>
          </cell>
          <cell r="S149">
            <v>447.44481081770164</v>
          </cell>
          <cell r="T149">
            <v>469.81705135858675</v>
          </cell>
        </row>
        <row r="150">
          <cell r="K150" t="str">
            <v>USAEnterpriseFederal ENT30NA</v>
          </cell>
          <cell r="L150" t="str">
            <v>Analyst</v>
          </cell>
          <cell r="M150">
            <v>153.5</v>
          </cell>
          <cell r="N150">
            <v>47.86170882490935</v>
          </cell>
          <cell r="O150">
            <v>49.297560089656635</v>
          </cell>
          <cell r="P150">
            <v>50.776486892346334</v>
          </cell>
          <cell r="Q150">
            <v>52.299781499116726</v>
          </cell>
          <cell r="R150">
            <v>53.868774944090227</v>
          </cell>
          <cell r="S150">
            <v>55.484838192412937</v>
          </cell>
          <cell r="T150">
            <v>57.149383338185324</v>
          </cell>
        </row>
        <row r="151">
          <cell r="K151" t="str">
            <v>USAEnterpriseFederal ENT31NA</v>
          </cell>
          <cell r="L151" t="str">
            <v>Analyst</v>
          </cell>
          <cell r="M151">
            <v>153.5</v>
          </cell>
          <cell r="N151">
            <v>53.625669084684453</v>
          </cell>
          <cell r="O151">
            <v>55.23443915722499</v>
          </cell>
          <cell r="P151">
            <v>56.891472331941742</v>
          </cell>
          <cell r="Q151">
            <v>58.598216501899998</v>
          </cell>
          <cell r="R151">
            <v>60.356162996956996</v>
          </cell>
          <cell r="S151">
            <v>62.16684788686571</v>
          </cell>
          <cell r="T151">
            <v>64.03185332347168</v>
          </cell>
        </row>
        <row r="152">
          <cell r="K152" t="str">
            <v>USAEnterpriseFederal ENT32NA</v>
          </cell>
          <cell r="L152" t="str">
            <v>Analyst</v>
          </cell>
          <cell r="M152">
            <v>153.5</v>
          </cell>
          <cell r="N152">
            <v>58.869981575530204</v>
          </cell>
          <cell r="O152">
            <v>60.636081022796112</v>
          </cell>
          <cell r="P152">
            <v>62.455163453479997</v>
          </cell>
          <cell r="Q152">
            <v>64.328818357084401</v>
          </cell>
          <cell r="R152">
            <v>66.258682907796938</v>
          </cell>
          <cell r="S152">
            <v>68.246443395030852</v>
          </cell>
          <cell r="T152">
            <v>70.293836696881783</v>
          </cell>
        </row>
        <row r="153">
          <cell r="K153" t="str">
            <v>USAEnterpriseFederal ENT33NA</v>
          </cell>
          <cell r="L153" t="str">
            <v>Analyst</v>
          </cell>
          <cell r="M153">
            <v>153.5</v>
          </cell>
          <cell r="N153">
            <v>65.856248150730309</v>
          </cell>
          <cell r="O153">
            <v>67.831935595252219</v>
          </cell>
          <cell r="P153">
            <v>69.866893663109792</v>
          </cell>
          <cell r="Q153">
            <v>71.962900473003089</v>
          </cell>
          <cell r="R153">
            <v>74.121787487193188</v>
          </cell>
          <cell r="S153">
            <v>76.345441111808981</v>
          </cell>
          <cell r="T153">
            <v>78.635804345163251</v>
          </cell>
        </row>
        <row r="154">
          <cell r="K154" t="str">
            <v>USAEnterpriseFederal ENT22NA</v>
          </cell>
          <cell r="L154" t="str">
            <v>Assistant</v>
          </cell>
          <cell r="M154">
            <v>153.5</v>
          </cell>
          <cell r="N154">
            <v>36.625683448184404</v>
          </cell>
          <cell r="O154">
            <v>37.72445395162994</v>
          </cell>
          <cell r="P154">
            <v>38.85618757017884</v>
          </cell>
          <cell r="Q154">
            <v>40.021873197284208</v>
          </cell>
          <cell r="R154">
            <v>41.222529393202734</v>
          </cell>
          <cell r="S154">
            <v>42.459205274998816</v>
          </cell>
          <cell r="T154">
            <v>43.732981433248781</v>
          </cell>
        </row>
        <row r="155">
          <cell r="K155" t="str">
            <v>USAEnterpriseFederal ENT23NA</v>
          </cell>
          <cell r="L155" t="str">
            <v>Assistant</v>
          </cell>
          <cell r="M155">
            <v>153.5</v>
          </cell>
          <cell r="N155">
            <v>41.860833885438751</v>
          </cell>
          <cell r="O155">
            <v>43.116658902001916</v>
          </cell>
          <cell r="P155">
            <v>44.410158669061971</v>
          </cell>
          <cell r="Q155">
            <v>45.742463429133835</v>
          </cell>
          <cell r="R155">
            <v>47.114737332007849</v>
          </cell>
          <cell r="S155">
            <v>48.528179451968086</v>
          </cell>
          <cell r="T155">
            <v>49.98402483552713</v>
          </cell>
        </row>
        <row r="156">
          <cell r="K156" t="str">
            <v>USAEnterpriseFederal ENT24NA</v>
          </cell>
          <cell r="L156" t="str">
            <v>Assistant</v>
          </cell>
          <cell r="M156">
            <v>153.5</v>
          </cell>
          <cell r="N156">
            <v>47.144827780421402</v>
          </cell>
          <cell r="O156">
            <v>48.559172613834043</v>
          </cell>
          <cell r="P156">
            <v>50.015947792249065</v>
          </cell>
          <cell r="Q156">
            <v>51.516426226016542</v>
          </cell>
          <cell r="R156">
            <v>53.061919012797041</v>
          </cell>
          <cell r="S156">
            <v>54.653776583180957</v>
          </cell>
          <cell r="T156">
            <v>56.293389880676386</v>
          </cell>
        </row>
        <row r="157">
          <cell r="K157" t="str">
            <v>USAEnterpriseFederal ENT60NA</v>
          </cell>
          <cell r="L157" t="str">
            <v>Manager</v>
          </cell>
          <cell r="M157">
            <v>153.5</v>
          </cell>
          <cell r="N157">
            <v>103.14783129889035</v>
          </cell>
          <cell r="O157">
            <v>106.24226623785707</v>
          </cell>
          <cell r="P157">
            <v>109.42953422499278</v>
          </cell>
          <cell r="Q157">
            <v>112.71242025174257</v>
          </cell>
          <cell r="R157">
            <v>116.09379285929485</v>
          </cell>
          <cell r="S157">
            <v>119.5766066450737</v>
          </cell>
          <cell r="T157">
            <v>123.16390484442591</v>
          </cell>
        </row>
        <row r="158">
          <cell r="K158" t="str">
            <v>USAEnterpriseFederal ENT61NA</v>
          </cell>
          <cell r="L158" t="str">
            <v>Manager</v>
          </cell>
          <cell r="M158">
            <v>153.5</v>
          </cell>
          <cell r="N158">
            <v>115.61231584811476</v>
          </cell>
          <cell r="O158">
            <v>119.08068532355821</v>
          </cell>
          <cell r="P158">
            <v>122.65310588326497</v>
          </cell>
          <cell r="Q158">
            <v>126.33269905976292</v>
          </cell>
          <cell r="R158">
            <v>130.1226800315558</v>
          </cell>
          <cell r="S158">
            <v>134.02636043250249</v>
          </cell>
          <cell r="T158">
            <v>138.04715124547755</v>
          </cell>
        </row>
        <row r="159">
          <cell r="K159" t="str">
            <v>USAEnterpriseFederal ENT62NA</v>
          </cell>
          <cell r="L159" t="str">
            <v>Manager</v>
          </cell>
          <cell r="M159">
            <v>153.5</v>
          </cell>
          <cell r="N159">
            <v>126.8134934745456</v>
          </cell>
          <cell r="O159">
            <v>130.61789827878198</v>
          </cell>
          <cell r="P159">
            <v>134.53643522714543</v>
          </cell>
          <cell r="Q159">
            <v>138.5725282839598</v>
          </cell>
          <cell r="R159">
            <v>142.72970413247859</v>
          </cell>
          <cell r="S159">
            <v>147.01159525645295</v>
          </cell>
          <cell r="T159">
            <v>151.42194311414653</v>
          </cell>
        </row>
        <row r="160">
          <cell r="K160" t="str">
            <v>USAEnterpriseFederal ENT63NA</v>
          </cell>
          <cell r="L160" t="str">
            <v>Manager</v>
          </cell>
          <cell r="M160">
            <v>153.5</v>
          </cell>
          <cell r="N160">
            <v>140.94951911843671</v>
          </cell>
          <cell r="O160">
            <v>145.17800469198983</v>
          </cell>
          <cell r="P160">
            <v>149.53334483274952</v>
          </cell>
          <cell r="Q160">
            <v>154.01934517773202</v>
          </cell>
          <cell r="R160">
            <v>158.63992553306397</v>
          </cell>
          <cell r="S160">
            <v>163.3991232990559</v>
          </cell>
          <cell r="T160">
            <v>168.30109699802759</v>
          </cell>
        </row>
        <row r="161">
          <cell r="K161" t="str">
            <v>USAEnterpriseFederal ENT64NA</v>
          </cell>
          <cell r="L161" t="str">
            <v>Manager</v>
          </cell>
          <cell r="M161">
            <v>153.5</v>
          </cell>
          <cell r="N161">
            <v>160.72533731537462</v>
          </cell>
          <cell r="O161">
            <v>165.54709743483585</v>
          </cell>
          <cell r="P161">
            <v>170.51351035788093</v>
          </cell>
          <cell r="Q161">
            <v>175.62891566861737</v>
          </cell>
          <cell r="R161">
            <v>180.89778313867589</v>
          </cell>
          <cell r="S161">
            <v>186.32471663283619</v>
          </cell>
          <cell r="T161">
            <v>191.91445813182128</v>
          </cell>
        </row>
        <row r="162">
          <cell r="K162" t="str">
            <v>USAEnterpriseFederal ENT50NA</v>
          </cell>
          <cell r="L162" t="str">
            <v>Specialist</v>
          </cell>
          <cell r="M162">
            <v>153.5</v>
          </cell>
          <cell r="N162">
            <v>69.750606550785761</v>
          </cell>
          <cell r="O162">
            <v>71.843124747309332</v>
          </cell>
          <cell r="P162">
            <v>73.998418489728607</v>
          </cell>
          <cell r="Q162">
            <v>76.218371044420465</v>
          </cell>
          <cell r="R162">
            <v>78.50492217575308</v>
          </cell>
          <cell r="S162">
            <v>80.860069841025677</v>
          </cell>
          <cell r="T162">
            <v>83.285871936256456</v>
          </cell>
        </row>
        <row r="163">
          <cell r="K163" t="str">
            <v>USAEnterpriseFederal ENT51NA</v>
          </cell>
          <cell r="L163" t="str">
            <v>Specialist</v>
          </cell>
          <cell r="M163">
            <v>153.5</v>
          </cell>
          <cell r="N163">
            <v>80.807179043324695</v>
          </cell>
          <cell r="O163">
            <v>83.231394414624432</v>
          </cell>
          <cell r="P163">
            <v>85.728336247063169</v>
          </cell>
          <cell r="Q163">
            <v>88.300186334475072</v>
          </cell>
          <cell r="R163">
            <v>90.949191924509321</v>
          </cell>
          <cell r="S163">
            <v>93.677667682244603</v>
          </cell>
          <cell r="T163">
            <v>96.487997712711945</v>
          </cell>
        </row>
        <row r="164">
          <cell r="K164" t="str">
            <v>USAEnterpriseFederal ENT52NA</v>
          </cell>
          <cell r="L164" t="str">
            <v>Specialist</v>
          </cell>
          <cell r="M164">
            <v>153.5</v>
          </cell>
          <cell r="N164">
            <v>90.65308144736791</v>
          </cell>
          <cell r="O164">
            <v>93.372673890788946</v>
          </cell>
          <cell r="P164">
            <v>96.173854107512611</v>
          </cell>
          <cell r="Q164">
            <v>99.059069730737988</v>
          </cell>
          <cell r="R164">
            <v>102.03084182266014</v>
          </cell>
          <cell r="S164">
            <v>105.09176707733994</v>
          </cell>
          <cell r="T164">
            <v>108.24452008966014</v>
          </cell>
        </row>
        <row r="165">
          <cell r="K165" t="str">
            <v>USAEnterpriseFederal ENT53NA</v>
          </cell>
          <cell r="L165" t="str">
            <v>Specialist</v>
          </cell>
          <cell r="M165">
            <v>153.5</v>
          </cell>
          <cell r="N165">
            <v>97.659104561886153</v>
          </cell>
          <cell r="O165">
            <v>100.58887769874273</v>
          </cell>
          <cell r="P165">
            <v>103.60654402970502</v>
          </cell>
          <cell r="Q165">
            <v>106.71474035059617</v>
          </cell>
          <cell r="R165">
            <v>109.91618256111406</v>
          </cell>
          <cell r="S165">
            <v>113.21366803794749</v>
          </cell>
          <cell r="T165">
            <v>116.61007807908591</v>
          </cell>
        </row>
        <row r="166">
          <cell r="K166" t="str">
            <v>USAEnterpriseFederal ENT54NA</v>
          </cell>
          <cell r="L166" t="str">
            <v>Specialist</v>
          </cell>
          <cell r="M166">
            <v>153.5</v>
          </cell>
          <cell r="N166">
            <v>107.11828960702516</v>
          </cell>
          <cell r="O166">
            <v>110.33183829523593</v>
          </cell>
          <cell r="P166">
            <v>113.64179344409301</v>
          </cell>
          <cell r="Q166">
            <v>117.05104724741581</v>
          </cell>
          <cell r="R166">
            <v>120.56257866483828</v>
          </cell>
          <cell r="S166">
            <v>124.17945602478343</v>
          </cell>
          <cell r="T166">
            <v>127.90483970552694</v>
          </cell>
        </row>
        <row r="167">
          <cell r="K167" t="str">
            <v>USAEnterpriseFederal ENT80NA</v>
          </cell>
          <cell r="L167" t="str">
            <v>Sr. Executive</v>
          </cell>
          <cell r="M167">
            <v>153.5</v>
          </cell>
          <cell r="N167">
            <v>202.93827670352164</v>
          </cell>
          <cell r="O167">
            <v>209.0264250046273</v>
          </cell>
          <cell r="P167">
            <v>215.29721775476614</v>
          </cell>
          <cell r="Q167">
            <v>221.75613428740914</v>
          </cell>
          <cell r="R167">
            <v>228.40881831603141</v>
          </cell>
          <cell r="S167">
            <v>235.26108286551235</v>
          </cell>
          <cell r="T167">
            <v>242.31891535147773</v>
          </cell>
        </row>
        <row r="168">
          <cell r="K168" t="str">
            <v>USAEnterpriseFederal ENT81NA</v>
          </cell>
          <cell r="L168" t="str">
            <v>Sr. Executive</v>
          </cell>
          <cell r="M168">
            <v>153.5</v>
          </cell>
          <cell r="N168">
            <v>225.74198418409892</v>
          </cell>
          <cell r="O168">
            <v>232.51424370962189</v>
          </cell>
          <cell r="P168">
            <v>239.48967102091055</v>
          </cell>
          <cell r="Q168">
            <v>246.67436115153788</v>
          </cell>
          <cell r="R168">
            <v>254.07459198608402</v>
          </cell>
          <cell r="S168">
            <v>261.69682974566655</v>
          </cell>
          <cell r="T168">
            <v>269.54773463803656</v>
          </cell>
        </row>
        <row r="169">
          <cell r="K169" t="str">
            <v>USAEnterpriseFederal ENT82NA</v>
          </cell>
          <cell r="L169" t="str">
            <v>Sr. Executive</v>
          </cell>
          <cell r="M169">
            <v>153.5</v>
          </cell>
          <cell r="N169">
            <v>244.76204898060257</v>
          </cell>
          <cell r="O169">
            <v>252.10491045002067</v>
          </cell>
          <cell r="P169">
            <v>259.66805776352129</v>
          </cell>
          <cell r="Q169">
            <v>267.45809949642694</v>
          </cell>
          <cell r="R169">
            <v>275.48184248131975</v>
          </cell>
          <cell r="S169">
            <v>283.74629775575937</v>
          </cell>
          <cell r="T169">
            <v>292.25868668843214</v>
          </cell>
        </row>
        <row r="170">
          <cell r="K170" t="str">
            <v>USAEnterpriseFederal ENT83NA</v>
          </cell>
          <cell r="L170" t="str">
            <v>Sr. Executive</v>
          </cell>
          <cell r="M170">
            <v>153.5</v>
          </cell>
          <cell r="N170">
            <v>265.34502703968212</v>
          </cell>
          <cell r="O170">
            <v>273.30537785087262</v>
          </cell>
          <cell r="P170">
            <v>281.5045391863988</v>
          </cell>
          <cell r="Q170">
            <v>289.94967536199078</v>
          </cell>
          <cell r="R170">
            <v>298.64816562285051</v>
          </cell>
          <cell r="S170">
            <v>307.60761059153606</v>
          </cell>
          <cell r="T170">
            <v>316.83583890928213</v>
          </cell>
        </row>
        <row r="171">
          <cell r="K171" t="str">
            <v>USAEnterpriseFederal ENT84NA</v>
          </cell>
          <cell r="L171" t="str">
            <v>Sr. Executive</v>
          </cell>
          <cell r="M171">
            <v>153.5</v>
          </cell>
          <cell r="N171">
            <v>287.94494170824527</v>
          </cell>
          <cell r="O171">
            <v>296.58328995949262</v>
          </cell>
          <cell r="P171">
            <v>305.48078865827739</v>
          </cell>
          <cell r="Q171">
            <v>314.6452123180257</v>
          </cell>
          <cell r="R171">
            <v>324.0845686875665</v>
          </cell>
          <cell r="S171">
            <v>333.80710574819352</v>
          </cell>
          <cell r="T171">
            <v>343.82131892063933</v>
          </cell>
        </row>
        <row r="172">
          <cell r="K172" t="str">
            <v>USAEnterpriseFederal ENT85NA</v>
          </cell>
          <cell r="L172" t="str">
            <v>Sr. Executive</v>
          </cell>
          <cell r="M172">
            <v>153.5</v>
          </cell>
          <cell r="N172">
            <v>319.59809707520162</v>
          </cell>
          <cell r="O172">
            <v>329.18603998745766</v>
          </cell>
          <cell r="P172">
            <v>339.06162118708141</v>
          </cell>
          <cell r="Q172">
            <v>349.23346982269385</v>
          </cell>
          <cell r="R172">
            <v>359.71047391737466</v>
          </cell>
          <cell r="S172">
            <v>370.50178813489589</v>
          </cell>
          <cell r="T172">
            <v>381.61684177894278</v>
          </cell>
        </row>
        <row r="173">
          <cell r="K173" t="str">
            <v>USAEnterpriseFederal ENT86NA</v>
          </cell>
          <cell r="L173" t="str">
            <v>Sr. Executive</v>
          </cell>
          <cell r="M173">
            <v>153.5</v>
          </cell>
          <cell r="N173">
            <v>362.97467196600786</v>
          </cell>
          <cell r="O173">
            <v>373.86391212498813</v>
          </cell>
          <cell r="P173">
            <v>385.0798294887378</v>
          </cell>
          <cell r="Q173">
            <v>396.63222437339994</v>
          </cell>
          <cell r="R173">
            <v>408.53119110460193</v>
          </cell>
          <cell r="S173">
            <v>420.78712683774</v>
          </cell>
          <cell r="T173">
            <v>433.41074064287221</v>
          </cell>
        </row>
        <row r="174">
          <cell r="K174" t="str">
            <v>USAEnterpriseFederal ENT87NA</v>
          </cell>
          <cell r="L174" t="str">
            <v>Sr. Executive</v>
          </cell>
          <cell r="M174">
            <v>153.5</v>
          </cell>
          <cell r="N174">
            <v>383.53513721679724</v>
          </cell>
          <cell r="O174">
            <v>395.04119133330119</v>
          </cell>
          <cell r="P174">
            <v>406.89242707330021</v>
          </cell>
          <cell r="Q174">
            <v>419.09919988549922</v>
          </cell>
          <cell r="R174">
            <v>431.67217588206421</v>
          </cell>
          <cell r="S174">
            <v>444.62234115852613</v>
          </cell>
          <cell r="T174">
            <v>457.96101139328192</v>
          </cell>
        </row>
        <row r="175">
          <cell r="K175" t="str">
            <v>USAEnterpriseFederal ENT88NA</v>
          </cell>
          <cell r="L175" t="str">
            <v>Sr. Executive</v>
          </cell>
          <cell r="M175">
            <v>153.5</v>
          </cell>
          <cell r="N175">
            <v>418.54396566262096</v>
          </cell>
          <cell r="O175">
            <v>431.10028463249961</v>
          </cell>
          <cell r="P175">
            <v>444.03329317147461</v>
          </cell>
          <cell r="Q175">
            <v>457.35429196661886</v>
          </cell>
          <cell r="R175">
            <v>471.07492072561746</v>
          </cell>
          <cell r="S175">
            <v>485.20716834738602</v>
          </cell>
          <cell r="T175">
            <v>499.76338339780762</v>
          </cell>
        </row>
        <row r="176">
          <cell r="K176" t="str">
            <v>USAEnterpriseFederal ENT89NA</v>
          </cell>
          <cell r="L176" t="str">
            <v>Sr. Executive</v>
          </cell>
          <cell r="M176">
            <v>153.5</v>
          </cell>
          <cell r="N176">
            <v>454.36091215995816</v>
          </cell>
          <cell r="O176">
            <v>467.99173952475689</v>
          </cell>
          <cell r="P176">
            <v>482.03149171049961</v>
          </cell>
          <cell r="Q176">
            <v>496.49243646181463</v>
          </cell>
          <cell r="R176">
            <v>511.38720955566907</v>
          </cell>
          <cell r="S176">
            <v>526.72882584233912</v>
          </cell>
          <cell r="T176">
            <v>542.53069061760925</v>
          </cell>
        </row>
        <row r="177">
          <cell r="K177" t="str">
            <v>USAEnterpriseFederal ENT90NA</v>
          </cell>
          <cell r="L177" t="str">
            <v>Sr. Executive</v>
          </cell>
          <cell r="M177">
            <v>153.5</v>
          </cell>
          <cell r="N177">
            <v>522.63287310276405</v>
          </cell>
          <cell r="O177">
            <v>538.31185929584694</v>
          </cell>
          <cell r="P177">
            <v>554.46121507472242</v>
          </cell>
          <cell r="Q177">
            <v>571.09505152696408</v>
          </cell>
          <cell r="R177">
            <v>588.22790307277307</v>
          </cell>
          <cell r="S177">
            <v>605.87474016495628</v>
          </cell>
          <cell r="T177">
            <v>624.050982369905</v>
          </cell>
        </row>
        <row r="178">
          <cell r="K178" t="str">
            <v>USAEnterpriseFederal ENT91NA</v>
          </cell>
          <cell r="L178" t="str">
            <v>Sr. Executive</v>
          </cell>
          <cell r="M178">
            <v>153.5</v>
          </cell>
          <cell r="N178">
            <v>657.98501512154542</v>
          </cell>
          <cell r="O178">
            <v>677.72456557519183</v>
          </cell>
          <cell r="P178">
            <v>698.05630254244761</v>
          </cell>
          <cell r="Q178">
            <v>718.99799161872102</v>
          </cell>
          <cell r="R178">
            <v>740.56793136728265</v>
          </cell>
          <cell r="S178">
            <v>762.78496930830113</v>
          </cell>
          <cell r="T178">
            <v>785.66851838755019</v>
          </cell>
        </row>
        <row r="179">
          <cell r="K179" t="str">
            <v>USAEnterpriseFederal ENT92NA</v>
          </cell>
          <cell r="L179" t="str">
            <v>Sr. Executive</v>
          </cell>
          <cell r="M179">
            <v>153.5</v>
          </cell>
          <cell r="N179">
            <v>835.04945247944761</v>
          </cell>
          <cell r="O179">
            <v>860.10093605383111</v>
          </cell>
          <cell r="P179">
            <v>885.90396413544602</v>
          </cell>
          <cell r="Q179">
            <v>912.48108305950939</v>
          </cell>
          <cell r="R179">
            <v>939.85551555129473</v>
          </cell>
          <cell r="S179">
            <v>968.05118101783364</v>
          </cell>
          <cell r="T179">
            <v>997.09271644836872</v>
          </cell>
        </row>
        <row r="180">
          <cell r="K180" t="str">
            <v>USAEnterpriseFederal ENT93NA</v>
          </cell>
          <cell r="L180" t="str">
            <v>Sr. Executive</v>
          </cell>
          <cell r="M180">
            <v>153.5</v>
          </cell>
          <cell r="N180">
            <v>1761.4758836556136</v>
          </cell>
          <cell r="O180">
            <v>1814.320160165282</v>
          </cell>
          <cell r="P180">
            <v>1868.7497649702404</v>
          </cell>
          <cell r="Q180">
            <v>1924.8122579193478</v>
          </cell>
          <cell r="R180">
            <v>1982.5566256569282</v>
          </cell>
          <cell r="S180">
            <v>2042.033324426636</v>
          </cell>
          <cell r="T180">
            <v>2103.2943241594353</v>
          </cell>
        </row>
        <row r="181">
          <cell r="K181" t="str">
            <v>USAEnterpriseFederal ENT94NA</v>
          </cell>
          <cell r="L181" t="str">
            <v>Sr. Executive</v>
          </cell>
          <cell r="M181">
            <v>153.5</v>
          </cell>
          <cell r="N181">
            <v>2672.0929900676883</v>
          </cell>
          <cell r="O181">
            <v>2752.2557797697191</v>
          </cell>
          <cell r="P181">
            <v>2834.8234531628109</v>
          </cell>
          <cell r="Q181">
            <v>2919.8681567576955</v>
          </cell>
          <cell r="R181">
            <v>3007.4642014604265</v>
          </cell>
          <cell r="S181">
            <v>3097.6881275042392</v>
          </cell>
          <cell r="T181">
            <v>3190.6187713293666</v>
          </cell>
        </row>
        <row r="182">
          <cell r="K182" t="str">
            <v>USAEnterpriseFederal ENT95NA</v>
          </cell>
          <cell r="L182" t="str">
            <v>Sr. Executive</v>
          </cell>
          <cell r="M182">
            <v>153.5</v>
          </cell>
          <cell r="N182">
            <v>3026.2218647834925</v>
          </cell>
          <cell r="O182">
            <v>3117.0085207269972</v>
          </cell>
          <cell r="P182">
            <v>3210.518776348807</v>
          </cell>
          <cell r="Q182">
            <v>3306.8343396392711</v>
          </cell>
          <cell r="R182">
            <v>3406.0393698284493</v>
          </cell>
          <cell r="S182">
            <v>3508.2205509233027</v>
          </cell>
          <cell r="T182">
            <v>3613.4671674510018</v>
          </cell>
        </row>
        <row r="183">
          <cell r="K183" t="str">
            <v>USAEnterpriseFederal ENT96NA</v>
          </cell>
          <cell r="L183" t="str">
            <v>Sr. Executive</v>
          </cell>
          <cell r="M183">
            <v>153.5</v>
          </cell>
          <cell r="N183">
            <v>3380.3507394992971</v>
          </cell>
          <cell r="O183">
            <v>3481.7612616842762</v>
          </cell>
          <cell r="P183">
            <v>3586.2140995348045</v>
          </cell>
          <cell r="Q183">
            <v>3693.800522520849</v>
          </cell>
          <cell r="R183">
            <v>3804.6145381964743</v>
          </cell>
          <cell r="S183">
            <v>3918.7529743423688</v>
          </cell>
          <cell r="T183">
            <v>4036.3155635726398</v>
          </cell>
        </row>
        <row r="184">
          <cell r="K184" t="str">
            <v>USAEnterpriseFederal ENT97NA</v>
          </cell>
          <cell r="L184" t="str">
            <v>Sr. Executive</v>
          </cell>
          <cell r="M184">
            <v>153.5</v>
          </cell>
          <cell r="N184">
            <v>3734.4796142151017</v>
          </cell>
          <cell r="O184">
            <v>3846.5140026415547</v>
          </cell>
          <cell r="P184">
            <v>3961.9094227208016</v>
          </cell>
          <cell r="Q184">
            <v>4080.7667054024255</v>
          </cell>
          <cell r="R184">
            <v>4203.189706564498</v>
          </cell>
          <cell r="S184">
            <v>4329.2853977614332</v>
          </cell>
          <cell r="T184">
            <v>4459.1639596942759</v>
          </cell>
        </row>
        <row r="185">
          <cell r="K185" t="str">
            <v>USAEnterpriseFederal ENT98NA</v>
          </cell>
          <cell r="L185" t="str">
            <v>Sr. Executive</v>
          </cell>
          <cell r="M185">
            <v>153.5</v>
          </cell>
          <cell r="N185">
            <v>4088.6089315919912</v>
          </cell>
          <cell r="O185">
            <v>4211.2671995397513</v>
          </cell>
          <cell r="P185">
            <v>4337.605215525944</v>
          </cell>
          <cell r="Q185">
            <v>4467.7333719917224</v>
          </cell>
          <cell r="R185">
            <v>4601.7653731514738</v>
          </cell>
          <cell r="S185">
            <v>4739.8183343460178</v>
          </cell>
          <cell r="T185">
            <v>4882.0128843763987</v>
          </cell>
        </row>
        <row r="186">
          <cell r="K186" t="str">
            <v>USAEnterpriseFederal ENT67NA</v>
          </cell>
          <cell r="L186" t="str">
            <v>Sr. Manager</v>
          </cell>
          <cell r="M186">
            <v>153.5</v>
          </cell>
          <cell r="N186">
            <v>148.82210845189425</v>
          </cell>
          <cell r="O186">
            <v>153.28677170545109</v>
          </cell>
          <cell r="P186">
            <v>157.88537485661462</v>
          </cell>
          <cell r="Q186">
            <v>162.62193610231307</v>
          </cell>
          <cell r="R186">
            <v>167.50059418538248</v>
          </cell>
          <cell r="S186">
            <v>172.52561201094397</v>
          </cell>
          <cell r="T186">
            <v>177.70138037127231</v>
          </cell>
        </row>
        <row r="187">
          <cell r="K187" t="str">
            <v>USAEnterpriseFederal ENT68NA</v>
          </cell>
          <cell r="L187" t="str">
            <v>Sr. Manager</v>
          </cell>
          <cell r="M187">
            <v>153.5</v>
          </cell>
          <cell r="N187">
            <v>186.28166729124499</v>
          </cell>
          <cell r="O187">
            <v>191.87011730998233</v>
          </cell>
          <cell r="P187">
            <v>197.62622082928181</v>
          </cell>
          <cell r="Q187">
            <v>203.55500745416026</v>
          </cell>
          <cell r="R187">
            <v>209.66165767778509</v>
          </cell>
          <cell r="S187">
            <v>215.95150740811866</v>
          </cell>
          <cell r="T187">
            <v>222.43005263036221</v>
          </cell>
        </row>
        <row r="188">
          <cell r="K188" t="str">
            <v>USAEnterpriseFederal ENT69NA</v>
          </cell>
          <cell r="L188" t="str">
            <v>Sr. Manager</v>
          </cell>
          <cell r="M188">
            <v>153.5</v>
          </cell>
          <cell r="N188">
            <v>250.14774077177719</v>
          </cell>
          <cell r="O188">
            <v>257.65217299493054</v>
          </cell>
          <cell r="P188">
            <v>265.38173818477844</v>
          </cell>
          <cell r="Q188">
            <v>273.34319033032182</v>
          </cell>
          <cell r="R188">
            <v>281.54348604023147</v>
          </cell>
          <cell r="S188">
            <v>289.98979062143843</v>
          </cell>
          <cell r="T188">
            <v>298.68948434008161</v>
          </cell>
        </row>
        <row r="189">
          <cell r="K189" t="str">
            <v>USAEnterpriseNA30NA</v>
          </cell>
          <cell r="L189" t="str">
            <v>ANALYST</v>
          </cell>
          <cell r="M189">
            <v>167.41666666666666</v>
          </cell>
          <cell r="N189">
            <v>47.86170882490935</v>
          </cell>
          <cell r="O189">
            <v>49.297560089656635</v>
          </cell>
          <cell r="P189">
            <v>50.973677132704964</v>
          </cell>
          <cell r="Q189">
            <v>52.910676863747753</v>
          </cell>
          <cell r="R189">
            <v>54.921282584570172</v>
          </cell>
          <cell r="S189">
            <v>57.00829132278384</v>
          </cell>
          <cell r="T189">
            <v>59.174606393049629</v>
          </cell>
        </row>
        <row r="190">
          <cell r="K190" t="str">
            <v>USAEnterpriseNA31NA</v>
          </cell>
          <cell r="L190" t="str">
            <v>ANALYST</v>
          </cell>
          <cell r="M190">
            <v>167.41666666666666</v>
          </cell>
          <cell r="N190">
            <v>53.625669084684453</v>
          </cell>
          <cell r="O190">
            <v>55.23443915722499</v>
          </cell>
          <cell r="P190">
            <v>57.112410088570641</v>
          </cell>
          <cell r="Q190">
            <v>59.282681671936331</v>
          </cell>
          <cell r="R190">
            <v>61.535423575469913</v>
          </cell>
          <cell r="S190">
            <v>63.873769671337769</v>
          </cell>
          <cell r="T190">
            <v>66.300972918848601</v>
          </cell>
        </row>
        <row r="191">
          <cell r="K191" t="str">
            <v>USAEnterpriseNA32NA</v>
          </cell>
          <cell r="L191" t="str">
            <v>ANALYST</v>
          </cell>
          <cell r="M191">
            <v>167.41666666666666</v>
          </cell>
          <cell r="N191">
            <v>58.869981575530204</v>
          </cell>
          <cell r="O191">
            <v>60.636081022796112</v>
          </cell>
          <cell r="P191">
            <v>62.697707777571182</v>
          </cell>
          <cell r="Q191">
            <v>65.080220673118887</v>
          </cell>
          <cell r="R191">
            <v>67.55326905869741</v>
          </cell>
          <cell r="S191">
            <v>70.120293282927918</v>
          </cell>
          <cell r="T191">
            <v>72.784864427679182</v>
          </cell>
        </row>
        <row r="192">
          <cell r="K192" t="str">
            <v>USAEnterpriseNA33NA</v>
          </cell>
          <cell r="L192" t="str">
            <v>ANALYST</v>
          </cell>
          <cell r="M192">
            <v>167.41666666666666</v>
          </cell>
          <cell r="N192">
            <v>65.856248150730309</v>
          </cell>
          <cell r="O192">
            <v>67.831935595252219</v>
          </cell>
          <cell r="P192">
            <v>70.138221405490796</v>
          </cell>
          <cell r="Q192">
            <v>72.803473818899448</v>
          </cell>
          <cell r="R192">
            <v>75.570005824017628</v>
          </cell>
          <cell r="S192">
            <v>78.441666045330294</v>
          </cell>
          <cell r="T192">
            <v>81.422449355052848</v>
          </cell>
        </row>
        <row r="193">
          <cell r="K193" t="str">
            <v>USAEnterpriseNA22NA</v>
          </cell>
          <cell r="L193" t="str">
            <v>ASSISTANT</v>
          </cell>
          <cell r="M193">
            <v>159.5</v>
          </cell>
          <cell r="N193">
            <v>36.625683448184404</v>
          </cell>
          <cell r="O193">
            <v>37.72445395162994</v>
          </cell>
          <cell r="P193">
            <v>39.007085385985356</v>
          </cell>
          <cell r="Q193">
            <v>40.489354630652798</v>
          </cell>
          <cell r="R193">
            <v>42.027950106617602</v>
          </cell>
          <cell r="S193">
            <v>43.62501221066907</v>
          </cell>
          <cell r="T193">
            <v>45.282762674674494</v>
          </cell>
        </row>
        <row r="194">
          <cell r="K194" t="str">
            <v>USAEnterpriseNA23NA</v>
          </cell>
          <cell r="L194" t="str">
            <v>ASSISTANT</v>
          </cell>
          <cell r="M194">
            <v>159.5</v>
          </cell>
          <cell r="N194">
            <v>41.860833885438751</v>
          </cell>
          <cell r="O194">
            <v>43.116658902001916</v>
          </cell>
          <cell r="P194">
            <v>44.582625304669982</v>
          </cell>
          <cell r="Q194">
            <v>46.276765066247442</v>
          </cell>
          <cell r="R194">
            <v>48.035282138764849</v>
          </cell>
          <cell r="S194">
            <v>49.860622860037914</v>
          </cell>
          <cell r="T194">
            <v>51.755326528719358</v>
          </cell>
        </row>
        <row r="195">
          <cell r="K195" t="str">
            <v>USAEnterpriseNA24NA</v>
          </cell>
          <cell r="L195" t="str">
            <v>ASSISTANT</v>
          </cell>
          <cell r="M195">
            <v>159.5</v>
          </cell>
          <cell r="N195">
            <v>47.144827780421402</v>
          </cell>
          <cell r="O195">
            <v>48.559172613834043</v>
          </cell>
          <cell r="P195">
            <v>50.210184482704399</v>
          </cell>
          <cell r="Q195">
            <v>52.118171493047171</v>
          </cell>
          <cell r="R195">
            <v>54.098662009782963</v>
          </cell>
          <cell r="S195">
            <v>56.154411166154716</v>
          </cell>
          <cell r="T195">
            <v>58.288278790468596</v>
          </cell>
        </row>
        <row r="196">
          <cell r="K196" t="str">
            <v>USAEnterpriseNA60NA</v>
          </cell>
          <cell r="L196" t="str">
            <v>MANAGER</v>
          </cell>
          <cell r="M196">
            <v>150.66666666666666</v>
          </cell>
          <cell r="N196">
            <v>103.14783129889035</v>
          </cell>
          <cell r="O196">
            <v>106.24226623785707</v>
          </cell>
          <cell r="P196">
            <v>109.8545032899442</v>
          </cell>
          <cell r="Q196">
            <v>114.02897441496209</v>
          </cell>
          <cell r="R196">
            <v>118.36207544273066</v>
          </cell>
          <cell r="S196">
            <v>122.85983430955443</v>
          </cell>
          <cell r="T196">
            <v>127.52850801331751</v>
          </cell>
        </row>
        <row r="197">
          <cell r="K197" t="str">
            <v>USAEnterpriseNA61NA</v>
          </cell>
          <cell r="L197" t="str">
            <v>MANAGER</v>
          </cell>
          <cell r="M197">
            <v>150.66666666666666</v>
          </cell>
          <cell r="N197">
            <v>115.61231584811476</v>
          </cell>
          <cell r="O197">
            <v>119.08068532355821</v>
          </cell>
          <cell r="P197">
            <v>123.1294286245592</v>
          </cell>
          <cell r="Q197">
            <v>127.80834691229245</v>
          </cell>
          <cell r="R197">
            <v>132.66506409495958</v>
          </cell>
          <cell r="S197">
            <v>137.70633653056805</v>
          </cell>
          <cell r="T197">
            <v>142.93917731872963</v>
          </cell>
        </row>
        <row r="198">
          <cell r="K198" t="str">
            <v>USAEnterpriseNA62NA</v>
          </cell>
          <cell r="L198" t="str">
            <v>MANAGER</v>
          </cell>
          <cell r="M198">
            <v>150.66666666666666</v>
          </cell>
          <cell r="N198">
            <v>126.8134934745456</v>
          </cell>
          <cell r="O198">
            <v>130.61789827878198</v>
          </cell>
          <cell r="P198">
            <v>135.05890682026057</v>
          </cell>
          <cell r="Q198">
            <v>140.19114527943049</v>
          </cell>
          <cell r="R198">
            <v>145.51840880004886</v>
          </cell>
          <cell r="S198">
            <v>151.04810833445072</v>
          </cell>
          <cell r="T198">
            <v>156.78793645115985</v>
          </cell>
        </row>
        <row r="199">
          <cell r="K199" t="str">
            <v>USAEnterpriseNA63NA</v>
          </cell>
          <cell r="L199" t="str">
            <v>MANAGER</v>
          </cell>
          <cell r="M199">
            <v>150.66666666666666</v>
          </cell>
          <cell r="N199">
            <v>140.94951911843671</v>
          </cell>
          <cell r="O199">
            <v>145.17800469198983</v>
          </cell>
          <cell r="P199">
            <v>150.11405685151749</v>
          </cell>
          <cell r="Q199">
            <v>155.81839101187515</v>
          </cell>
          <cell r="R199">
            <v>161.73948987032642</v>
          </cell>
          <cell r="S199">
            <v>167.88559048539884</v>
          </cell>
          <cell r="T199">
            <v>174.265242923844</v>
          </cell>
        </row>
        <row r="200">
          <cell r="K200" t="str">
            <v>USAEnterpriseNA64NA</v>
          </cell>
          <cell r="L200" t="str">
            <v>MANAGER</v>
          </cell>
          <cell r="M200">
            <v>150.66666666666666</v>
          </cell>
          <cell r="N200">
            <v>160.72533731537462</v>
          </cell>
          <cell r="O200">
            <v>165.54709743483585</v>
          </cell>
          <cell r="P200">
            <v>171.17569874762026</v>
          </cell>
          <cell r="Q200">
            <v>177.68037530002982</v>
          </cell>
          <cell r="R200">
            <v>184.43222956143097</v>
          </cell>
          <cell r="S200">
            <v>191.44065428476534</v>
          </cell>
          <cell r="T200">
            <v>198.71539914758642</v>
          </cell>
        </row>
        <row r="201">
          <cell r="K201" t="str">
            <v>USAEnterpriseNA50NA</v>
          </cell>
          <cell r="L201" t="str">
            <v>SPECIALIST</v>
          </cell>
          <cell r="M201">
            <v>152</v>
          </cell>
          <cell r="N201">
            <v>69.750606550785761</v>
          </cell>
          <cell r="O201">
            <v>71.843124747309332</v>
          </cell>
          <cell r="P201">
            <v>74.285790988717849</v>
          </cell>
          <cell r="Q201">
            <v>77.108651046289125</v>
          </cell>
          <cell r="R201">
            <v>80.03877978604811</v>
          </cell>
          <cell r="S201">
            <v>83.080253417917945</v>
          </cell>
          <cell r="T201">
            <v>86.237303047798832</v>
          </cell>
        </row>
        <row r="202">
          <cell r="K202" t="str">
            <v>USAEnterpriseNA51NA</v>
          </cell>
          <cell r="L202" t="str">
            <v>SPECIALIST</v>
          </cell>
          <cell r="M202">
            <v>152</v>
          </cell>
          <cell r="N202">
            <v>80.807179043324695</v>
          </cell>
          <cell r="O202">
            <v>83.231394414624432</v>
          </cell>
          <cell r="P202">
            <v>86.061261824721669</v>
          </cell>
          <cell r="Q202">
            <v>89.331589774061101</v>
          </cell>
          <cell r="R202">
            <v>92.726190185475431</v>
          </cell>
          <cell r="S202">
            <v>96.249785412523508</v>
          </cell>
          <cell r="T202">
            <v>99.9072772581994</v>
          </cell>
        </row>
        <row r="203">
          <cell r="K203" t="str">
            <v>USAEnterpriseNA52NA</v>
          </cell>
          <cell r="L203" t="str">
            <v>SPECIALIST</v>
          </cell>
          <cell r="M203">
            <v>152</v>
          </cell>
          <cell r="N203">
            <v>90.65308144736791</v>
          </cell>
          <cell r="O203">
            <v>93.372673890788946</v>
          </cell>
          <cell r="P203">
            <v>96.547344803075774</v>
          </cell>
          <cell r="Q203">
            <v>100.21614390559266</v>
          </cell>
          <cell r="R203">
            <v>104.02435737400518</v>
          </cell>
          <cell r="S203">
            <v>107.97728295421737</v>
          </cell>
          <cell r="T203">
            <v>112.08041970647764</v>
          </cell>
        </row>
        <row r="204">
          <cell r="K204" t="str">
            <v>USAEnterpriseNA53NA</v>
          </cell>
          <cell r="L204" t="str">
            <v>SPECIALIST</v>
          </cell>
          <cell r="M204">
            <v>152</v>
          </cell>
          <cell r="N204">
            <v>97.659104561886153</v>
          </cell>
          <cell r="O204">
            <v>100.58887769874273</v>
          </cell>
          <cell r="P204">
            <v>104.0088995405</v>
          </cell>
          <cell r="Q204">
            <v>107.96123772303901</v>
          </cell>
          <cell r="R204">
            <v>112.06376475651449</v>
          </cell>
          <cell r="S204">
            <v>116.32218781726205</v>
          </cell>
          <cell r="T204">
            <v>120.74243095431801</v>
          </cell>
        </row>
        <row r="205">
          <cell r="K205" t="str">
            <v>USAEnterpriseNA54NA</v>
          </cell>
          <cell r="L205" t="str">
            <v>SPECIALIST</v>
          </cell>
          <cell r="M205">
            <v>152</v>
          </cell>
          <cell r="N205">
            <v>107.11828960702516</v>
          </cell>
          <cell r="O205">
            <v>110.33183829523593</v>
          </cell>
          <cell r="P205">
            <v>114.08312079727395</v>
          </cell>
          <cell r="Q205">
            <v>118.41827938757037</v>
          </cell>
          <cell r="R205">
            <v>122.91817400429804</v>
          </cell>
          <cell r="S205">
            <v>127.58906461646137</v>
          </cell>
          <cell r="T205">
            <v>132.4374490718869</v>
          </cell>
        </row>
        <row r="206">
          <cell r="K206" t="str">
            <v>USAEnterpriseNA80NA</v>
          </cell>
          <cell r="L206" t="str">
            <v>SR. EXECUTIVE</v>
          </cell>
          <cell r="M206">
            <v>150.66666666666666</v>
          </cell>
          <cell r="N206">
            <v>202.93827670352164</v>
          </cell>
          <cell r="O206">
            <v>209.0264250046273</v>
          </cell>
          <cell r="P206">
            <v>216.13332345478463</v>
          </cell>
          <cell r="Q206">
            <v>224.34638974606645</v>
          </cell>
          <cell r="R206">
            <v>232.87155255641699</v>
          </cell>
          <cell r="S206">
            <v>241.72067155356083</v>
          </cell>
          <cell r="T206">
            <v>250.90605707259616</v>
          </cell>
        </row>
        <row r="207">
          <cell r="K207" t="str">
            <v>USAEnterpriseNA81NA</v>
          </cell>
          <cell r="L207" t="str">
            <v>SR. EXECUTIVE</v>
          </cell>
          <cell r="M207">
            <v>150.66666666666666</v>
          </cell>
          <cell r="N207">
            <v>225.74198418409892</v>
          </cell>
          <cell r="O207">
            <v>232.51424370962189</v>
          </cell>
          <cell r="P207">
            <v>240.41972799574904</v>
          </cell>
          <cell r="Q207">
            <v>249.5556776595875</v>
          </cell>
          <cell r="R207">
            <v>259.03879341065186</v>
          </cell>
          <cell r="S207">
            <v>268.88226756025665</v>
          </cell>
          <cell r="T207">
            <v>279.0997937275464</v>
          </cell>
        </row>
        <row r="208">
          <cell r="K208" t="str">
            <v>USAEnterpriseNA82NA</v>
          </cell>
          <cell r="L208" t="str">
            <v>SR. EXECUTIVE</v>
          </cell>
          <cell r="M208">
            <v>150.66666666666666</v>
          </cell>
          <cell r="N208">
            <v>244.76204898060257</v>
          </cell>
          <cell r="O208">
            <v>252.10491045002067</v>
          </cell>
          <cell r="P208">
            <v>260.67647740532141</v>
          </cell>
          <cell r="Q208">
            <v>270.58218354672363</v>
          </cell>
          <cell r="R208">
            <v>280.86430652149915</v>
          </cell>
          <cell r="S208">
            <v>291.53715016931613</v>
          </cell>
          <cell r="T208">
            <v>302.61556187575013</v>
          </cell>
        </row>
        <row r="209">
          <cell r="K209" t="str">
            <v>USAEnterpriseNA83NA</v>
          </cell>
          <cell r="L209" t="str">
            <v>SR. EXECUTIVE</v>
          </cell>
          <cell r="M209">
            <v>150.66666666666666</v>
          </cell>
          <cell r="N209">
            <v>265.34502703968212</v>
          </cell>
          <cell r="O209">
            <v>273.30537785087262</v>
          </cell>
          <cell r="P209">
            <v>282.5977606978023</v>
          </cell>
          <cell r="Q209">
            <v>293.33647560431882</v>
          </cell>
          <cell r="R209">
            <v>304.48326167728294</v>
          </cell>
          <cell r="S209">
            <v>316.05362562101971</v>
          </cell>
          <cell r="T209">
            <v>328.06366339461846</v>
          </cell>
        </row>
        <row r="210">
          <cell r="K210" t="str">
            <v>USAEnterpriseNA84NA</v>
          </cell>
          <cell r="L210" t="str">
            <v>SR. EXECUTIVE</v>
          </cell>
          <cell r="M210">
            <v>150.66666666666666</v>
          </cell>
          <cell r="N210">
            <v>287.94494170824527</v>
          </cell>
          <cell r="O210">
            <v>296.58328995949262</v>
          </cell>
          <cell r="P210">
            <v>306.66712181811539</v>
          </cell>
          <cell r="Q210">
            <v>318.32047244720377</v>
          </cell>
          <cell r="R210">
            <v>330.41665040019751</v>
          </cell>
          <cell r="S210">
            <v>342.97248311540505</v>
          </cell>
          <cell r="T210">
            <v>356.00543747379044</v>
          </cell>
        </row>
        <row r="211">
          <cell r="K211" t="str">
            <v>USAEnterpriseNA85NA</v>
          </cell>
          <cell r="L211" t="str">
            <v>SR. EXECUTIVE</v>
          </cell>
          <cell r="M211">
            <v>150.66666666666666</v>
          </cell>
          <cell r="N211">
            <v>319.59809707520162</v>
          </cell>
          <cell r="O211">
            <v>329.18603998745766</v>
          </cell>
          <cell r="P211">
            <v>340.37836534703121</v>
          </cell>
          <cell r="Q211">
            <v>353.31274323021842</v>
          </cell>
          <cell r="R211">
            <v>366.73862747296675</v>
          </cell>
          <cell r="S211">
            <v>380.67469531693951</v>
          </cell>
          <cell r="T211">
            <v>395.1403337389832</v>
          </cell>
        </row>
        <row r="212">
          <cell r="K212" t="str">
            <v>USAEnterpriseNA86NA</v>
          </cell>
          <cell r="L212" t="str">
            <v>SR. EXECUTIVE</v>
          </cell>
          <cell r="M212">
            <v>150.66666666666666</v>
          </cell>
          <cell r="N212">
            <v>362.97467196600786</v>
          </cell>
          <cell r="O212">
            <v>373.86391212498813</v>
          </cell>
          <cell r="P212">
            <v>386.57528513723776</v>
          </cell>
          <cell r="Q212">
            <v>401.26514597245279</v>
          </cell>
          <cell r="R212">
            <v>416.51322151940599</v>
          </cell>
          <cell r="S212">
            <v>432.34072393714342</v>
          </cell>
          <cell r="T212">
            <v>448.7696714467549</v>
          </cell>
        </row>
        <row r="213">
          <cell r="K213" t="str">
            <v>USAEnterpriseNA87NA</v>
          </cell>
          <cell r="L213" t="str">
            <v>SR. EXECUTIVE</v>
          </cell>
          <cell r="M213">
            <v>150.66666666666666</v>
          </cell>
          <cell r="N213">
            <v>383.53513721679724</v>
          </cell>
          <cell r="O213">
            <v>395.04119133330119</v>
          </cell>
          <cell r="P213">
            <v>408.47259183863343</v>
          </cell>
          <cell r="Q213">
            <v>423.99455032850153</v>
          </cell>
          <cell r="R213">
            <v>440.10634324098459</v>
          </cell>
          <cell r="S213">
            <v>456.83038428414204</v>
          </cell>
          <cell r="T213">
            <v>474.18993888693944</v>
          </cell>
        </row>
        <row r="214">
          <cell r="K214" t="str">
            <v>USAEnterpriseNA88NA</v>
          </cell>
          <cell r="L214" t="str">
            <v>SR. EXECUTIVE</v>
          </cell>
          <cell r="M214">
            <v>150.66666666666666</v>
          </cell>
          <cell r="N214">
            <v>418.54396566262096</v>
          </cell>
          <cell r="O214">
            <v>431.10028463249961</v>
          </cell>
          <cell r="P214">
            <v>445.75769431000458</v>
          </cell>
          <cell r="Q214">
            <v>462.69648669378478</v>
          </cell>
          <cell r="R214">
            <v>480.27895318814859</v>
          </cell>
          <cell r="S214">
            <v>498.52955340929827</v>
          </cell>
          <cell r="T214">
            <v>517.47367643885161</v>
          </cell>
        </row>
        <row r="215">
          <cell r="K215" t="str">
            <v>USAEnterpriseNA89NA</v>
          </cell>
          <cell r="L215" t="str">
            <v>SR. EXECUTIVE</v>
          </cell>
          <cell r="M215">
            <v>150.66666666666666</v>
          </cell>
          <cell r="N215">
            <v>454.36091215995816</v>
          </cell>
          <cell r="O215">
            <v>467.99173952475689</v>
          </cell>
          <cell r="P215">
            <v>483.90345866859866</v>
          </cell>
          <cell r="Q215">
            <v>502.29179009800544</v>
          </cell>
          <cell r="R215">
            <v>521.37887812172971</v>
          </cell>
          <cell r="S215">
            <v>541.19127549035545</v>
          </cell>
          <cell r="T215">
            <v>561.75654395898903</v>
          </cell>
        </row>
        <row r="216">
          <cell r="K216" t="str">
            <v>USAEnterpriseNA90NA</v>
          </cell>
          <cell r="L216" t="str">
            <v>SR. EXECUTIVE</v>
          </cell>
          <cell r="M216">
            <v>150.66666666666666</v>
          </cell>
          <cell r="N216">
            <v>522.63287310276405</v>
          </cell>
          <cell r="O216">
            <v>538.31185929584694</v>
          </cell>
          <cell r="P216">
            <v>556.6144625119058</v>
          </cell>
          <cell r="Q216">
            <v>577.7658120873582</v>
          </cell>
          <cell r="R216">
            <v>599.7209129466778</v>
          </cell>
          <cell r="S216">
            <v>622.51030763865162</v>
          </cell>
          <cell r="T216">
            <v>646.16569932892037</v>
          </cell>
        </row>
        <row r="217">
          <cell r="K217" t="str">
            <v>USAEnterpriseNA91NA</v>
          </cell>
          <cell r="L217" t="str">
            <v>SR. EXECUTIVE</v>
          </cell>
          <cell r="M217">
            <v>150.66666666666666</v>
          </cell>
          <cell r="N217">
            <v>657.98501512154542</v>
          </cell>
          <cell r="O217">
            <v>677.72456557519183</v>
          </cell>
          <cell r="P217">
            <v>700.76720080474843</v>
          </cell>
          <cell r="Q217">
            <v>727.39635443532893</v>
          </cell>
          <cell r="R217">
            <v>755.03741590387142</v>
          </cell>
          <cell r="S217">
            <v>783.72883770821852</v>
          </cell>
          <cell r="T217">
            <v>813.51053354113083</v>
          </cell>
        </row>
        <row r="218">
          <cell r="K218" t="str">
            <v>USAEnterpriseNA92NA</v>
          </cell>
          <cell r="L218" t="str">
            <v>SR. EXECUTIVE</v>
          </cell>
          <cell r="M218">
            <v>150.66666666666666</v>
          </cell>
          <cell r="N218">
            <v>835.04945247944761</v>
          </cell>
          <cell r="O218">
            <v>860.10093605383111</v>
          </cell>
          <cell r="P218">
            <v>889.34436787966138</v>
          </cell>
          <cell r="Q218">
            <v>923.13945385908858</v>
          </cell>
          <cell r="R218">
            <v>958.21875310573398</v>
          </cell>
          <cell r="S218">
            <v>994.63106572375193</v>
          </cell>
          <cell r="T218">
            <v>1032.4270462212546</v>
          </cell>
        </row>
        <row r="219">
          <cell r="K219" t="str">
            <v>USAEnterpriseNA93NA</v>
          </cell>
          <cell r="L219" t="str">
            <v>SR. EXECUTIVE</v>
          </cell>
          <cell r="M219">
            <v>150.66666666666666</v>
          </cell>
          <cell r="N219">
            <v>1761.4758836556136</v>
          </cell>
          <cell r="O219">
            <v>1814.320160165282</v>
          </cell>
          <cell r="P219">
            <v>1876.0070456109017</v>
          </cell>
          <cell r="Q219">
            <v>1947.295313344116</v>
          </cell>
          <cell r="R219">
            <v>2021.2925352511925</v>
          </cell>
          <cell r="S219">
            <v>2098.1016515907377</v>
          </cell>
          <cell r="T219">
            <v>2177.8295143511859</v>
          </cell>
        </row>
        <row r="220">
          <cell r="K220" t="str">
            <v>USAEnterpriseNA94NA</v>
          </cell>
          <cell r="L220" t="str">
            <v>SR. EXECUTIVE</v>
          </cell>
          <cell r="M220">
            <v>150.66666666666666</v>
          </cell>
          <cell r="N220">
            <v>2672.0929900676883</v>
          </cell>
          <cell r="O220">
            <v>2752.2557797697191</v>
          </cell>
          <cell r="P220">
            <v>2845.8324762818897</v>
          </cell>
          <cell r="Q220">
            <v>2953.9741103806018</v>
          </cell>
          <cell r="R220">
            <v>3066.2251265750647</v>
          </cell>
          <cell r="S220">
            <v>3182.7416813849172</v>
          </cell>
          <cell r="T220">
            <v>3303.6858652775441</v>
          </cell>
        </row>
        <row r="221">
          <cell r="K221" t="str">
            <v>USAEnterpriseNA95NA</v>
          </cell>
          <cell r="L221" t="str">
            <v>SR. EXECUTIVE</v>
          </cell>
          <cell r="M221">
            <v>150.66666666666666</v>
          </cell>
          <cell r="N221">
            <v>3026.2218647834925</v>
          </cell>
          <cell r="O221">
            <v>3117.0085207269972</v>
          </cell>
          <cell r="P221">
            <v>3222.9868104317152</v>
          </cell>
          <cell r="Q221">
            <v>3345.4603092281204</v>
          </cell>
          <cell r="R221">
            <v>3472.5878009787889</v>
          </cell>
          <cell r="S221">
            <v>3604.5461374159831</v>
          </cell>
          <cell r="T221">
            <v>3741.5188906377907</v>
          </cell>
        </row>
        <row r="222">
          <cell r="K222" t="str">
            <v>USAEnterpriseNA96NA</v>
          </cell>
          <cell r="L222" t="str">
            <v>SR. EXECUTIVE</v>
          </cell>
          <cell r="M222">
            <v>150.66666666666666</v>
          </cell>
          <cell r="N222">
            <v>3380.3507394992971</v>
          </cell>
          <cell r="O222">
            <v>3481.7612616842762</v>
          </cell>
          <cell r="P222">
            <v>3600.1411445815415</v>
          </cell>
          <cell r="Q222">
            <v>3736.9465080756404</v>
          </cell>
          <cell r="R222">
            <v>3878.9504753825149</v>
          </cell>
          <cell r="S222">
            <v>4026.3505934470504</v>
          </cell>
          <cell r="T222">
            <v>4179.3519159980387</v>
          </cell>
        </row>
        <row r="223">
          <cell r="K223" t="str">
            <v>USAEnterpriseNA97NA</v>
          </cell>
          <cell r="L223" t="str">
            <v>SR. EXECUTIVE</v>
          </cell>
          <cell r="M223">
            <v>150.66666666666666</v>
          </cell>
          <cell r="N223">
            <v>3734.4796142151017</v>
          </cell>
          <cell r="O223">
            <v>3846.5140026415547</v>
          </cell>
          <cell r="P223">
            <v>3977.2954787313679</v>
          </cell>
          <cell r="Q223">
            <v>4128.4327069231604</v>
          </cell>
          <cell r="R223">
            <v>4285.3131497862405</v>
          </cell>
          <cell r="S223">
            <v>4448.1550494781177</v>
          </cell>
          <cell r="T223">
            <v>4617.1849413582859</v>
          </cell>
        </row>
        <row r="224">
          <cell r="K224" t="str">
            <v>USAEnterpriseNA98NA</v>
          </cell>
          <cell r="L224" t="str">
            <v>SR. EXECUTIVE</v>
          </cell>
          <cell r="M224">
            <v>150.66666666666666</v>
          </cell>
          <cell r="N224">
            <v>4088.6089315919912</v>
          </cell>
          <cell r="O224">
            <v>4211.2671995397513</v>
          </cell>
          <cell r="P224">
            <v>4354.4502843241034</v>
          </cell>
          <cell r="Q224">
            <v>4519.9193951284196</v>
          </cell>
          <cell r="R224">
            <v>4691.6763321433</v>
          </cell>
          <cell r="S224">
            <v>4869.9600327647458</v>
          </cell>
          <cell r="T224">
            <v>5055.0185140098065</v>
          </cell>
        </row>
        <row r="225">
          <cell r="K225" t="str">
            <v>USAEnterpriseNA67NA</v>
          </cell>
          <cell r="L225" t="str">
            <v>SR. MANAGER</v>
          </cell>
          <cell r="M225">
            <v>150.66666666666666</v>
          </cell>
          <cell r="N225">
            <v>148.82210845189425</v>
          </cell>
          <cell r="O225">
            <v>153.28677170545109</v>
          </cell>
          <cell r="P225">
            <v>158.49852194343643</v>
          </cell>
          <cell r="Q225">
            <v>164.52146577728701</v>
          </cell>
          <cell r="R225">
            <v>170.77328147682391</v>
          </cell>
          <cell r="S225">
            <v>177.26266617294323</v>
          </cell>
          <cell r="T225">
            <v>183.99864748751509</v>
          </cell>
        </row>
        <row r="226">
          <cell r="K226" t="str">
            <v>USAEnterpriseNA68NA</v>
          </cell>
          <cell r="L226" t="str">
            <v>SR. MANAGER</v>
          </cell>
          <cell r="M226">
            <v>150.66666666666666</v>
          </cell>
          <cell r="N226">
            <v>186.28166729124499</v>
          </cell>
          <cell r="O226">
            <v>191.87011730998233</v>
          </cell>
          <cell r="P226">
            <v>198.39370129852173</v>
          </cell>
          <cell r="Q226">
            <v>205.93266194786557</v>
          </cell>
          <cell r="R226">
            <v>213.75810310188447</v>
          </cell>
          <cell r="S226">
            <v>221.8809110197561</v>
          </cell>
          <cell r="T226">
            <v>230.31238563850684</v>
          </cell>
        </row>
        <row r="227">
          <cell r="K227" t="str">
            <v>USAEnterpriseNA69NA</v>
          </cell>
          <cell r="L227" t="str">
            <v>SR. MANAGER</v>
          </cell>
          <cell r="M227">
            <v>150.66666666666666</v>
          </cell>
          <cell r="N227">
            <v>250.14774077177719</v>
          </cell>
          <cell r="O227">
            <v>257.65217299493054</v>
          </cell>
          <cell r="P227">
            <v>266.41234687675819</v>
          </cell>
          <cell r="Q227">
            <v>276.53601605807501</v>
          </cell>
          <cell r="R227">
            <v>287.04438466828185</v>
          </cell>
          <cell r="S227">
            <v>297.9520712856766</v>
          </cell>
          <cell r="T227">
            <v>309.27424999453234</v>
          </cell>
        </row>
        <row r="228">
          <cell r="K228" t="str">
            <v>USAServicesDelivery Center67LT</v>
          </cell>
          <cell r="L228" t="str">
            <v>Level A</v>
          </cell>
          <cell r="M228">
            <v>151.66666666666666</v>
          </cell>
          <cell r="N228">
            <v>131.16224305037625</v>
          </cell>
          <cell r="O228">
            <v>136.05896635371616</v>
          </cell>
          <cell r="P228">
            <v>140.8210301760962</v>
          </cell>
          <cell r="Q228">
            <v>146.45387138314004</v>
          </cell>
          <cell r="R228">
            <v>152.31202623846565</v>
          </cell>
          <cell r="S228">
            <v>158.40450728800428</v>
          </cell>
          <cell r="T228">
            <v>164.74068757952446</v>
          </cell>
        </row>
        <row r="229">
          <cell r="K229" t="str">
            <v>USAServicesDelivery Center67ST</v>
          </cell>
          <cell r="L229" t="str">
            <v>Level A</v>
          </cell>
          <cell r="M229">
            <v>151.66666666666666</v>
          </cell>
          <cell r="N229">
            <v>141.65522249440636</v>
          </cell>
          <cell r="O229">
            <v>146.94368366201346</v>
          </cell>
          <cell r="P229">
            <v>152.08671259018391</v>
          </cell>
          <cell r="Q229">
            <v>158.17018109379126</v>
          </cell>
          <cell r="R229">
            <v>164.49698833754292</v>
          </cell>
          <cell r="S229">
            <v>171.07686787104464</v>
          </cell>
          <cell r="T229">
            <v>177.91994258588645</v>
          </cell>
        </row>
        <row r="230">
          <cell r="K230" t="str">
            <v>USAServicesDelivery Center68LT</v>
          </cell>
          <cell r="L230" t="str">
            <v>Level A</v>
          </cell>
          <cell r="M230">
            <v>151.66666666666666</v>
          </cell>
          <cell r="N230">
            <v>151.66382893716499</v>
          </cell>
          <cell r="O230">
            <v>157.32594471193974</v>
          </cell>
          <cell r="P230">
            <v>162.83235277685762</v>
          </cell>
          <cell r="Q230">
            <v>169.34564688793193</v>
          </cell>
          <cell r="R230">
            <v>176.11947276344921</v>
          </cell>
          <cell r="S230">
            <v>183.1642516739872</v>
          </cell>
          <cell r="T230">
            <v>190.4908217409467</v>
          </cell>
        </row>
        <row r="231">
          <cell r="K231" t="str">
            <v>USAServicesDelivery Center68ST</v>
          </cell>
          <cell r="L231" t="str">
            <v>Level A</v>
          </cell>
          <cell r="M231">
            <v>151.66666666666666</v>
          </cell>
          <cell r="N231">
            <v>163.79693525213821</v>
          </cell>
          <cell r="O231">
            <v>169.91202028889492</v>
          </cell>
          <cell r="P231">
            <v>175.85894099900622</v>
          </cell>
          <cell r="Q231">
            <v>182.89329863896648</v>
          </cell>
          <cell r="R231">
            <v>190.20903058452515</v>
          </cell>
          <cell r="S231">
            <v>197.81739180790618</v>
          </cell>
          <cell r="T231">
            <v>205.73008748022244</v>
          </cell>
        </row>
        <row r="232">
          <cell r="K232" t="str">
            <v>USAServicesDelivery Center69LT</v>
          </cell>
          <cell r="L232" t="str">
            <v>Level A</v>
          </cell>
          <cell r="M232">
            <v>151.66666666666666</v>
          </cell>
          <cell r="N232">
            <v>170.68723311227001</v>
          </cell>
          <cell r="O232">
            <v>177.05955591283731</v>
          </cell>
          <cell r="P232">
            <v>183.2566403697866</v>
          </cell>
          <cell r="Q232">
            <v>190.58690598457807</v>
          </cell>
          <cell r="R232">
            <v>198.2103822239612</v>
          </cell>
          <cell r="S232">
            <v>206.13879751291967</v>
          </cell>
          <cell r="T232">
            <v>214.38434941343647</v>
          </cell>
        </row>
        <row r="233">
          <cell r="K233" t="str">
            <v>USAServicesDelivery Center69ST</v>
          </cell>
          <cell r="L233" t="str">
            <v>Level A</v>
          </cell>
          <cell r="M233">
            <v>151.66666666666666</v>
          </cell>
          <cell r="N233">
            <v>184.3422117612516</v>
          </cell>
          <cell r="O233">
            <v>191.2243203858643</v>
          </cell>
          <cell r="P233">
            <v>197.91717159936954</v>
          </cell>
          <cell r="Q233">
            <v>205.83385846334431</v>
          </cell>
          <cell r="R233">
            <v>214.0672128018781</v>
          </cell>
          <cell r="S233">
            <v>222.62990131395324</v>
          </cell>
          <cell r="T233">
            <v>231.53509736651137</v>
          </cell>
        </row>
        <row r="234">
          <cell r="K234" t="str">
            <v>USAServicesDelivery Center70LT</v>
          </cell>
          <cell r="L234" t="str">
            <v>Level A</v>
          </cell>
          <cell r="M234">
            <v>151.66666666666666</v>
          </cell>
          <cell r="N234">
            <v>186.77360899841375</v>
          </cell>
          <cell r="O234">
            <v>193.74648977844251</v>
          </cell>
          <cell r="P234">
            <v>200.52761692068799</v>
          </cell>
          <cell r="Q234">
            <v>208.54872159751551</v>
          </cell>
          <cell r="R234">
            <v>216.89067046141614</v>
          </cell>
          <cell r="S234">
            <v>225.5662972798728</v>
          </cell>
          <cell r="T234">
            <v>234.58894917106772</v>
          </cell>
        </row>
        <row r="235">
          <cell r="K235" t="str">
            <v>USAServicesDelivery Center70ST</v>
          </cell>
          <cell r="L235" t="str">
            <v>Level A</v>
          </cell>
          <cell r="M235">
            <v>151.66666666666666</v>
          </cell>
          <cell r="N235">
            <v>201.71549771828685</v>
          </cell>
          <cell r="O235">
            <v>209.24620896071792</v>
          </cell>
          <cell r="P235">
            <v>216.56982627434303</v>
          </cell>
          <cell r="Q235">
            <v>225.23261932531676</v>
          </cell>
          <cell r="R235">
            <v>234.24192409832943</v>
          </cell>
          <cell r="S235">
            <v>243.61160106226262</v>
          </cell>
          <cell r="T235">
            <v>253.35606510475313</v>
          </cell>
        </row>
        <row r="236">
          <cell r="K236" t="str">
            <v>USAServicesDelivery Center71LT</v>
          </cell>
          <cell r="L236" t="str">
            <v>Level A</v>
          </cell>
          <cell r="M236">
            <v>151.66666666666666</v>
          </cell>
          <cell r="N236">
            <v>210.01547782654998</v>
          </cell>
          <cell r="O236">
            <v>217.85605496535626</v>
          </cell>
          <cell r="P236">
            <v>225.48101688914372</v>
          </cell>
          <cell r="Q236">
            <v>234.50025756470947</v>
          </cell>
          <cell r="R236">
            <v>243.88026786729785</v>
          </cell>
          <cell r="S236">
            <v>253.63547858198976</v>
          </cell>
          <cell r="T236">
            <v>263.78089772526937</v>
          </cell>
        </row>
        <row r="237">
          <cell r="K237" t="str">
            <v>USAServicesDelivery Center71ST</v>
          </cell>
          <cell r="L237" t="str">
            <v>Level A</v>
          </cell>
          <cell r="M237">
            <v>151.66666666666666</v>
          </cell>
          <cell r="N237">
            <v>226.816716052674</v>
          </cell>
          <cell r="O237">
            <v>235.28453936258478</v>
          </cell>
          <cell r="P237">
            <v>243.51949824027523</v>
          </cell>
          <cell r="Q237">
            <v>253.26027816988625</v>
          </cell>
          <cell r="R237">
            <v>263.39068929668173</v>
          </cell>
          <cell r="S237">
            <v>273.92631686854901</v>
          </cell>
          <cell r="T237">
            <v>284.883369543291</v>
          </cell>
        </row>
        <row r="238">
          <cell r="K238" t="str">
            <v>USAServicesDelivery Center72LT</v>
          </cell>
          <cell r="L238" t="str">
            <v>Level A</v>
          </cell>
          <cell r="M238">
            <v>151.66666666666666</v>
          </cell>
          <cell r="N238">
            <v>269.77086527202374</v>
          </cell>
          <cell r="O238">
            <v>279.84231000960978</v>
          </cell>
          <cell r="P238">
            <v>289.63679085994607</v>
          </cell>
          <cell r="Q238">
            <v>301.22226249434391</v>
          </cell>
          <cell r="R238">
            <v>313.2711529941177</v>
          </cell>
          <cell r="S238">
            <v>325.8019991138824</v>
          </cell>
          <cell r="T238">
            <v>338.8340790784377</v>
          </cell>
        </row>
        <row r="239">
          <cell r="K239" t="str">
            <v>USAServicesDelivery Center72ST</v>
          </cell>
          <cell r="L239" t="str">
            <v>Level A</v>
          </cell>
          <cell r="M239">
            <v>151.66666666666666</v>
          </cell>
          <cell r="N239">
            <v>291.35253449378564</v>
          </cell>
          <cell r="O239">
            <v>302.22969481037853</v>
          </cell>
          <cell r="P239">
            <v>312.80773412874174</v>
          </cell>
          <cell r="Q239">
            <v>325.32004349389143</v>
          </cell>
          <cell r="R239">
            <v>338.33284523364711</v>
          </cell>
          <cell r="S239">
            <v>351.86615904299299</v>
          </cell>
          <cell r="T239">
            <v>365.94080540471271</v>
          </cell>
        </row>
        <row r="240">
          <cell r="K240" t="str">
            <v>USAServicesDelivery Center60LT</v>
          </cell>
          <cell r="L240" t="str">
            <v>Level B</v>
          </cell>
          <cell r="M240">
            <v>151.66666666666666</v>
          </cell>
          <cell r="N240">
            <v>98.528211129956262</v>
          </cell>
          <cell r="O240">
            <v>102.20659735038059</v>
          </cell>
          <cell r="P240">
            <v>105.7838282576439</v>
          </cell>
          <cell r="Q240">
            <v>110.01518138794967</v>
          </cell>
          <cell r="R240">
            <v>114.41578864346766</v>
          </cell>
          <cell r="S240">
            <v>118.99242018920637</v>
          </cell>
          <cell r="T240">
            <v>123.75211699677463</v>
          </cell>
        </row>
        <row r="241">
          <cell r="K241" t="str">
            <v>USAServicesDelivery Center60ST</v>
          </cell>
          <cell r="L241" t="str">
            <v>Level B</v>
          </cell>
          <cell r="M241">
            <v>151.66666666666666</v>
          </cell>
          <cell r="N241">
            <v>106.41046802035277</v>
          </cell>
          <cell r="O241">
            <v>110.38312513841105</v>
          </cell>
          <cell r="P241">
            <v>114.24653451825543</v>
          </cell>
          <cell r="Q241">
            <v>118.81639589898565</v>
          </cell>
          <cell r="R241">
            <v>123.56905173494508</v>
          </cell>
          <cell r="S241">
            <v>128.51181380434289</v>
          </cell>
          <cell r="T241">
            <v>133.65228635651661</v>
          </cell>
        </row>
        <row r="242">
          <cell r="K242" t="str">
            <v>USAServicesDelivery Center61LT</v>
          </cell>
          <cell r="L242" t="str">
            <v>Level B</v>
          </cell>
          <cell r="M242">
            <v>151.66666666666666</v>
          </cell>
          <cell r="N242">
            <v>112.69968460008876</v>
          </cell>
          <cell r="O242">
            <v>116.9071391161598</v>
          </cell>
          <cell r="P242">
            <v>120.99888898522538</v>
          </cell>
          <cell r="Q242">
            <v>125.8388445446344</v>
          </cell>
          <cell r="R242">
            <v>130.87239832641978</v>
          </cell>
          <cell r="S242">
            <v>136.10729425947659</v>
          </cell>
          <cell r="T242">
            <v>141.55158602985566</v>
          </cell>
        </row>
        <row r="243">
          <cell r="K243" t="str">
            <v>USAServicesDelivery Center61ST</v>
          </cell>
          <cell r="L243" t="str">
            <v>Level B</v>
          </cell>
          <cell r="M243">
            <v>151.66666666666666</v>
          </cell>
          <cell r="N243">
            <v>121.71565936809587</v>
          </cell>
          <cell r="O243">
            <v>126.2597102454526</v>
          </cell>
          <cell r="P243">
            <v>130.67880010404343</v>
          </cell>
          <cell r="Q243">
            <v>135.90595210820518</v>
          </cell>
          <cell r="R243">
            <v>141.34219019253339</v>
          </cell>
          <cell r="S243">
            <v>146.99587780023472</v>
          </cell>
          <cell r="T243">
            <v>152.87571291224413</v>
          </cell>
        </row>
        <row r="244">
          <cell r="K244" t="str">
            <v>USAServicesDelivery Center62LT</v>
          </cell>
          <cell r="L244" t="str">
            <v>Level B</v>
          </cell>
          <cell r="M244">
            <v>151.66666666666666</v>
          </cell>
          <cell r="N244">
            <v>126.70304220163001</v>
          </cell>
          <cell r="O244">
            <v>131.4332886881474</v>
          </cell>
          <cell r="P244">
            <v>136.03345379223254</v>
          </cell>
          <cell r="Q244">
            <v>141.47479194392184</v>
          </cell>
          <cell r="R244">
            <v>147.13378362167873</v>
          </cell>
          <cell r="S244">
            <v>153.01913496654589</v>
          </cell>
          <cell r="T244">
            <v>159.13990036520772</v>
          </cell>
        </row>
        <row r="245">
          <cell r="K245" t="str">
            <v>USAServicesDelivery Center62ST</v>
          </cell>
          <cell r="L245" t="str">
            <v>Level B</v>
          </cell>
          <cell r="M245">
            <v>151.66666666666666</v>
          </cell>
          <cell r="N245">
            <v>136.83928557776042</v>
          </cell>
          <cell r="O245">
            <v>141.94795178319919</v>
          </cell>
          <cell r="P245">
            <v>146.91613009561115</v>
          </cell>
          <cell r="Q245">
            <v>152.79277529943559</v>
          </cell>
          <cell r="R245">
            <v>158.90448631141302</v>
          </cell>
          <cell r="S245">
            <v>165.26066576386955</v>
          </cell>
          <cell r="T245">
            <v>171.87109239442435</v>
          </cell>
        </row>
        <row r="246">
          <cell r="K246" t="str">
            <v>USAServicesDelivery Center63LT</v>
          </cell>
          <cell r="L246" t="str">
            <v>Level B</v>
          </cell>
          <cell r="M246">
            <v>151.66666666666666</v>
          </cell>
          <cell r="N246">
            <v>140.84050022476376</v>
          </cell>
          <cell r="O246">
            <v>146.09854509701995</v>
          </cell>
          <cell r="P246">
            <v>151.21199417541564</v>
          </cell>
          <cell r="Q246">
            <v>157.26047394243227</v>
          </cell>
          <cell r="R246">
            <v>163.55089290012955</v>
          </cell>
          <cell r="S246">
            <v>170.09292861613474</v>
          </cell>
          <cell r="T246">
            <v>176.89664576078013</v>
          </cell>
        </row>
        <row r="247">
          <cell r="K247" t="str">
            <v>USAServicesDelivery Center63ST</v>
          </cell>
          <cell r="L247" t="str">
            <v>Level B</v>
          </cell>
          <cell r="M247">
            <v>151.66666666666666</v>
          </cell>
          <cell r="N247">
            <v>152.10774024274488</v>
          </cell>
          <cell r="O247">
            <v>157.78642870478157</v>
          </cell>
          <cell r="P247">
            <v>163.3089537094489</v>
          </cell>
          <cell r="Q247">
            <v>169.84131185782687</v>
          </cell>
          <cell r="R247">
            <v>176.63496433213996</v>
          </cell>
          <cell r="S247">
            <v>183.70036290542555</v>
          </cell>
          <cell r="T247">
            <v>191.04837742164258</v>
          </cell>
        </row>
        <row r="248">
          <cell r="K248" t="str">
            <v>USAServicesDelivery Center64LT</v>
          </cell>
          <cell r="L248" t="str">
            <v>Level B</v>
          </cell>
          <cell r="M248">
            <v>151.66666666666666</v>
          </cell>
          <cell r="N248">
            <v>149.78003635687625</v>
          </cell>
          <cell r="O248">
            <v>155.37182388159951</v>
          </cell>
          <cell r="P248">
            <v>160.80983771745548</v>
          </cell>
          <cell r="Q248">
            <v>167.24223122615371</v>
          </cell>
          <cell r="R248">
            <v>173.93192047519986</v>
          </cell>
          <cell r="S248">
            <v>180.88919729420786</v>
          </cell>
          <cell r="T248">
            <v>188.12476518597617</v>
          </cell>
        </row>
        <row r="249">
          <cell r="K249" t="str">
            <v>USAServicesDelivery Center64ST</v>
          </cell>
          <cell r="L249" t="str">
            <v>Level B</v>
          </cell>
          <cell r="M249">
            <v>151.66666666666666</v>
          </cell>
          <cell r="N249">
            <v>161.76243926542637</v>
          </cell>
          <cell r="O249">
            <v>167.80156979212748</v>
          </cell>
          <cell r="P249">
            <v>173.67462473485193</v>
          </cell>
          <cell r="Q249">
            <v>180.62160972424601</v>
          </cell>
          <cell r="R249">
            <v>187.84647411321586</v>
          </cell>
          <cell r="S249">
            <v>195.36033307774451</v>
          </cell>
          <cell r="T249">
            <v>203.1747464008543</v>
          </cell>
        </row>
        <row r="250">
          <cell r="K250" t="str">
            <v>USAServicesDelivery Center65LT</v>
          </cell>
          <cell r="L250" t="str">
            <v>Level B</v>
          </cell>
          <cell r="M250">
            <v>151.66666666666666</v>
          </cell>
          <cell r="N250">
            <v>162.36191051046376</v>
          </cell>
          <cell r="O250">
            <v>168.42342129498138</v>
          </cell>
          <cell r="P250">
            <v>174.31824104030571</v>
          </cell>
          <cell r="Q250">
            <v>181.29097068191794</v>
          </cell>
          <cell r="R250">
            <v>188.54260950919468</v>
          </cell>
          <cell r="S250">
            <v>196.08431388956248</v>
          </cell>
          <cell r="T250">
            <v>203.92768644514499</v>
          </cell>
        </row>
        <row r="251">
          <cell r="K251" t="str">
            <v>USAServicesDelivery Center65ST</v>
          </cell>
          <cell r="L251" t="str">
            <v>Level B</v>
          </cell>
          <cell r="M251">
            <v>151.66666666666666</v>
          </cell>
          <cell r="N251">
            <v>175.35086335130086</v>
          </cell>
          <cell r="O251">
            <v>181.89729499857989</v>
          </cell>
          <cell r="P251">
            <v>188.26370032353017</v>
          </cell>
          <cell r="Q251">
            <v>195.79424833647138</v>
          </cell>
          <cell r="R251">
            <v>203.62601826993026</v>
          </cell>
          <cell r="S251">
            <v>211.77105900072746</v>
          </cell>
          <cell r="T251">
            <v>220.24190136075657</v>
          </cell>
        </row>
        <row r="252">
          <cell r="K252" t="str">
            <v>USAServicesDelivery Center66LT</v>
          </cell>
          <cell r="L252" t="str">
            <v>Level B</v>
          </cell>
          <cell r="M252">
            <v>151.66666666666666</v>
          </cell>
          <cell r="N252">
            <v>186.84169977620374</v>
          </cell>
          <cell r="O252">
            <v>193.81712261170969</v>
          </cell>
          <cell r="P252">
            <v>200.60072190311951</v>
          </cell>
          <cell r="Q252">
            <v>208.62475077924429</v>
          </cell>
          <cell r="R252">
            <v>216.96974081041407</v>
          </cell>
          <cell r="S252">
            <v>225.64853044283063</v>
          </cell>
          <cell r="T252">
            <v>234.67447166054387</v>
          </cell>
        </row>
        <row r="253">
          <cell r="K253" t="str">
            <v>USAServicesDelivery Center66ST</v>
          </cell>
          <cell r="L253" t="str">
            <v>Level B</v>
          </cell>
          <cell r="M253">
            <v>151.66666666666666</v>
          </cell>
          <cell r="N253">
            <v>201.78903575830006</v>
          </cell>
          <cell r="O253">
            <v>209.32249242064648</v>
          </cell>
          <cell r="P253">
            <v>216.64877965536908</v>
          </cell>
          <cell r="Q253">
            <v>225.31473084158387</v>
          </cell>
          <cell r="R253">
            <v>234.32732007524723</v>
          </cell>
          <cell r="S253">
            <v>243.70041287825714</v>
          </cell>
          <cell r="T253">
            <v>253.44842939338744</v>
          </cell>
        </row>
        <row r="254">
          <cell r="K254" t="str">
            <v>USAServicesDelivery Center54LT</v>
          </cell>
          <cell r="L254" t="str">
            <v>Level C</v>
          </cell>
          <cell r="M254">
            <v>151.66666666666666</v>
          </cell>
          <cell r="N254">
            <v>77.051531552610001</v>
          </cell>
          <cell r="O254">
            <v>79.928121807069004</v>
          </cell>
          <cell r="P254">
            <v>82.725606070316417</v>
          </cell>
          <cell r="Q254">
            <v>86.034630313129071</v>
          </cell>
          <cell r="R254">
            <v>89.476015525654233</v>
          </cell>
          <cell r="S254">
            <v>93.0550561466804</v>
          </cell>
          <cell r="T254">
            <v>96.777258392547623</v>
          </cell>
        </row>
        <row r="255">
          <cell r="K255" t="str">
            <v>USAServicesDelivery Center54ST</v>
          </cell>
          <cell r="L255" t="str">
            <v>Level C</v>
          </cell>
          <cell r="M255">
            <v>151.66666666666666</v>
          </cell>
          <cell r="N255">
            <v>83.215654076818808</v>
          </cell>
          <cell r="O255">
            <v>86.322371551634532</v>
          </cell>
          <cell r="P255">
            <v>89.34365455594174</v>
          </cell>
          <cell r="Q255">
            <v>92.91740073817941</v>
          </cell>
          <cell r="R255">
            <v>96.634096767706595</v>
          </cell>
          <cell r="S255">
            <v>100.49946063841486</v>
          </cell>
          <cell r="T255">
            <v>104.51943906395145</v>
          </cell>
        </row>
        <row r="256">
          <cell r="K256" t="str">
            <v>USAServicesDelivery Center55LT</v>
          </cell>
          <cell r="L256" t="str">
            <v>Level C</v>
          </cell>
          <cell r="M256">
            <v>151.66666666666666</v>
          </cell>
          <cell r="N256">
            <v>93.768877426971244</v>
          </cell>
          <cell r="O256">
            <v>97.269581871681922</v>
          </cell>
          <cell r="P256">
            <v>100.67401723719078</v>
          </cell>
          <cell r="Q256">
            <v>104.70097792667842</v>
          </cell>
          <cell r="R256">
            <v>108.88901704374555</v>
          </cell>
          <cell r="S256">
            <v>113.24457772549538</v>
          </cell>
          <cell r="T256">
            <v>117.77436083451519</v>
          </cell>
        </row>
        <row r="257">
          <cell r="K257" t="str">
            <v>USAServicesDelivery Center55ST</v>
          </cell>
          <cell r="L257" t="str">
            <v>Level C</v>
          </cell>
          <cell r="M257">
            <v>151.66666666666666</v>
          </cell>
          <cell r="N257">
            <v>101.27038762112896</v>
          </cell>
          <cell r="O257">
            <v>105.05114842141649</v>
          </cell>
          <cell r="P257">
            <v>108.72793861616606</v>
          </cell>
          <cell r="Q257">
            <v>113.0770561608127</v>
          </cell>
          <cell r="R257">
            <v>117.60013840724521</v>
          </cell>
          <cell r="S257">
            <v>122.30414394353502</v>
          </cell>
          <cell r="T257">
            <v>127.19630970127643</v>
          </cell>
        </row>
        <row r="258">
          <cell r="K258" t="str">
            <v>USAServicesDelivery Center56LT</v>
          </cell>
          <cell r="L258" t="str">
            <v>Level C</v>
          </cell>
          <cell r="M258">
            <v>151.66666666666666</v>
          </cell>
          <cell r="N258">
            <v>109.36310656238126</v>
          </cell>
          <cell r="O258">
            <v>113.44599550949981</v>
          </cell>
          <cell r="P258">
            <v>117.4166053523323</v>
          </cell>
          <cell r="Q258">
            <v>122.11326956642559</v>
          </cell>
          <cell r="R258">
            <v>126.99780034908261</v>
          </cell>
          <cell r="S258">
            <v>132.07771236304592</v>
          </cell>
          <cell r="T258">
            <v>137.36082085756777</v>
          </cell>
        </row>
        <row r="259">
          <cell r="K259" t="str">
            <v>USAServicesDelivery Center56ST</v>
          </cell>
          <cell r="L259" t="str">
            <v>Level C</v>
          </cell>
          <cell r="M259">
            <v>151.66666666666666</v>
          </cell>
          <cell r="N259">
            <v>118.11215508737176</v>
          </cell>
          <cell r="O259">
            <v>122.5216751502598</v>
          </cell>
          <cell r="P259">
            <v>126.80993378051888</v>
          </cell>
          <cell r="Q259">
            <v>131.88233113173965</v>
          </cell>
          <cell r="R259">
            <v>137.15762437700923</v>
          </cell>
          <cell r="S259">
            <v>142.6439293520896</v>
          </cell>
          <cell r="T259">
            <v>148.3496865261732</v>
          </cell>
        </row>
        <row r="260">
          <cell r="K260" t="str">
            <v>USAServicesDelivery Center57LT</v>
          </cell>
          <cell r="L260" t="str">
            <v>Level C</v>
          </cell>
          <cell r="M260">
            <v>151.66666666666666</v>
          </cell>
          <cell r="N260">
            <v>131.62433844831</v>
          </cell>
          <cell r="O260">
            <v>136.53831331163246</v>
          </cell>
          <cell r="P260">
            <v>141.3171542775396</v>
          </cell>
          <cell r="Q260">
            <v>146.96984044864118</v>
          </cell>
          <cell r="R260">
            <v>152.84863406658684</v>
          </cell>
          <cell r="S260">
            <v>158.96257942925033</v>
          </cell>
          <cell r="T260">
            <v>165.32108260642033</v>
          </cell>
        </row>
        <row r="261">
          <cell r="K261" t="str">
            <v>USAServicesDelivery Center57ST</v>
          </cell>
          <cell r="L261" t="str">
            <v>Level C</v>
          </cell>
          <cell r="M261">
            <v>151.66666666666666</v>
          </cell>
          <cell r="N261">
            <v>142.15428552417481</v>
          </cell>
          <cell r="O261">
            <v>147.46137837656306</v>
          </cell>
          <cell r="P261">
            <v>152.62252661974276</v>
          </cell>
          <cell r="Q261">
            <v>158.72742768453247</v>
          </cell>
          <cell r="R261">
            <v>165.07652479191378</v>
          </cell>
          <cell r="S261">
            <v>171.67958578359034</v>
          </cell>
          <cell r="T261">
            <v>178.54676921493396</v>
          </cell>
        </row>
        <row r="262">
          <cell r="K262" t="str">
            <v>USAServicesDelivery Center50LT</v>
          </cell>
          <cell r="L262" t="str">
            <v>Level D</v>
          </cell>
          <cell r="M262">
            <v>151.66666666666666</v>
          </cell>
          <cell r="N262">
            <v>62.051996572438746</v>
          </cell>
          <cell r="O262">
            <v>64.368604237636475</v>
          </cell>
          <cell r="P262">
            <v>66.621505385953753</v>
          </cell>
          <cell r="Q262">
            <v>69.286365601391907</v>
          </cell>
          <cell r="R262">
            <v>72.057820225447585</v>
          </cell>
          <cell r="S262">
            <v>74.940133034465489</v>
          </cell>
          <cell r="T262">
            <v>77.937738355844118</v>
          </cell>
        </row>
        <row r="263">
          <cell r="K263" t="str">
            <v>USAServicesDelivery Center50ST</v>
          </cell>
          <cell r="L263" t="str">
            <v>Level D</v>
          </cell>
          <cell r="M263">
            <v>151.66666666666666</v>
          </cell>
          <cell r="N263">
            <v>67.016156298233852</v>
          </cell>
          <cell r="O263">
            <v>69.518092576647405</v>
          </cell>
          <cell r="P263">
            <v>71.95122581683006</v>
          </cell>
          <cell r="Q263">
            <v>74.829274849503264</v>
          </cell>
          <cell r="R263">
            <v>77.822445843483393</v>
          </cell>
          <cell r="S263">
            <v>80.935343677222733</v>
          </cell>
          <cell r="T263">
            <v>84.172757424311641</v>
          </cell>
        </row>
        <row r="264">
          <cell r="K264" t="str">
            <v>USAServicesDelivery Center51LT</v>
          </cell>
          <cell r="L264" t="str">
            <v>Level D</v>
          </cell>
          <cell r="M264">
            <v>151.66666666666666</v>
          </cell>
          <cell r="N264">
            <v>76.378591326208749</v>
          </cell>
          <cell r="O264">
            <v>79.230058481125241</v>
          </cell>
          <cell r="P264">
            <v>82.003110527964623</v>
          </cell>
          <cell r="Q264">
            <v>85.283234949083209</v>
          </cell>
          <cell r="R264">
            <v>88.694564347046537</v>
          </cell>
          <cell r="S264">
            <v>92.242346920928398</v>
          </cell>
          <cell r="T264">
            <v>95.932040797765538</v>
          </cell>
        </row>
        <row r="265">
          <cell r="K265" t="str">
            <v>USAServicesDelivery Center51ST</v>
          </cell>
          <cell r="L265" t="str">
            <v>Level D</v>
          </cell>
          <cell r="M265">
            <v>151.66666666666666</v>
          </cell>
          <cell r="N265">
            <v>82.488878632305457</v>
          </cell>
          <cell r="O265">
            <v>85.568463159615277</v>
          </cell>
          <cell r="P265">
            <v>88.563359370201809</v>
          </cell>
          <cell r="Q265">
            <v>92.10589374500988</v>
          </cell>
          <cell r="R265">
            <v>95.790129494810273</v>
          </cell>
          <cell r="S265">
            <v>99.621734674602692</v>
          </cell>
          <cell r="T265">
            <v>103.60660406158681</v>
          </cell>
        </row>
        <row r="266">
          <cell r="K266" t="str">
            <v>USAServicesDelivery Center52LT</v>
          </cell>
          <cell r="L266" t="str">
            <v>Level D</v>
          </cell>
          <cell r="M266">
            <v>151.66666666666666</v>
          </cell>
          <cell r="N266">
            <v>90.272179070103746</v>
          </cell>
          <cell r="O266">
            <v>93.642340121147029</v>
          </cell>
          <cell r="P266">
            <v>96.919822025387163</v>
          </cell>
          <cell r="Q266">
            <v>100.79661490640265</v>
          </cell>
          <cell r="R266">
            <v>104.82847950265877</v>
          </cell>
          <cell r="S266">
            <v>109.02161868276512</v>
          </cell>
          <cell r="T266">
            <v>113.38248343007574</v>
          </cell>
        </row>
        <row r="267">
          <cell r="K267" t="str">
            <v>USAServicesDelivery Center52ST</v>
          </cell>
          <cell r="L267" t="str">
            <v>Level D</v>
          </cell>
          <cell r="M267">
            <v>151.66666666666666</v>
          </cell>
          <cell r="N267">
            <v>97.493953395712055</v>
          </cell>
          <cell r="O267">
            <v>101.13372733083879</v>
          </cell>
          <cell r="P267">
            <v>104.67340778741814</v>
          </cell>
          <cell r="Q267">
            <v>108.86034409891487</v>
          </cell>
          <cell r="R267">
            <v>113.21475786287147</v>
          </cell>
          <cell r="S267">
            <v>117.74334817738632</v>
          </cell>
          <cell r="T267">
            <v>122.45308210448178</v>
          </cell>
        </row>
        <row r="268">
          <cell r="K268" t="str">
            <v>USAServicesDelivery Center53LT</v>
          </cell>
          <cell r="L268" t="str">
            <v>Level D</v>
          </cell>
          <cell r="M268">
            <v>151.66666666666666</v>
          </cell>
          <cell r="N268">
            <v>102.50960268500499</v>
          </cell>
          <cell r="O268">
            <v>106.33662751021318</v>
          </cell>
          <cell r="P268">
            <v>110.05840947307063</v>
          </cell>
          <cell r="Q268">
            <v>114.46074585199345</v>
          </cell>
          <cell r="R268">
            <v>119.03917568607319</v>
          </cell>
          <cell r="S268">
            <v>123.80074271351613</v>
          </cell>
          <cell r="T268">
            <v>128.75277242205678</v>
          </cell>
        </row>
        <row r="269">
          <cell r="K269" t="str">
            <v>USAServicesDelivery Center53ST</v>
          </cell>
          <cell r="L269" t="str">
            <v>Level D</v>
          </cell>
          <cell r="M269">
            <v>151.66666666666666</v>
          </cell>
          <cell r="N269">
            <v>110.7103708998054</v>
          </cell>
          <cell r="O269">
            <v>114.84355771103023</v>
          </cell>
          <cell r="P269">
            <v>118.86308223091628</v>
          </cell>
          <cell r="Q269">
            <v>123.61760552015294</v>
          </cell>
          <cell r="R269">
            <v>128.56230974095905</v>
          </cell>
          <cell r="S269">
            <v>133.70480213059741</v>
          </cell>
          <cell r="T269">
            <v>139.05299421582131</v>
          </cell>
        </row>
        <row r="270">
          <cell r="K270" t="str">
            <v>USAServicesDelivery Center34LT</v>
          </cell>
          <cell r="L270" t="str">
            <v>Level E</v>
          </cell>
          <cell r="M270">
            <v>151.66666666666666</v>
          </cell>
          <cell r="N270">
            <v>46.808572242845003</v>
          </cell>
          <cell r="O270">
            <v>48.556092117215975</v>
          </cell>
          <cell r="P270">
            <v>50.255555341318534</v>
          </cell>
          <cell r="Q270">
            <v>52.26577755497128</v>
          </cell>
          <cell r="R270">
            <v>54.356408657170135</v>
          </cell>
          <cell r="S270">
            <v>56.530665003456946</v>
          </cell>
          <cell r="T270">
            <v>58.791891603595225</v>
          </cell>
        </row>
        <row r="271">
          <cell r="K271" t="str">
            <v>USAServicesDelivery Center34ST</v>
          </cell>
          <cell r="L271" t="str">
            <v>Level E</v>
          </cell>
          <cell r="M271">
            <v>151.66666666666666</v>
          </cell>
          <cell r="N271">
            <v>50.553258022272601</v>
          </cell>
          <cell r="O271">
            <v>52.440579486593258</v>
          </cell>
          <cell r="P271">
            <v>54.275999768624018</v>
          </cell>
          <cell r="Q271">
            <v>56.447039759368984</v>
          </cell>
          <cell r="R271">
            <v>58.704921349743742</v>
          </cell>
          <cell r="S271">
            <v>61.053118203733497</v>
          </cell>
          <cell r="T271">
            <v>63.495242931882842</v>
          </cell>
        </row>
        <row r="272">
          <cell r="K272" t="str">
            <v>USAServicesDelivery Center35LT</v>
          </cell>
          <cell r="L272" t="str">
            <v>Level E</v>
          </cell>
          <cell r="M272">
            <v>151.66666666666666</v>
          </cell>
          <cell r="N272">
            <v>59.696149841283756</v>
          </cell>
          <cell r="O272">
            <v>61.92480590303785</v>
          </cell>
          <cell r="P272">
            <v>64.092174109644176</v>
          </cell>
          <cell r="Q272">
            <v>66.655861074029943</v>
          </cell>
          <cell r="R272">
            <v>69.322095516991141</v>
          </cell>
          <cell r="S272">
            <v>72.094979337670793</v>
          </cell>
          <cell r="T272">
            <v>74.978778511177623</v>
          </cell>
        </row>
        <row r="273">
          <cell r="K273" t="str">
            <v>USAServicesDelivery Center35ST</v>
          </cell>
          <cell r="L273" t="str">
            <v>Level E</v>
          </cell>
          <cell r="M273">
            <v>151.66666666666666</v>
          </cell>
          <cell r="N273">
            <v>64.471841828586463</v>
          </cell>
          <cell r="O273">
            <v>66.878790375280886</v>
          </cell>
          <cell r="P273">
            <v>69.219548038415709</v>
          </cell>
          <cell r="Q273">
            <v>71.988329959952338</v>
          </cell>
          <cell r="R273">
            <v>74.867863158350431</v>
          </cell>
          <cell r="S273">
            <v>77.862577684684453</v>
          </cell>
          <cell r="T273">
            <v>80.977080792071831</v>
          </cell>
        </row>
        <row r="274">
          <cell r="K274" t="str">
            <v>USAServicesDelivery Center36LT</v>
          </cell>
          <cell r="L274" t="str">
            <v>Level E</v>
          </cell>
          <cell r="M274">
            <v>151.66666666666666</v>
          </cell>
          <cell r="N274">
            <v>74.591898904308749</v>
          </cell>
          <cell r="O274">
            <v>77.376662881429951</v>
          </cell>
          <cell r="P274">
            <v>80.084846082279995</v>
          </cell>
          <cell r="Q274">
            <v>83.288239925571204</v>
          </cell>
          <cell r="R274">
            <v>86.619769522594055</v>
          </cell>
          <cell r="S274">
            <v>90.084560303497824</v>
          </cell>
          <cell r="T274">
            <v>93.687942715637746</v>
          </cell>
        </row>
        <row r="275">
          <cell r="K275" t="str">
            <v>USAServicesDelivery Center36ST</v>
          </cell>
          <cell r="L275" t="str">
            <v>Level E</v>
          </cell>
          <cell r="M275">
            <v>151.66666666666666</v>
          </cell>
          <cell r="N275">
            <v>80.55925081665346</v>
          </cell>
          <cell r="O275">
            <v>83.566795911944354</v>
          </cell>
          <cell r="P275">
            <v>86.4916337688624</v>
          </cell>
          <cell r="Q275">
            <v>89.951299119616905</v>
          </cell>
          <cell r="R275">
            <v>93.549351084401579</v>
          </cell>
          <cell r="S275">
            <v>97.29132512777764</v>
          </cell>
          <cell r="T275">
            <v>101.18297813288875</v>
          </cell>
        </row>
        <row r="276">
          <cell r="K276" t="str">
            <v>USAServicesDelivery Center30LT</v>
          </cell>
          <cell r="L276" t="str">
            <v>Level F</v>
          </cell>
          <cell r="M276">
            <v>151.66666666666666</v>
          </cell>
          <cell r="N276">
            <v>37.305534579804998</v>
          </cell>
          <cell r="O276">
            <v>38.69827441309927</v>
          </cell>
          <cell r="P276">
            <v>40.05271401755774</v>
          </cell>
          <cell r="Q276">
            <v>41.654822578260053</v>
          </cell>
          <cell r="R276">
            <v>43.321015481390454</v>
          </cell>
          <cell r="S276">
            <v>45.053856100646072</v>
          </cell>
          <cell r="T276">
            <v>46.856010344671915</v>
          </cell>
        </row>
        <row r="277">
          <cell r="K277" t="str">
            <v>USAServicesDelivery Center30ST</v>
          </cell>
          <cell r="L277" t="str">
            <v>Level F</v>
          </cell>
          <cell r="M277">
            <v>151.66666666666666</v>
          </cell>
          <cell r="N277">
            <v>40.289977346189403</v>
          </cell>
          <cell r="O277">
            <v>41.794136366147221</v>
          </cell>
          <cell r="P277">
            <v>43.256931138962372</v>
          </cell>
          <cell r="Q277">
            <v>44.987208384520869</v>
          </cell>
          <cell r="R277">
            <v>46.786696719901705</v>
          </cell>
          <cell r="S277">
            <v>48.658164588697773</v>
          </cell>
          <cell r="T277">
            <v>50.604491172245687</v>
          </cell>
        </row>
        <row r="278">
          <cell r="K278" t="str">
            <v>USAServicesDelivery Center31LT</v>
          </cell>
          <cell r="L278" t="str">
            <v>Level F</v>
          </cell>
          <cell r="M278">
            <v>151.66666666666666</v>
          </cell>
          <cell r="N278">
            <v>45.70878082321375</v>
          </cell>
          <cell r="O278">
            <v>47.415241821584466</v>
          </cell>
          <cell r="P278">
            <v>49.074775285339918</v>
          </cell>
          <cell r="Q278">
            <v>51.037766296753517</v>
          </cell>
          <cell r="R278">
            <v>53.079276948623658</v>
          </cell>
          <cell r="S278">
            <v>55.202448026568604</v>
          </cell>
          <cell r="T278">
            <v>57.410545947631348</v>
          </cell>
        </row>
        <row r="279">
          <cell r="K279" t="str">
            <v>USAServicesDelivery Center31ST</v>
          </cell>
          <cell r="L279" t="str">
            <v>Level F</v>
          </cell>
          <cell r="M279">
            <v>151.66666666666666</v>
          </cell>
          <cell r="N279">
            <v>49.365483289070852</v>
          </cell>
          <cell r="O279">
            <v>51.208461167311221</v>
          </cell>
          <cell r="P279">
            <v>53.00075730816711</v>
          </cell>
          <cell r="Q279">
            <v>55.120787600493799</v>
          </cell>
          <cell r="R279">
            <v>57.325619104513549</v>
          </cell>
          <cell r="S279">
            <v>59.618643868694093</v>
          </cell>
          <cell r="T279">
            <v>62.003389623441862</v>
          </cell>
        </row>
        <row r="280">
          <cell r="K280" t="str">
            <v>USAServicesDelivery Center32LT</v>
          </cell>
          <cell r="L280" t="str">
            <v>Level F</v>
          </cell>
          <cell r="M280">
            <v>151.66666666666666</v>
          </cell>
          <cell r="N280">
            <v>51.924180267827502</v>
          </cell>
          <cell r="O280">
            <v>53.862682824745796</v>
          </cell>
          <cell r="P280">
            <v>55.747876723611895</v>
          </cell>
          <cell r="Q280">
            <v>57.977791792556374</v>
          </cell>
          <cell r="R280">
            <v>60.296903464258634</v>
          </cell>
          <cell r="S280">
            <v>62.708779602828983</v>
          </cell>
          <cell r="T280">
            <v>65.21713078694215</v>
          </cell>
        </row>
        <row r="281">
          <cell r="K281" t="str">
            <v>USAServicesDelivery Center32ST</v>
          </cell>
          <cell r="L281" t="str">
            <v>Level F</v>
          </cell>
          <cell r="M281">
            <v>151.66666666666666</v>
          </cell>
          <cell r="N281">
            <v>56.078114689253709</v>
          </cell>
          <cell r="O281">
            <v>58.171697450725468</v>
          </cell>
          <cell r="P281">
            <v>60.207706861500853</v>
          </cell>
          <cell r="Q281">
            <v>62.616015135960886</v>
          </cell>
          <cell r="R281">
            <v>65.120655741399318</v>
          </cell>
          <cell r="S281">
            <v>67.725481971055288</v>
          </cell>
          <cell r="T281">
            <v>70.434501249897508</v>
          </cell>
        </row>
        <row r="282">
          <cell r="K282" t="str">
            <v>USAServicesDelivery Center33LT</v>
          </cell>
          <cell r="L282" t="str">
            <v>Level F</v>
          </cell>
          <cell r="M282">
            <v>151.66666666666666</v>
          </cell>
          <cell r="N282">
            <v>60.165649925683752</v>
          </cell>
          <cell r="O282">
            <v>62.411833989023783</v>
          </cell>
          <cell r="P282">
            <v>64.596248178639613</v>
          </cell>
          <cell r="Q282">
            <v>67.180098105785206</v>
          </cell>
          <cell r="R282">
            <v>69.867302030016617</v>
          </cell>
          <cell r="S282">
            <v>72.661994111217282</v>
          </cell>
          <cell r="T282">
            <v>75.568473875665973</v>
          </cell>
        </row>
        <row r="283">
          <cell r="K283" t="str">
            <v>USAServicesDelivery Center33ST</v>
          </cell>
          <cell r="L283" t="str">
            <v>Level F</v>
          </cell>
          <cell r="M283">
            <v>151.66666666666666</v>
          </cell>
          <cell r="N283">
            <v>64.978901919738448</v>
          </cell>
          <cell r="O283">
            <v>67.40478070814568</v>
          </cell>
          <cell r="P283">
            <v>69.76394803293077</v>
          </cell>
          <cell r="Q283">
            <v>72.554505954248</v>
          </cell>
          <cell r="R283">
            <v>75.456686192417919</v>
          </cell>
          <cell r="S283">
            <v>78.474953640114634</v>
          </cell>
          <cell r="T283">
            <v>81.613951785719223</v>
          </cell>
        </row>
        <row r="284">
          <cell r="K284" t="str">
            <v>USAServicesDelivery Center24LT</v>
          </cell>
          <cell r="L284" t="str">
            <v>Level G</v>
          </cell>
          <cell r="M284">
            <v>151.66666666666666</v>
          </cell>
          <cell r="N284">
            <v>30.87849746324375</v>
          </cell>
          <cell r="O284">
            <v>32.031294598943191</v>
          </cell>
          <cell r="P284">
            <v>33.152389909906198</v>
          </cell>
          <cell r="Q284">
            <v>34.478485506302448</v>
          </cell>
          <cell r="R284">
            <v>35.85762492655455</v>
          </cell>
          <cell r="S284">
            <v>37.291929923616735</v>
          </cell>
          <cell r="T284">
            <v>38.783607120561406</v>
          </cell>
        </row>
        <row r="285">
          <cell r="K285" t="str">
            <v>USAServicesDelivery Center24ST</v>
          </cell>
          <cell r="L285" t="str">
            <v>Level G</v>
          </cell>
          <cell r="M285">
            <v>151.66666666666666</v>
          </cell>
          <cell r="N285">
            <v>33.348777260303251</v>
          </cell>
          <cell r="O285">
            <v>34.593798166858647</v>
          </cell>
          <cell r="P285">
            <v>35.804581102698698</v>
          </cell>
          <cell r="Q285">
            <v>37.236764346806645</v>
          </cell>
          <cell r="R285">
            <v>38.726234920678912</v>
          </cell>
          <cell r="S285">
            <v>40.27528431750607</v>
          </cell>
          <cell r="T285">
            <v>41.886295690206317</v>
          </cell>
        </row>
        <row r="286">
          <cell r="K286" t="str">
            <v>USAServicesDelivery Center25LT</v>
          </cell>
          <cell r="L286" t="str">
            <v>Level G</v>
          </cell>
          <cell r="M286">
            <v>151.66666666666666</v>
          </cell>
          <cell r="N286">
            <v>38.314351164067503</v>
          </cell>
          <cell r="O286">
            <v>39.744753479811521</v>
          </cell>
          <cell r="P286">
            <v>41.135819851604921</v>
          </cell>
          <cell r="Q286">
            <v>42.78125264566912</v>
          </cell>
          <cell r="R286">
            <v>44.492502751495884</v>
          </cell>
          <cell r="S286">
            <v>46.272202861555719</v>
          </cell>
          <cell r="T286">
            <v>48.123090976017949</v>
          </cell>
        </row>
        <row r="287">
          <cell r="K287" t="str">
            <v>USAServicesDelivery Center25ST</v>
          </cell>
          <cell r="L287" t="str">
            <v>Level G</v>
          </cell>
          <cell r="M287">
            <v>151.66666666666666</v>
          </cell>
          <cell r="N287">
            <v>41.379499257192904</v>
          </cell>
          <cell r="O287">
            <v>42.924333758196447</v>
          </cell>
          <cell r="P287">
            <v>44.426685439733319</v>
          </cell>
          <cell r="Q287">
            <v>46.203752857322655</v>
          </cell>
          <cell r="R287">
            <v>48.051902971615561</v>
          </cell>
          <cell r="S287">
            <v>49.973979090480185</v>
          </cell>
          <cell r="T287">
            <v>51.972938254099397</v>
          </cell>
        </row>
        <row r="288">
          <cell r="K288" t="str">
            <v>USAServicesDelivery Center26LT</v>
          </cell>
          <cell r="L288" t="str">
            <v>Level G</v>
          </cell>
          <cell r="M288">
            <v>151.66666666666666</v>
          </cell>
          <cell r="N288">
            <v>51.475141232601246</v>
          </cell>
          <cell r="O288">
            <v>53.396879667034554</v>
          </cell>
          <cell r="P288">
            <v>55.26577045538076</v>
          </cell>
          <cell r="Q288">
            <v>57.476401273595989</v>
          </cell>
          <cell r="R288">
            <v>59.775457324539829</v>
          </cell>
          <cell r="S288">
            <v>62.166475617521421</v>
          </cell>
          <cell r="T288">
            <v>64.653134642222284</v>
          </cell>
        </row>
        <row r="289">
          <cell r="K289" t="str">
            <v>USAServicesDelivery Center26ST</v>
          </cell>
          <cell r="L289" t="str">
            <v>Level G</v>
          </cell>
          <cell r="M289">
            <v>151.66666666666666</v>
          </cell>
          <cell r="N289">
            <v>55.593152531209356</v>
          </cell>
          <cell r="O289">
            <v>57.668630040397332</v>
          </cell>
          <cell r="P289">
            <v>59.687032091811233</v>
          </cell>
          <cell r="Q289">
            <v>62.074513375483683</v>
          </cell>
          <cell r="R289">
            <v>64.557493910503027</v>
          </cell>
          <cell r="S289">
            <v>67.139793666923154</v>
          </cell>
          <cell r="T289">
            <v>69.825385413600088</v>
          </cell>
        </row>
        <row r="290">
          <cell r="K290" t="str">
            <v>USAServicesDelivery Center22LT</v>
          </cell>
          <cell r="L290" t="str">
            <v>Level H</v>
          </cell>
          <cell r="M290">
            <v>151.66666666666666</v>
          </cell>
          <cell r="N290">
            <v>24.805767745345001</v>
          </cell>
          <cell r="O290">
            <v>25.731849658485324</v>
          </cell>
          <cell r="P290">
            <v>26.632464396532306</v>
          </cell>
          <cell r="Q290">
            <v>27.697762972393601</v>
          </cell>
          <cell r="R290">
            <v>28.805673491289348</v>
          </cell>
          <cell r="S290">
            <v>29.957900430940921</v>
          </cell>
          <cell r="T290">
            <v>31.156216448178558</v>
          </cell>
        </row>
        <row r="291">
          <cell r="K291" t="str">
            <v>USAServicesDelivery Center22ST</v>
          </cell>
          <cell r="L291" t="str">
            <v>Level H</v>
          </cell>
          <cell r="M291">
            <v>151.66666666666666</v>
          </cell>
          <cell r="N291">
            <v>26.790229164972605</v>
          </cell>
          <cell r="O291">
            <v>27.790397631164154</v>
          </cell>
          <cell r="P291">
            <v>28.763061548254896</v>
          </cell>
          <cell r="Q291">
            <v>29.913584010185094</v>
          </cell>
          <cell r="R291">
            <v>31.110127370592497</v>
          </cell>
          <cell r="S291">
            <v>32.354532465416199</v>
          </cell>
          <cell r="T291">
            <v>33.648713764032848</v>
          </cell>
        </row>
        <row r="292">
          <cell r="K292" t="str">
            <v>USAServicesDelivery Center23LT</v>
          </cell>
          <cell r="L292" t="str">
            <v>Level H</v>
          </cell>
          <cell r="M292">
            <v>151.66666666666666</v>
          </cell>
          <cell r="N292">
            <v>32.348319523599997</v>
          </cell>
          <cell r="O292">
            <v>33.555990011319999</v>
          </cell>
          <cell r="P292">
            <v>34.730449661716193</v>
          </cell>
          <cell r="Q292">
            <v>36.119667648184844</v>
          </cell>
          <cell r="R292">
            <v>37.564454354112236</v>
          </cell>
          <cell r="S292">
            <v>39.067032528276727</v>
          </cell>
          <cell r="T292">
            <v>40.629713829407798</v>
          </cell>
        </row>
        <row r="293">
          <cell r="K293" t="str">
            <v>USAServicesDelivery Center23ST</v>
          </cell>
          <cell r="L293" t="str">
            <v>Level H</v>
          </cell>
          <cell r="M293">
            <v>151.66666666666666</v>
          </cell>
          <cell r="N293">
            <v>34.936185085487999</v>
          </cell>
          <cell r="O293">
            <v>36.240469212225605</v>
          </cell>
          <cell r="P293">
            <v>37.508885634653495</v>
          </cell>
          <cell r="Q293">
            <v>39.009241060039635</v>
          </cell>
          <cell r="R293">
            <v>40.569610702441224</v>
          </cell>
          <cell r="S293">
            <v>42.192395130538877</v>
          </cell>
          <cell r="T293">
            <v>43.880090935760435</v>
          </cell>
        </row>
        <row r="294">
          <cell r="K294" t="str">
            <v>USAServicesDelivery Center80LT</v>
          </cell>
          <cell r="L294" t="str">
            <v>Sr. Executive</v>
          </cell>
          <cell r="M294">
            <v>151.66666666666666</v>
          </cell>
          <cell r="N294">
            <v>185.08176873057874</v>
          </cell>
          <cell r="O294">
            <v>191.99148747958114</v>
          </cell>
          <cell r="P294">
            <v>198.71118954136645</v>
          </cell>
          <cell r="Q294">
            <v>206.65963712302113</v>
          </cell>
          <cell r="R294">
            <v>214.92602260794197</v>
          </cell>
          <cell r="S294">
            <v>223.52306351225965</v>
          </cell>
          <cell r="T294">
            <v>232.46398605275004</v>
          </cell>
        </row>
        <row r="295">
          <cell r="K295" t="str">
            <v>USAServicesDelivery Center80ST</v>
          </cell>
          <cell r="L295" t="str">
            <v>Sr. Executive</v>
          </cell>
          <cell r="M295">
            <v>151.66666666666666</v>
          </cell>
          <cell r="N295">
            <v>199.88831022902505</v>
          </cell>
          <cell r="O295">
            <v>207.35080647794763</v>
          </cell>
          <cell r="P295">
            <v>214.60808470467578</v>
          </cell>
          <cell r="Q295">
            <v>223.19240809286282</v>
          </cell>
          <cell r="R295">
            <v>232.12010441657733</v>
          </cell>
          <cell r="S295">
            <v>241.40490859324044</v>
          </cell>
          <cell r="T295">
            <v>251.06110493697005</v>
          </cell>
        </row>
        <row r="296">
          <cell r="K296" t="str">
            <v>USAServicesDelivery Center81LT</v>
          </cell>
          <cell r="L296" t="str">
            <v>Sr. Executive</v>
          </cell>
          <cell r="M296">
            <v>151.66666666666666</v>
          </cell>
          <cell r="N296">
            <v>209.74360764176751</v>
          </cell>
          <cell r="O296">
            <v>217.57403496124815</v>
          </cell>
          <cell r="P296">
            <v>225.18912618489182</v>
          </cell>
          <cell r="Q296">
            <v>234.19669123228749</v>
          </cell>
          <cell r="R296">
            <v>243.56455888157899</v>
          </cell>
          <cell r="S296">
            <v>253.30714123684217</v>
          </cell>
          <cell r="T296">
            <v>263.43942688631586</v>
          </cell>
        </row>
        <row r="297">
          <cell r="K297" t="str">
            <v>USAServicesDelivery Center81ST</v>
          </cell>
          <cell r="L297" t="str">
            <v>Sr. Executive</v>
          </cell>
          <cell r="M297">
            <v>151.66666666666666</v>
          </cell>
          <cell r="N297">
            <v>226.52309625310892</v>
          </cell>
          <cell r="O297">
            <v>234.979957758148</v>
          </cell>
          <cell r="P297">
            <v>243.20425627968316</v>
          </cell>
          <cell r="Q297">
            <v>252.93242653087049</v>
          </cell>
          <cell r="R297">
            <v>263.04972359210529</v>
          </cell>
          <cell r="S297">
            <v>273.57171253578952</v>
          </cell>
          <cell r="T297">
            <v>284.51458103722109</v>
          </cell>
        </row>
        <row r="298">
          <cell r="K298" t="str">
            <v>USAServicesDelivery Center82LT</v>
          </cell>
          <cell r="L298" t="str">
            <v>Sr. Executive</v>
          </cell>
          <cell r="M298">
            <v>151.66666666666666</v>
          </cell>
          <cell r="N298">
            <v>229.62772705034499</v>
          </cell>
          <cell r="O298">
            <v>238.20049476146545</v>
          </cell>
          <cell r="P298">
            <v>246.53751207811672</v>
          </cell>
          <cell r="Q298">
            <v>256.39901256124142</v>
          </cell>
          <cell r="R298">
            <v>266.6549730636911</v>
          </cell>
          <cell r="S298">
            <v>277.32117198623877</v>
          </cell>
          <cell r="T298">
            <v>288.41401886568832</v>
          </cell>
        </row>
        <row r="299">
          <cell r="K299" t="str">
            <v>USAServicesDelivery Center82ST</v>
          </cell>
          <cell r="L299" t="str">
            <v>Sr. Executive</v>
          </cell>
          <cell r="M299">
            <v>151.66666666666666</v>
          </cell>
          <cell r="N299">
            <v>247.99794521437261</v>
          </cell>
          <cell r="O299">
            <v>257.25653434238274</v>
          </cell>
          <cell r="P299">
            <v>266.26051304436612</v>
          </cell>
          <cell r="Q299">
            <v>276.91093356614078</v>
          </cell>
          <cell r="R299">
            <v>287.98737090878643</v>
          </cell>
          <cell r="S299">
            <v>299.50686574513787</v>
          </cell>
          <cell r="T299">
            <v>311.48714037494341</v>
          </cell>
        </row>
        <row r="300">
          <cell r="K300" t="str">
            <v>USAServicesDelivery Center83LT</v>
          </cell>
          <cell r="L300" t="str">
            <v>Sr. Executive</v>
          </cell>
          <cell r="M300">
            <v>151.66666666666666</v>
          </cell>
          <cell r="N300">
            <v>248.78544673523749</v>
          </cell>
          <cell r="O300">
            <v>258.07343591740153</v>
          </cell>
          <cell r="P300">
            <v>267.10600617451058</v>
          </cell>
          <cell r="Q300">
            <v>277.79024642149102</v>
          </cell>
          <cell r="R300">
            <v>288.90185627835069</v>
          </cell>
          <cell r="S300">
            <v>300.45793052948471</v>
          </cell>
          <cell r="T300">
            <v>312.47624775066413</v>
          </cell>
        </row>
        <row r="301">
          <cell r="K301" t="str">
            <v>USAServicesDelivery Center83ST</v>
          </cell>
          <cell r="L301" t="str">
            <v>Sr. Executive</v>
          </cell>
          <cell r="M301">
            <v>151.66666666666666</v>
          </cell>
          <cell r="N301">
            <v>268.68828247405651</v>
          </cell>
          <cell r="O301">
            <v>278.71931079079371</v>
          </cell>
          <cell r="P301">
            <v>288.47448666847146</v>
          </cell>
          <cell r="Q301">
            <v>300.01346613521031</v>
          </cell>
          <cell r="R301">
            <v>312.01400478061873</v>
          </cell>
          <cell r="S301">
            <v>324.49456497184349</v>
          </cell>
          <cell r="T301">
            <v>337.47434757071721</v>
          </cell>
        </row>
        <row r="302">
          <cell r="K302" t="str">
            <v>USAServicesDelivery Center84LT</v>
          </cell>
          <cell r="L302" t="str">
            <v>Sr. Executive</v>
          </cell>
          <cell r="M302">
            <v>151.66666666666666</v>
          </cell>
          <cell r="N302">
            <v>280.20191013087123</v>
          </cell>
          <cell r="O302">
            <v>290.66278050841743</v>
          </cell>
          <cell r="P302">
            <v>300.835977826212</v>
          </cell>
          <cell r="Q302">
            <v>312.86941693926047</v>
          </cell>
          <cell r="R302">
            <v>325.38419361683088</v>
          </cell>
          <cell r="S302">
            <v>338.39956136150414</v>
          </cell>
          <cell r="T302">
            <v>351.93554381596431</v>
          </cell>
        </row>
        <row r="303">
          <cell r="K303" t="str">
            <v>USAServicesDelivery Center84ST</v>
          </cell>
          <cell r="L303" t="str">
            <v>Sr. Executive</v>
          </cell>
          <cell r="M303">
            <v>151.66666666666666</v>
          </cell>
          <cell r="N303">
            <v>302.61806294134095</v>
          </cell>
          <cell r="O303">
            <v>313.91580294909085</v>
          </cell>
          <cell r="P303">
            <v>324.90285605230901</v>
          </cell>
          <cell r="Q303">
            <v>337.89897029440135</v>
          </cell>
          <cell r="R303">
            <v>351.4149291061774</v>
          </cell>
          <cell r="S303">
            <v>365.47152627042448</v>
          </cell>
          <cell r="T303">
            <v>380.09038732124145</v>
          </cell>
        </row>
        <row r="304">
          <cell r="K304" t="str">
            <v>USAServicesStandard67Borrowed</v>
          </cell>
          <cell r="L304" t="str">
            <v>Level A</v>
          </cell>
          <cell r="M304">
            <v>149.33333333333334</v>
          </cell>
          <cell r="N304">
            <v>158.14343811685276</v>
          </cell>
          <cell r="O304">
            <v>164.04745927940382</v>
          </cell>
          <cell r="P304">
            <v>169.78912035418296</v>
          </cell>
          <cell r="Q304">
            <v>176.58068516835027</v>
          </cell>
          <cell r="R304">
            <v>183.6439125750843</v>
          </cell>
          <cell r="S304">
            <v>190.98966907808767</v>
          </cell>
          <cell r="T304">
            <v>198.62925584121118</v>
          </cell>
        </row>
        <row r="305">
          <cell r="K305" t="str">
            <v>USAServicesStandard67Dedicated</v>
          </cell>
          <cell r="L305" t="str">
            <v>Level A</v>
          </cell>
          <cell r="M305">
            <v>149.33333333333334</v>
          </cell>
          <cell r="N305">
            <v>117.143287493965</v>
          </cell>
          <cell r="O305">
            <v>121.51663650326208</v>
          </cell>
          <cell r="P305">
            <v>125.76971878087625</v>
          </cell>
          <cell r="Q305">
            <v>130.80050753211131</v>
          </cell>
          <cell r="R305">
            <v>136.03252783339576</v>
          </cell>
          <cell r="S305">
            <v>141.4738289467316</v>
          </cell>
          <cell r="T305">
            <v>147.13278210460086</v>
          </cell>
        </row>
        <row r="306">
          <cell r="K306" t="str">
            <v>USAServicesStandard68Borrowed</v>
          </cell>
          <cell r="L306" t="str">
            <v>Level A</v>
          </cell>
          <cell r="M306">
            <v>149.33333333333334</v>
          </cell>
          <cell r="N306">
            <v>187.46354017927126</v>
          </cell>
          <cell r="O306">
            <v>194.46217838775226</v>
          </cell>
          <cell r="P306">
            <v>201.26835463132358</v>
          </cell>
          <cell r="Q306">
            <v>209.31908881657654</v>
          </cell>
          <cell r="R306">
            <v>217.6918523692396</v>
          </cell>
          <cell r="S306">
            <v>226.3995264640092</v>
          </cell>
          <cell r="T306">
            <v>235.45550752256958</v>
          </cell>
        </row>
        <row r="307">
          <cell r="K307" t="str">
            <v>USAServicesStandard68Dedicated</v>
          </cell>
          <cell r="L307" t="str">
            <v>Level A</v>
          </cell>
          <cell r="M307">
            <v>149.33333333333334</v>
          </cell>
          <cell r="N307">
            <v>138.86188161427501</v>
          </cell>
          <cell r="O307">
            <v>144.04605806500169</v>
          </cell>
          <cell r="P307">
            <v>149.08767009727674</v>
          </cell>
          <cell r="Q307">
            <v>155.05117690116782</v>
          </cell>
          <cell r="R307">
            <v>161.25322397721453</v>
          </cell>
          <cell r="S307">
            <v>167.70335293630311</v>
          </cell>
          <cell r="T307">
            <v>174.41148705375522</v>
          </cell>
        </row>
        <row r="308">
          <cell r="K308" t="str">
            <v>USAServicesStandard69Borrowed</v>
          </cell>
          <cell r="L308" t="str">
            <v>Level A</v>
          </cell>
          <cell r="M308">
            <v>149.33333333333334</v>
          </cell>
          <cell r="N308">
            <v>209.417261820237</v>
          </cell>
          <cell r="O308">
            <v>217.23550556346831</v>
          </cell>
          <cell r="P308">
            <v>224.83874825818967</v>
          </cell>
          <cell r="Q308">
            <v>233.83229818851726</v>
          </cell>
          <cell r="R308">
            <v>243.18559011605797</v>
          </cell>
          <cell r="S308">
            <v>252.91301372070029</v>
          </cell>
          <cell r="T308">
            <v>263.02953426952831</v>
          </cell>
        </row>
        <row r="309">
          <cell r="K309" t="str">
            <v>USAServicesStandard69Dedicated</v>
          </cell>
          <cell r="L309" t="str">
            <v>Level A</v>
          </cell>
          <cell r="M309">
            <v>149.33333333333334</v>
          </cell>
          <cell r="N309">
            <v>155.12389764462</v>
          </cell>
          <cell r="O309">
            <v>160.91518930627282</v>
          </cell>
          <cell r="P309">
            <v>166.54722093199237</v>
          </cell>
          <cell r="Q309">
            <v>173.20910976927206</v>
          </cell>
          <cell r="R309">
            <v>180.13747416004296</v>
          </cell>
          <cell r="S309">
            <v>187.34297312644469</v>
          </cell>
          <cell r="T309">
            <v>194.8366920515025</v>
          </cell>
        </row>
        <row r="310">
          <cell r="K310" t="str">
            <v>USAServicesStandard70Borrowed</v>
          </cell>
          <cell r="L310" t="str">
            <v>Level A</v>
          </cell>
          <cell r="M310">
            <v>149.33333333333334</v>
          </cell>
          <cell r="N310">
            <v>225.86041053840646</v>
          </cell>
          <cell r="O310">
            <v>234.29253177897226</v>
          </cell>
          <cell r="P310">
            <v>242.49277039123626</v>
          </cell>
          <cell r="Q310">
            <v>252.19248120688573</v>
          </cell>
          <cell r="R310">
            <v>262.28018045516114</v>
          </cell>
          <cell r="S310">
            <v>272.7713876733676</v>
          </cell>
          <cell r="T310">
            <v>283.68224318030229</v>
          </cell>
        </row>
        <row r="311">
          <cell r="K311" t="str">
            <v>USAServicesStandard70Dedicated</v>
          </cell>
          <cell r="L311" t="str">
            <v>Level A</v>
          </cell>
          <cell r="M311">
            <v>149.33333333333334</v>
          </cell>
          <cell r="N311">
            <v>167.30400780622699</v>
          </cell>
          <cell r="O311">
            <v>173.55002353997943</v>
          </cell>
          <cell r="P311">
            <v>179.6242743638787</v>
          </cell>
          <cell r="Q311">
            <v>186.80924533843384</v>
          </cell>
          <cell r="R311">
            <v>194.28161515197121</v>
          </cell>
          <cell r="S311">
            <v>202.05287975805007</v>
          </cell>
          <cell r="T311">
            <v>210.13499494837208</v>
          </cell>
        </row>
        <row r="312">
          <cell r="K312" t="str">
            <v>USAServicesStandard71Borrowed</v>
          </cell>
          <cell r="L312" t="str">
            <v>Level A</v>
          </cell>
          <cell r="M312">
            <v>149.33333333333334</v>
          </cell>
          <cell r="N312">
            <v>255.18401101465111</v>
          </cell>
          <cell r="O312">
            <v>264.71087990858473</v>
          </cell>
          <cell r="P312">
            <v>273.9757607053852</v>
          </cell>
          <cell r="Q312">
            <v>284.93479113360064</v>
          </cell>
          <cell r="R312">
            <v>296.33218277894468</v>
          </cell>
          <cell r="S312">
            <v>308.18547009010246</v>
          </cell>
          <cell r="T312">
            <v>320.51288889370659</v>
          </cell>
        </row>
        <row r="313">
          <cell r="K313" t="str">
            <v>USAServicesStandard71Dedicated</v>
          </cell>
          <cell r="L313" t="str">
            <v>Level A</v>
          </cell>
          <cell r="M313">
            <v>149.33333333333334</v>
          </cell>
          <cell r="N313">
            <v>189.02519334418599</v>
          </cell>
          <cell r="O313">
            <v>196.0821332656183</v>
          </cell>
          <cell r="P313">
            <v>202.94500792991491</v>
          </cell>
          <cell r="Q313">
            <v>211.06280824711152</v>
          </cell>
          <cell r="R313">
            <v>219.50532057699598</v>
          </cell>
          <cell r="S313">
            <v>228.28553340007582</v>
          </cell>
          <cell r="T313">
            <v>237.41695473607885</v>
          </cell>
        </row>
        <row r="314">
          <cell r="K314" t="str">
            <v>USAServicesStandard72Borrowed</v>
          </cell>
          <cell r="L314" t="str">
            <v>Level A</v>
          </cell>
          <cell r="M314">
            <v>149.33333333333334</v>
          </cell>
          <cell r="N314">
            <v>330.37575422937482</v>
          </cell>
          <cell r="O314">
            <v>342.70978128601899</v>
          </cell>
          <cell r="P314">
            <v>354.70462363102962</v>
          </cell>
          <cell r="Q314">
            <v>368.8928085762708</v>
          </cell>
          <cell r="R314">
            <v>383.64852091932164</v>
          </cell>
          <cell r="S314">
            <v>398.99446175609449</v>
          </cell>
          <cell r="T314">
            <v>414.9542402263383</v>
          </cell>
        </row>
        <row r="315">
          <cell r="K315" t="str">
            <v>USAServicesStandard72Dedicated</v>
          </cell>
          <cell r="L315" t="str">
            <v>Level A</v>
          </cell>
          <cell r="M315">
            <v>149.33333333333334</v>
          </cell>
          <cell r="N315">
            <v>244.722780910648</v>
          </cell>
          <cell r="O315">
            <v>253.85909724890294</v>
          </cell>
          <cell r="P315">
            <v>262.74416565261453</v>
          </cell>
          <cell r="Q315">
            <v>273.25393227871911</v>
          </cell>
          <cell r="R315">
            <v>284.18408956986787</v>
          </cell>
          <cell r="S315">
            <v>295.55145315266259</v>
          </cell>
          <cell r="T315">
            <v>307.37351127876912</v>
          </cell>
        </row>
        <row r="316">
          <cell r="K316" t="str">
            <v>USAServicesStandard60Borrowed</v>
          </cell>
          <cell r="L316" t="str">
            <v>Level B</v>
          </cell>
          <cell r="M316">
            <v>149.33333333333334</v>
          </cell>
          <cell r="N316">
            <v>111.8469696794055</v>
          </cell>
          <cell r="O316">
            <v>116.02258950794675</v>
          </cell>
          <cell r="P316">
            <v>120.08338014072487</v>
          </cell>
          <cell r="Q316">
            <v>124.88671534635387</v>
          </cell>
          <cell r="R316">
            <v>129.88218396020804</v>
          </cell>
          <cell r="S316">
            <v>135.07747131861638</v>
          </cell>
          <cell r="T316">
            <v>140.48057017136102</v>
          </cell>
        </row>
        <row r="317">
          <cell r="K317" t="str">
            <v>USAServicesStandard60Dedicated</v>
          </cell>
          <cell r="L317" t="str">
            <v>Level B</v>
          </cell>
          <cell r="M317">
            <v>149.33333333333334</v>
          </cell>
          <cell r="N317">
            <v>82.849607169929996</v>
          </cell>
          <cell r="O317">
            <v>85.942658894775363</v>
          </cell>
          <cell r="P317">
            <v>88.9506519560925</v>
          </cell>
          <cell r="Q317">
            <v>92.508678034336199</v>
          </cell>
          <cell r="R317">
            <v>96.209025155709654</v>
          </cell>
          <cell r="S317">
            <v>100.05738616193804</v>
          </cell>
          <cell r="T317">
            <v>104.05968160841556</v>
          </cell>
        </row>
        <row r="318">
          <cell r="K318" t="str">
            <v>USAServicesStandard61Borrowed</v>
          </cell>
          <cell r="L318" t="str">
            <v>Level B</v>
          </cell>
          <cell r="M318">
            <v>149.33333333333334</v>
          </cell>
          <cell r="N318">
            <v>127.50207457660426</v>
          </cell>
          <cell r="O318">
            <v>132.26215160245724</v>
          </cell>
          <cell r="P318">
            <v>136.89132690854322</v>
          </cell>
          <cell r="Q318">
            <v>142.36697998488495</v>
          </cell>
          <cell r="R318">
            <v>148.06165918428036</v>
          </cell>
          <cell r="S318">
            <v>153.98412555165157</v>
          </cell>
          <cell r="T318">
            <v>160.14349057371763</v>
          </cell>
        </row>
        <row r="319">
          <cell r="K319" t="str">
            <v>USAServicesStandard61Dedicated</v>
          </cell>
          <cell r="L319" t="str">
            <v>Level B</v>
          </cell>
          <cell r="M319">
            <v>149.33333333333334</v>
          </cell>
          <cell r="N319">
            <v>94.445981167854995</v>
          </cell>
          <cell r="O319">
            <v>97.971964149968315</v>
          </cell>
          <cell r="P319">
            <v>101.4009828952172</v>
          </cell>
          <cell r="Q319">
            <v>105.45702221102589</v>
          </cell>
          <cell r="R319">
            <v>109.67530309946693</v>
          </cell>
          <cell r="S319">
            <v>114.06231522344561</v>
          </cell>
          <cell r="T319">
            <v>118.62480783238344</v>
          </cell>
        </row>
        <row r="320">
          <cell r="K320" t="str">
            <v>USAServicesStandard62Borrowed</v>
          </cell>
          <cell r="L320" t="str">
            <v>Level B</v>
          </cell>
          <cell r="M320">
            <v>149.33333333333334</v>
          </cell>
          <cell r="N320">
            <v>143.13907797480812</v>
          </cell>
          <cell r="O320">
            <v>148.48293640873737</v>
          </cell>
          <cell r="P320">
            <v>153.67983918304316</v>
          </cell>
          <cell r="Q320">
            <v>159.82703275036488</v>
          </cell>
          <cell r="R320">
            <v>166.22011406037947</v>
          </cell>
          <cell r="S320">
            <v>172.86891862279467</v>
          </cell>
          <cell r="T320">
            <v>179.78367536770645</v>
          </cell>
        </row>
        <row r="321">
          <cell r="K321" t="str">
            <v>USAServicesStandard62Dedicated</v>
          </cell>
          <cell r="L321" t="str">
            <v>Level B</v>
          </cell>
          <cell r="M321">
            <v>149.33333333333334</v>
          </cell>
          <cell r="N321">
            <v>106.028946648006</v>
          </cell>
          <cell r="O321">
            <v>109.98736030276841</v>
          </cell>
          <cell r="P321">
            <v>113.8369179133653</v>
          </cell>
          <cell r="Q321">
            <v>118.39039462989992</v>
          </cell>
          <cell r="R321">
            <v>123.12601041509592</v>
          </cell>
          <cell r="S321">
            <v>128.05105083169977</v>
          </cell>
          <cell r="T321">
            <v>133.17309286496777</v>
          </cell>
        </row>
        <row r="322">
          <cell r="K322" t="str">
            <v>USAServicesStandard63Borrowed</v>
          </cell>
          <cell r="L322" t="str">
            <v>Level B</v>
          </cell>
          <cell r="M322">
            <v>149.33333333333334</v>
          </cell>
          <cell r="N322">
            <v>159.01939198154386</v>
          </cell>
          <cell r="O322">
            <v>164.9561154187902</v>
          </cell>
          <cell r="P322">
            <v>170.72957945844786</v>
          </cell>
          <cell r="Q322">
            <v>177.55876263678579</v>
          </cell>
          <cell r="R322">
            <v>184.66111314225722</v>
          </cell>
          <cell r="S322">
            <v>192.04755766794753</v>
          </cell>
          <cell r="T322">
            <v>199.72945997466545</v>
          </cell>
        </row>
        <row r="323">
          <cell r="K323" t="str">
            <v>USAServicesStandard63Dedicated</v>
          </cell>
          <cell r="L323" t="str">
            <v>Level B</v>
          </cell>
          <cell r="M323">
            <v>149.33333333333334</v>
          </cell>
          <cell r="N323">
            <v>117.792142208551</v>
          </cell>
          <cell r="O323">
            <v>122.18971512502976</v>
          </cell>
          <cell r="P323">
            <v>126.46635515440579</v>
          </cell>
          <cell r="Q323">
            <v>131.52500936058203</v>
          </cell>
          <cell r="R323">
            <v>136.78600973500531</v>
          </cell>
          <cell r="S323">
            <v>142.25745012440552</v>
          </cell>
          <cell r="T323">
            <v>147.94774812938175</v>
          </cell>
        </row>
        <row r="324">
          <cell r="K324" t="str">
            <v>USAServicesStandard64Borrowed</v>
          </cell>
          <cell r="L324" t="str">
            <v>Level B</v>
          </cell>
          <cell r="M324">
            <v>149.33333333333334</v>
          </cell>
          <cell r="N324">
            <v>168.6806597838771</v>
          </cell>
          <cell r="O324">
            <v>174.97807052020633</v>
          </cell>
          <cell r="P324">
            <v>181.10230298841353</v>
          </cell>
          <cell r="Q324">
            <v>188.34639510795009</v>
          </cell>
          <cell r="R324">
            <v>195.88025091226811</v>
          </cell>
          <cell r="S324">
            <v>203.71546094875885</v>
          </cell>
          <cell r="T324">
            <v>211.86407938670919</v>
          </cell>
        </row>
        <row r="325">
          <cell r="K325" t="str">
            <v>USAServicesStandard64Dedicated</v>
          </cell>
          <cell r="L325" t="str">
            <v>Level B</v>
          </cell>
          <cell r="M325">
            <v>149.33333333333334</v>
          </cell>
          <cell r="N325">
            <v>124.948636876946</v>
          </cell>
          <cell r="O325">
            <v>129.61338557052321</v>
          </cell>
          <cell r="P325">
            <v>134.1498540654915</v>
          </cell>
          <cell r="Q325">
            <v>139.51584822811117</v>
          </cell>
          <cell r="R325">
            <v>145.09648215723561</v>
          </cell>
          <cell r="S325">
            <v>150.90034144352504</v>
          </cell>
          <cell r="T325">
            <v>156.93635510126603</v>
          </cell>
        </row>
        <row r="326">
          <cell r="K326" t="str">
            <v>USAServicesStandard65Borrowed</v>
          </cell>
          <cell r="L326" t="str">
            <v>Level B</v>
          </cell>
          <cell r="M326">
            <v>149.33333333333334</v>
          </cell>
          <cell r="N326">
            <v>183.80219231386306</v>
          </cell>
          <cell r="O326">
            <v>190.66414021423998</v>
          </cell>
          <cell r="P326">
            <v>197.33738512173835</v>
          </cell>
          <cell r="Q326">
            <v>205.2308805266079</v>
          </cell>
          <cell r="R326">
            <v>213.44011574767222</v>
          </cell>
          <cell r="S326">
            <v>221.97772037757912</v>
          </cell>
          <cell r="T326">
            <v>230.85682919268228</v>
          </cell>
        </row>
        <row r="327">
          <cell r="K327" t="str">
            <v>USAServicesStandard65Dedicated</v>
          </cell>
          <cell r="L327" t="str">
            <v>Level B</v>
          </cell>
          <cell r="M327">
            <v>149.33333333333334</v>
          </cell>
          <cell r="N327">
            <v>136.149772084343</v>
          </cell>
          <cell r="O327">
            <v>141.23269645499258</v>
          </cell>
          <cell r="P327">
            <v>146.17584083091731</v>
          </cell>
          <cell r="Q327">
            <v>152.022874464154</v>
          </cell>
          <cell r="R327">
            <v>158.10378944272017</v>
          </cell>
          <cell r="S327">
            <v>164.42794102042899</v>
          </cell>
          <cell r="T327">
            <v>171.00505866124615</v>
          </cell>
        </row>
        <row r="328">
          <cell r="K328" t="str">
            <v>USAServicesStandard66Borrowed</v>
          </cell>
          <cell r="L328" t="str">
            <v>Level B</v>
          </cell>
          <cell r="M328">
            <v>149.33333333333334</v>
          </cell>
          <cell r="N328">
            <v>200.21917688943302</v>
          </cell>
          <cell r="O328">
            <v>207.69402549257461</v>
          </cell>
          <cell r="P328">
            <v>214.9633163848147</v>
          </cell>
          <cell r="Q328">
            <v>223.56184904020731</v>
          </cell>
          <cell r="R328">
            <v>232.50432300181561</v>
          </cell>
          <cell r="S328">
            <v>241.80449592188825</v>
          </cell>
          <cell r="T328">
            <v>251.47667575876378</v>
          </cell>
        </row>
        <row r="329">
          <cell r="K329" t="str">
            <v>USAServicesStandard66Dedicated</v>
          </cell>
          <cell r="L329" t="str">
            <v>Level B</v>
          </cell>
          <cell r="M329">
            <v>149.33333333333334</v>
          </cell>
          <cell r="N329">
            <v>148.31050139958</v>
          </cell>
          <cell r="O329">
            <v>153.84742629079599</v>
          </cell>
          <cell r="P329">
            <v>159.23208621097385</v>
          </cell>
          <cell r="Q329">
            <v>165.6013696594128</v>
          </cell>
          <cell r="R329">
            <v>172.22542444578932</v>
          </cell>
          <cell r="S329">
            <v>179.11444142362089</v>
          </cell>
          <cell r="T329">
            <v>186.27901908056572</v>
          </cell>
        </row>
        <row r="330">
          <cell r="K330" t="str">
            <v>USAServicesStandard54Borrowed</v>
          </cell>
          <cell r="L330" t="str">
            <v>Level C</v>
          </cell>
          <cell r="M330">
            <v>150.66666666666666</v>
          </cell>
          <cell r="N330">
            <v>91.302538077528311</v>
          </cell>
          <cell r="O330">
            <v>94.711165861414244</v>
          </cell>
          <cell r="P330">
            <v>98.026056666563733</v>
          </cell>
          <cell r="Q330">
            <v>101.94709893322629</v>
          </cell>
          <cell r="R330">
            <v>106.02498289055534</v>
          </cell>
          <cell r="S330">
            <v>110.26598220617755</v>
          </cell>
          <cell r="T330">
            <v>114.67662149442467</v>
          </cell>
        </row>
        <row r="331">
          <cell r="K331" t="str">
            <v>USAServicesStandard54Dedicated</v>
          </cell>
          <cell r="L331" t="str">
            <v>Level C</v>
          </cell>
          <cell r="M331">
            <v>150.66666666666666</v>
          </cell>
          <cell r="N331">
            <v>67.631509687057999</v>
          </cell>
          <cell r="O331">
            <v>70.156419156603135</v>
          </cell>
          <cell r="P331">
            <v>72.611893827084245</v>
          </cell>
          <cell r="Q331">
            <v>75.51636958016762</v>
          </cell>
          <cell r="R331">
            <v>78.537024363374329</v>
          </cell>
          <cell r="S331">
            <v>81.6785053379093</v>
          </cell>
          <cell r="T331">
            <v>84.94564555142567</v>
          </cell>
        </row>
        <row r="332">
          <cell r="K332" t="str">
            <v>USAServicesStandard55Borrowed</v>
          </cell>
          <cell r="L332" t="str">
            <v>Level C</v>
          </cell>
          <cell r="M332">
            <v>150.66666666666666</v>
          </cell>
          <cell r="N332">
            <v>111.0906676848861</v>
          </cell>
          <cell r="O332">
            <v>115.2380522414863</v>
          </cell>
          <cell r="P332">
            <v>119.27138406993831</v>
          </cell>
          <cell r="Q332">
            <v>124.04223943273584</v>
          </cell>
          <cell r="R332">
            <v>129.00392901004528</v>
          </cell>
          <cell r="S332">
            <v>134.16408617044709</v>
          </cell>
          <cell r="T332">
            <v>139.53064961726497</v>
          </cell>
        </row>
        <row r="333">
          <cell r="K333" t="str">
            <v>USAServicesStandard55Dedicated</v>
          </cell>
          <cell r="L333" t="str">
            <v>Level C</v>
          </cell>
          <cell r="M333">
            <v>150.66666666666666</v>
          </cell>
          <cell r="N333">
            <v>82.289383470285998</v>
          </cell>
          <cell r="O333">
            <v>85.361520178878735</v>
          </cell>
          <cell r="P333">
            <v>88.34917338513948</v>
          </cell>
          <cell r="Q333">
            <v>91.883140320545067</v>
          </cell>
          <cell r="R333">
            <v>95.558465933366875</v>
          </cell>
          <cell r="S333">
            <v>99.380804570701557</v>
          </cell>
          <cell r="T333">
            <v>103.35603675352962</v>
          </cell>
        </row>
        <row r="334">
          <cell r="K334" t="str">
            <v>USAServicesStandard56Borrowed</v>
          </cell>
          <cell r="L334" t="str">
            <v>Level C</v>
          </cell>
          <cell r="M334">
            <v>150.66666666666666</v>
          </cell>
          <cell r="N334">
            <v>129.61181482557751</v>
          </cell>
          <cell r="O334">
            <v>134.4506554803597</v>
          </cell>
          <cell r="P334">
            <v>139.15642842217227</v>
          </cell>
          <cell r="Q334">
            <v>144.72268555905916</v>
          </cell>
          <cell r="R334">
            <v>150.51159298142153</v>
          </cell>
          <cell r="S334">
            <v>156.5320567006784</v>
          </cell>
          <cell r="T334">
            <v>162.79333896870554</v>
          </cell>
        </row>
        <row r="335">
          <cell r="K335" t="str">
            <v>USAServicesStandard56Dedicated</v>
          </cell>
          <cell r="L335" t="str">
            <v>Level C</v>
          </cell>
          <cell r="M335">
            <v>150.66666666666666</v>
          </cell>
          <cell r="N335">
            <v>96.008751722650004</v>
          </cell>
          <cell r="O335">
            <v>99.593078133599775</v>
          </cell>
          <cell r="P335">
            <v>103.07883586827576</v>
          </cell>
          <cell r="Q335">
            <v>107.2019893030068</v>
          </cell>
          <cell r="R335">
            <v>111.49006887512708</v>
          </cell>
          <cell r="S335">
            <v>115.94967163013217</v>
          </cell>
          <cell r="T335">
            <v>120.58765849533746</v>
          </cell>
        </row>
        <row r="336">
          <cell r="K336" t="str">
            <v>USAServicesStandard57Borrowed</v>
          </cell>
          <cell r="L336" t="str">
            <v>Level C</v>
          </cell>
          <cell r="M336">
            <v>150.66666666666666</v>
          </cell>
          <cell r="N336">
            <v>157.44922004000071</v>
          </cell>
          <cell r="O336">
            <v>163.32732372999669</v>
          </cell>
          <cell r="P336">
            <v>169.04378006054657</v>
          </cell>
          <cell r="Q336">
            <v>175.80553126296843</v>
          </cell>
          <cell r="R336">
            <v>182.83775251348717</v>
          </cell>
          <cell r="S336">
            <v>190.15126261402668</v>
          </cell>
          <cell r="T336">
            <v>197.75731311858775</v>
          </cell>
        </row>
        <row r="337">
          <cell r="K337" t="str">
            <v>USAServicesStandard57Dedicated</v>
          </cell>
          <cell r="L337" t="str">
            <v>Level C</v>
          </cell>
          <cell r="M337">
            <v>150.66666666666666</v>
          </cell>
          <cell r="N337">
            <v>116.629051881482</v>
          </cell>
          <cell r="O337">
            <v>120.98320276296049</v>
          </cell>
          <cell r="P337">
            <v>125.2176148596641</v>
          </cell>
          <cell r="Q337">
            <v>130.22631945405067</v>
          </cell>
          <cell r="R337">
            <v>135.4353722322127</v>
          </cell>
          <cell r="S337">
            <v>140.85278712150122</v>
          </cell>
          <cell r="T337">
            <v>146.48689860636128</v>
          </cell>
        </row>
        <row r="338">
          <cell r="K338" t="str">
            <v>USAServicesStandard50Borrowed</v>
          </cell>
          <cell r="L338" t="str">
            <v>Level D</v>
          </cell>
          <cell r="M338">
            <v>150.66666666666666</v>
          </cell>
          <cell r="N338">
            <v>74.649956782392906</v>
          </cell>
          <cell r="O338">
            <v>77.436888253435725</v>
          </cell>
          <cell r="P338">
            <v>80.147179342305975</v>
          </cell>
          <cell r="Q338">
            <v>83.353066515998222</v>
          </cell>
          <cell r="R338">
            <v>86.687189176638157</v>
          </cell>
          <cell r="S338">
            <v>90.154676743703689</v>
          </cell>
          <cell r="T338">
            <v>93.760863813451834</v>
          </cell>
        </row>
        <row r="339">
          <cell r="K339" t="str">
            <v>USAServicesStandard50Dedicated</v>
          </cell>
          <cell r="L339" t="str">
            <v>Level D</v>
          </cell>
          <cell r="M339">
            <v>150.66666666666666</v>
          </cell>
          <cell r="N339">
            <v>55.296264283253997</v>
          </cell>
          <cell r="O339">
            <v>57.360657965507933</v>
          </cell>
          <cell r="P339">
            <v>59.368280994300704</v>
          </cell>
          <cell r="Q339">
            <v>61.743012234072737</v>
          </cell>
          <cell r="R339">
            <v>64.21273272343565</v>
          </cell>
          <cell r="S339">
            <v>66.781242032373072</v>
          </cell>
          <cell r="T339">
            <v>69.452491713667996</v>
          </cell>
        </row>
        <row r="340">
          <cell r="K340" t="str">
            <v>USAServicesStandard51Borrowed</v>
          </cell>
          <cell r="L340" t="str">
            <v>Level D</v>
          </cell>
          <cell r="M340">
            <v>150.66666666666666</v>
          </cell>
          <cell r="N340">
            <v>94.98297969461251</v>
          </cell>
          <cell r="O340">
            <v>98.52901061993478</v>
          </cell>
          <cell r="P340">
            <v>101.97752599163249</v>
          </cell>
          <cell r="Q340">
            <v>106.05662703129779</v>
          </cell>
          <cell r="R340">
            <v>110.29889211254971</v>
          </cell>
          <cell r="S340">
            <v>114.7108477970517</v>
          </cell>
          <cell r="T340">
            <v>119.29928170893378</v>
          </cell>
        </row>
        <row r="341">
          <cell r="K341" t="str">
            <v>USAServicesStandard51Dedicated</v>
          </cell>
          <cell r="L341" t="str">
            <v>Level D</v>
          </cell>
          <cell r="M341">
            <v>150.66666666666666</v>
          </cell>
          <cell r="N341">
            <v>70.357762736750004</v>
          </cell>
          <cell r="O341">
            <v>72.984452311062796</v>
          </cell>
          <cell r="P341">
            <v>75.538908141949989</v>
          </cell>
          <cell r="Q341">
            <v>78.560464467627995</v>
          </cell>
          <cell r="R341">
            <v>81.702883046333113</v>
          </cell>
          <cell r="S341">
            <v>84.970998368186443</v>
          </cell>
          <cell r="T341">
            <v>88.369838302913905</v>
          </cell>
        </row>
        <row r="342">
          <cell r="K342" t="str">
            <v>USAServicesStandard52Borrowed</v>
          </cell>
          <cell r="L342" t="str">
            <v>Level D</v>
          </cell>
          <cell r="M342">
            <v>150.66666666666666</v>
          </cell>
          <cell r="N342">
            <v>120.24295070606776</v>
          </cell>
          <cell r="O342">
            <v>124.73202046495112</v>
          </cell>
          <cell r="P342">
            <v>129.09764118122439</v>
          </cell>
          <cell r="Q342">
            <v>134.26154682847337</v>
          </cell>
          <cell r="R342">
            <v>139.63200870161231</v>
          </cell>
          <cell r="S342">
            <v>145.21728904967679</v>
          </cell>
          <cell r="T342">
            <v>151.02598061166387</v>
          </cell>
        </row>
        <row r="343">
          <cell r="K343" t="str">
            <v>USAServicesStandard52Dedicated</v>
          </cell>
          <cell r="L343" t="str">
            <v>Level D</v>
          </cell>
          <cell r="M343">
            <v>150.66666666666666</v>
          </cell>
          <cell r="N343">
            <v>89.068852374865003</v>
          </cell>
          <cell r="O343">
            <v>92.394089233297123</v>
          </cell>
          <cell r="P343">
            <v>95.627882356462521</v>
          </cell>
          <cell r="Q343">
            <v>99.452997650721031</v>
          </cell>
          <cell r="R343">
            <v>103.43111755674988</v>
          </cell>
          <cell r="S343">
            <v>107.56836225901988</v>
          </cell>
          <cell r="T343">
            <v>111.87109674938068</v>
          </cell>
        </row>
        <row r="344">
          <cell r="K344" t="str">
            <v>USAServicesStandard53Borrowed</v>
          </cell>
          <cell r="L344" t="str">
            <v>Level D</v>
          </cell>
          <cell r="M344">
            <v>150.66666666666666</v>
          </cell>
          <cell r="N344">
            <v>182.20050845756194</v>
          </cell>
          <cell r="O344">
            <v>189.0026601659759</v>
          </cell>
          <cell r="P344">
            <v>195.61775327178503</v>
          </cell>
          <cell r="Q344">
            <v>203.44246340265644</v>
          </cell>
          <cell r="R344">
            <v>211.5801619387627</v>
          </cell>
          <cell r="S344">
            <v>220.04336841631323</v>
          </cell>
          <cell r="T344">
            <v>228.84510315296578</v>
          </cell>
        </row>
        <row r="345">
          <cell r="K345" t="str">
            <v>USAServicesStandard53Dedicated</v>
          </cell>
          <cell r="L345" t="str">
            <v>Level D</v>
          </cell>
          <cell r="M345">
            <v>150.66666666666666</v>
          </cell>
          <cell r="N345">
            <v>134.96333959819401</v>
          </cell>
          <cell r="O345">
            <v>140.00197049331547</v>
          </cell>
          <cell r="P345">
            <v>144.90203946058151</v>
          </cell>
          <cell r="Q345">
            <v>150.69812103900477</v>
          </cell>
          <cell r="R345">
            <v>156.72604588056498</v>
          </cell>
          <cell r="S345">
            <v>162.99508771578758</v>
          </cell>
          <cell r="T345">
            <v>169.51489122441907</v>
          </cell>
        </row>
        <row r="346">
          <cell r="K346" t="str">
            <v>USAServicesStandard34Borrowed</v>
          </cell>
          <cell r="L346" t="str">
            <v>Level E</v>
          </cell>
          <cell r="M346">
            <v>153.16666666666666</v>
          </cell>
          <cell r="N346">
            <v>54.181823835596404</v>
          </cell>
          <cell r="O346">
            <v>56.204611744852592</v>
          </cell>
          <cell r="P346">
            <v>58.17177315592243</v>
          </cell>
          <cell r="Q346">
            <v>60.498644082159331</v>
          </cell>
          <cell r="R346">
            <v>62.918589845445709</v>
          </cell>
          <cell r="S346">
            <v>65.435333439263545</v>
          </cell>
          <cell r="T346">
            <v>68.052746776834084</v>
          </cell>
        </row>
        <row r="347">
          <cell r="K347" t="str">
            <v>USAServicesStandard34Dedicated</v>
          </cell>
          <cell r="L347" t="str">
            <v>Level E</v>
          </cell>
          <cell r="M347">
            <v>153.16666666666666</v>
          </cell>
          <cell r="N347">
            <v>40.134684322664</v>
          </cell>
          <cell r="O347">
            <v>41.633045736927848</v>
          </cell>
          <cell r="P347">
            <v>43.090202337720321</v>
          </cell>
          <cell r="Q347">
            <v>44.813810431229136</v>
          </cell>
          <cell r="R347">
            <v>46.606362848478305</v>
          </cell>
          <cell r="S347">
            <v>48.470617362417443</v>
          </cell>
          <cell r="T347">
            <v>50.409442056914145</v>
          </cell>
        </row>
        <row r="348">
          <cell r="K348" t="str">
            <v>USAServicesStandard35Borrowed</v>
          </cell>
          <cell r="L348" t="str">
            <v>Level E</v>
          </cell>
          <cell r="M348">
            <v>153.16666666666666</v>
          </cell>
          <cell r="N348">
            <v>70.290147896588252</v>
          </cell>
          <cell r="O348">
            <v>72.914313183760385</v>
          </cell>
          <cell r="P348">
            <v>75.466314145191987</v>
          </cell>
          <cell r="Q348">
            <v>78.484966710999672</v>
          </cell>
          <cell r="R348">
            <v>81.624365379439666</v>
          </cell>
          <cell r="S348">
            <v>84.889339994617259</v>
          </cell>
          <cell r="T348">
            <v>88.284913594401957</v>
          </cell>
        </row>
        <row r="349">
          <cell r="K349" t="str">
            <v>USAServicesStandard35Dedicated</v>
          </cell>
          <cell r="L349" t="str">
            <v>Level E</v>
          </cell>
          <cell r="M349">
            <v>153.16666666666666</v>
          </cell>
          <cell r="N349">
            <v>52.066776219695001</v>
          </cell>
          <cell r="O349">
            <v>54.010602358341032</v>
          </cell>
          <cell r="P349">
            <v>55.900973440882964</v>
          </cell>
          <cell r="Q349">
            <v>58.137012378518286</v>
          </cell>
          <cell r="R349">
            <v>60.462492873659016</v>
          </cell>
          <cell r="S349">
            <v>62.88099258860538</v>
          </cell>
          <cell r="T349">
            <v>65.396232292149591</v>
          </cell>
        </row>
        <row r="350">
          <cell r="K350" t="str">
            <v>USAServicesStandard36Borrowed</v>
          </cell>
          <cell r="L350" t="str">
            <v>Level E</v>
          </cell>
          <cell r="M350">
            <v>153.16666666666666</v>
          </cell>
          <cell r="N350">
            <v>107.82966978951526</v>
          </cell>
          <cell r="O350">
            <v>111.85531043555828</v>
          </cell>
          <cell r="P350">
            <v>115.77024630080281</v>
          </cell>
          <cell r="Q350">
            <v>120.40105615283493</v>
          </cell>
          <cell r="R350">
            <v>125.21709839894832</v>
          </cell>
          <cell r="S350">
            <v>130.22578233490626</v>
          </cell>
          <cell r="T350">
            <v>135.43481362830252</v>
          </cell>
        </row>
        <row r="351">
          <cell r="K351" t="str">
            <v>USAServicesStandard36Dedicated</v>
          </cell>
          <cell r="L351" t="str">
            <v>Level E</v>
          </cell>
          <cell r="M351">
            <v>153.16666666666666</v>
          </cell>
          <cell r="N351">
            <v>79.873829473715006</v>
          </cell>
          <cell r="O351">
            <v>82.85578550782094</v>
          </cell>
          <cell r="P351">
            <v>85.755738000594661</v>
          </cell>
          <cell r="Q351">
            <v>89.185967520618448</v>
          </cell>
          <cell r="R351">
            <v>92.753406221443186</v>
          </cell>
          <cell r="S351">
            <v>96.463542470300922</v>
          </cell>
          <cell r="T351">
            <v>100.32208416911297</v>
          </cell>
        </row>
        <row r="352">
          <cell r="K352" t="str">
            <v>USAServicesStandard30Borrowed</v>
          </cell>
          <cell r="L352" t="str">
            <v>Level F</v>
          </cell>
          <cell r="M352">
            <v>152.5</v>
          </cell>
          <cell r="N352">
            <v>43.156841046781054</v>
          </cell>
          <cell r="O352">
            <v>44.768029635338081</v>
          </cell>
          <cell r="P352">
            <v>46.334910672574914</v>
          </cell>
          <cell r="Q352">
            <v>48.18830709947791</v>
          </cell>
          <cell r="R352">
            <v>50.115839383457029</v>
          </cell>
          <cell r="S352">
            <v>52.120472958795311</v>
          </cell>
          <cell r="T352">
            <v>54.205291877147125</v>
          </cell>
        </row>
        <row r="353">
          <cell r="K353" t="str">
            <v>USAServicesStandard30Dedicated</v>
          </cell>
          <cell r="L353" t="str">
            <v>Level F</v>
          </cell>
          <cell r="M353">
            <v>152.5</v>
          </cell>
          <cell r="N353">
            <v>31.968030405023001</v>
          </cell>
          <cell r="O353">
            <v>33.161503433583761</v>
          </cell>
          <cell r="P353">
            <v>34.322156053759187</v>
          </cell>
          <cell r="Q353">
            <v>35.695042295909559</v>
          </cell>
          <cell r="R353">
            <v>37.122843987745945</v>
          </cell>
          <cell r="S353">
            <v>38.607757747255782</v>
          </cell>
          <cell r="T353">
            <v>40.152068057146018</v>
          </cell>
        </row>
        <row r="354">
          <cell r="K354" t="str">
            <v>USAServicesStandard31Borrowed</v>
          </cell>
          <cell r="L354" t="str">
            <v>Level F</v>
          </cell>
          <cell r="M354">
            <v>152.5</v>
          </cell>
          <cell r="N354">
            <v>52.216925054271755</v>
          </cell>
          <cell r="O354">
            <v>54.16635674890815</v>
          </cell>
          <cell r="P354">
            <v>56.062179235119928</v>
          </cell>
          <cell r="Q354">
            <v>58.304666404524724</v>
          </cell>
          <cell r="R354">
            <v>60.636853060705718</v>
          </cell>
          <cell r="S354">
            <v>63.062327183133952</v>
          </cell>
          <cell r="T354">
            <v>65.584820270459318</v>
          </cell>
        </row>
        <row r="355">
          <cell r="K355" t="str">
            <v>USAServicesStandard31Dedicated</v>
          </cell>
          <cell r="L355" t="str">
            <v>Level F</v>
          </cell>
          <cell r="M355">
            <v>152.5</v>
          </cell>
          <cell r="N355">
            <v>38.679203743904999</v>
          </cell>
          <cell r="O355">
            <v>40.123227221413444</v>
          </cell>
          <cell r="P355">
            <v>41.527540174162908</v>
          </cell>
          <cell r="Q355">
            <v>43.188641781129427</v>
          </cell>
          <cell r="R355">
            <v>44.916187452374608</v>
          </cell>
          <cell r="S355">
            <v>46.712834950469592</v>
          </cell>
          <cell r="T355">
            <v>48.581348348488376</v>
          </cell>
        </row>
        <row r="356">
          <cell r="K356" t="str">
            <v>USAServicesStandard32Borrowed</v>
          </cell>
          <cell r="L356" t="str">
            <v>Level F</v>
          </cell>
          <cell r="M356">
            <v>152.5</v>
          </cell>
          <cell r="N356">
            <v>59.680193987431359</v>
          </cell>
          <cell r="O356">
            <v>61.908254364028153</v>
          </cell>
          <cell r="P356">
            <v>64.075043266769129</v>
          </cell>
          <cell r="Q356">
            <v>66.638044997439891</v>
          </cell>
          <cell r="R356">
            <v>69.303566797337496</v>
          </cell>
          <cell r="S356">
            <v>72.075709469231001</v>
          </cell>
          <cell r="T356">
            <v>74.95873784800024</v>
          </cell>
        </row>
        <row r="357">
          <cell r="K357" t="str">
            <v>USAServicesStandard32Dedicated</v>
          </cell>
          <cell r="L357" t="str">
            <v>Level F</v>
          </cell>
          <cell r="M357">
            <v>152.5</v>
          </cell>
          <cell r="N357">
            <v>44.207551101801002</v>
          </cell>
          <cell r="O357">
            <v>45.857966195576402</v>
          </cell>
          <cell r="P357">
            <v>47.462995012421572</v>
          </cell>
          <cell r="Q357">
            <v>49.361514812918436</v>
          </cell>
          <cell r="R357">
            <v>51.335975405435178</v>
          </cell>
          <cell r="S357">
            <v>53.389414421652589</v>
          </cell>
          <cell r="T357">
            <v>55.524990998518696</v>
          </cell>
        </row>
        <row r="358">
          <cell r="K358" t="str">
            <v>USAServicesStandard33Borrowed</v>
          </cell>
          <cell r="L358" t="str">
            <v>Level F</v>
          </cell>
          <cell r="M358">
            <v>152.5</v>
          </cell>
          <cell r="N358">
            <v>67.306466389428451</v>
          </cell>
          <cell r="O358">
            <v>69.819240910278893</v>
          </cell>
          <cell r="P358">
            <v>72.262914342138643</v>
          </cell>
          <cell r="Q358">
            <v>75.153430915824188</v>
          </cell>
          <cell r="R358">
            <v>78.159568152457155</v>
          </cell>
          <cell r="S358">
            <v>81.28595087855544</v>
          </cell>
          <cell r="T358">
            <v>84.537388913697654</v>
          </cell>
        </row>
        <row r="359">
          <cell r="K359" t="str">
            <v>USAServicesStandard33Dedicated</v>
          </cell>
          <cell r="L359" t="str">
            <v>Level F</v>
          </cell>
          <cell r="M359">
            <v>152.5</v>
          </cell>
          <cell r="N359">
            <v>49.856641769946997</v>
          </cell>
          <cell r="O359">
            <v>51.717956229836211</v>
          </cell>
          <cell r="P359">
            <v>53.528084697880473</v>
          </cell>
          <cell r="Q359">
            <v>55.669208085795695</v>
          </cell>
          <cell r="R359">
            <v>57.895976409227522</v>
          </cell>
          <cell r="S359">
            <v>60.211815465596622</v>
          </cell>
          <cell r="T359">
            <v>62.620288084220491</v>
          </cell>
        </row>
        <row r="360">
          <cell r="K360" t="str">
            <v>USAServicesStandard24Borrowed</v>
          </cell>
          <cell r="L360" t="str">
            <v>Level G</v>
          </cell>
          <cell r="M360">
            <v>156.75</v>
          </cell>
          <cell r="N360">
            <v>34.882595853439952</v>
          </cell>
          <cell r="O360">
            <v>36.18487931569306</v>
          </cell>
          <cell r="P360">
            <v>37.451350091742313</v>
          </cell>
          <cell r="Q360">
            <v>38.949404095412007</v>
          </cell>
          <cell r="R360">
            <v>40.507380259228491</v>
          </cell>
          <cell r="S360">
            <v>42.127675469597634</v>
          </cell>
          <cell r="T360">
            <v>43.812782488381544</v>
          </cell>
        </row>
        <row r="361">
          <cell r="K361" t="str">
            <v>USAServicesStandard24Dedicated</v>
          </cell>
          <cell r="L361" t="str">
            <v>Level G</v>
          </cell>
          <cell r="M361">
            <v>156.75</v>
          </cell>
          <cell r="N361">
            <v>25.838959891437</v>
          </cell>
          <cell r="O361">
            <v>26.803614307920782</v>
          </cell>
          <cell r="P361">
            <v>27.741740808698008</v>
          </cell>
          <cell r="Q361">
            <v>28.851410441045928</v>
          </cell>
          <cell r="R361">
            <v>30.005466858687765</v>
          </cell>
          <cell r="S361">
            <v>31.205685533035275</v>
          </cell>
          <cell r="T361">
            <v>32.453912954356689</v>
          </cell>
        </row>
        <row r="362">
          <cell r="K362" t="str">
            <v>USAServicesStandard25Borrowed</v>
          </cell>
          <cell r="L362" t="str">
            <v>Level G</v>
          </cell>
          <cell r="M362">
            <v>156.75</v>
          </cell>
          <cell r="N362">
            <v>42.070060726352104</v>
          </cell>
          <cell r="O362">
            <v>43.640676186569046</v>
          </cell>
          <cell r="P362">
            <v>45.168099853098958</v>
          </cell>
          <cell r="Q362">
            <v>46.974823847222922</v>
          </cell>
          <cell r="R362">
            <v>48.85381680111184</v>
          </cell>
          <cell r="S362">
            <v>50.807969473156312</v>
          </cell>
          <cell r="T362">
            <v>52.840288252082566</v>
          </cell>
        </row>
        <row r="363">
          <cell r="K363" t="str">
            <v>USAServicesStandard25Dedicated</v>
          </cell>
          <cell r="L363" t="str">
            <v>Level G</v>
          </cell>
          <cell r="M363">
            <v>156.75</v>
          </cell>
          <cell r="N363">
            <v>31.163007945446001</v>
          </cell>
          <cell r="O363">
            <v>32.32642680486596</v>
          </cell>
          <cell r="P363">
            <v>33.457851743036265</v>
          </cell>
          <cell r="Q363">
            <v>34.796165812757714</v>
          </cell>
          <cell r="R363">
            <v>36.188012445268022</v>
          </cell>
          <cell r="S363">
            <v>37.635532943078744</v>
          </cell>
          <cell r="T363">
            <v>39.140954260801898</v>
          </cell>
        </row>
        <row r="364">
          <cell r="K364" t="str">
            <v>USAServicesStandard26Borrowed</v>
          </cell>
          <cell r="L364" t="str">
            <v>Level G</v>
          </cell>
          <cell r="M364">
            <v>156.75</v>
          </cell>
          <cell r="N364">
            <v>54.736012139329347</v>
          </cell>
          <cell r="O364">
            <v>56.779489743410942</v>
          </cell>
          <cell r="P364">
            <v>58.76677188443032</v>
          </cell>
          <cell r="Q364">
            <v>61.117442759807531</v>
          </cell>
          <cell r="R364">
            <v>63.562140470199836</v>
          </cell>
          <cell r="S364">
            <v>66.104626089007837</v>
          </cell>
          <cell r="T364">
            <v>68.74881113256815</v>
          </cell>
        </row>
        <row r="365">
          <cell r="K365" t="str">
            <v>USAServicesStandard26Dedicated</v>
          </cell>
          <cell r="L365" t="str">
            <v>Level G</v>
          </cell>
          <cell r="M365">
            <v>156.75</v>
          </cell>
          <cell r="N365">
            <v>40.545194177280997</v>
          </cell>
          <cell r="O365">
            <v>42.05888129141551</v>
          </cell>
          <cell r="P365">
            <v>43.530942136615046</v>
          </cell>
          <cell r="Q365">
            <v>45.27217982207965</v>
          </cell>
          <cell r="R365">
            <v>47.083067014962836</v>
          </cell>
          <cell r="S365">
            <v>48.966389695561354</v>
          </cell>
          <cell r="T365">
            <v>50.92504528338381</v>
          </cell>
        </row>
        <row r="366">
          <cell r="K366" t="str">
            <v>USAServicesStandard22Borrowed</v>
          </cell>
          <cell r="L366" t="str">
            <v>Level H</v>
          </cell>
          <cell r="M366">
            <v>157.33333333333334</v>
          </cell>
          <cell r="N366">
            <v>27.423739864587603</v>
          </cell>
          <cell r="O366">
            <v>28.44755939478641</v>
          </cell>
          <cell r="P366">
            <v>29.443223973603931</v>
          </cell>
          <cell r="Q366">
            <v>30.620952932548089</v>
          </cell>
          <cell r="R366">
            <v>31.845791049850014</v>
          </cell>
          <cell r="S366">
            <v>33.119622691844015</v>
          </cell>
          <cell r="T366">
            <v>34.444407599517774</v>
          </cell>
        </row>
        <row r="367">
          <cell r="K367" t="str">
            <v>USAServicesStandard22Dedicated</v>
          </cell>
          <cell r="L367" t="str">
            <v>Level H</v>
          </cell>
          <cell r="M367">
            <v>157.33333333333334</v>
          </cell>
          <cell r="N367">
            <v>20.313881381176</v>
          </cell>
          <cell r="O367">
            <v>21.072266218360301</v>
          </cell>
          <cell r="P367">
            <v>21.809795536002909</v>
          </cell>
          <cell r="Q367">
            <v>22.682187357443027</v>
          </cell>
          <cell r="R367">
            <v>23.58947485174075</v>
          </cell>
          <cell r="S367">
            <v>24.533053845810382</v>
          </cell>
          <cell r="T367">
            <v>25.514375999642798</v>
          </cell>
        </row>
        <row r="368">
          <cell r="K368" t="str">
            <v>USAServicesStandard23Borrowed</v>
          </cell>
          <cell r="L368" t="str">
            <v>Level H</v>
          </cell>
          <cell r="M368">
            <v>157.33333333333334</v>
          </cell>
          <cell r="N368">
            <v>35.823384943483951</v>
          </cell>
          <cell r="O368">
            <v>37.160791195296071</v>
          </cell>
          <cell r="P368">
            <v>38.46141888713143</v>
          </cell>
          <cell r="Q368">
            <v>39.999875642616686</v>
          </cell>
          <cell r="R368">
            <v>41.599870668321358</v>
          </cell>
          <cell r="S368">
            <v>43.263865495054212</v>
          </cell>
          <cell r="T368">
            <v>44.994420114856382</v>
          </cell>
        </row>
        <row r="369">
          <cell r="K369" t="str">
            <v>USAServicesStandard23Dedicated</v>
          </cell>
          <cell r="L369" t="str">
            <v>Level H</v>
          </cell>
          <cell r="M369">
            <v>157.33333333333334</v>
          </cell>
          <cell r="N369">
            <v>26.535840698876999</v>
          </cell>
          <cell r="O369">
            <v>27.526511996515605</v>
          </cell>
          <cell r="P369">
            <v>28.489939916393649</v>
          </cell>
          <cell r="Q369">
            <v>29.629537513049396</v>
          </cell>
          <cell r="R369">
            <v>30.814719013571374</v>
          </cell>
          <cell r="S369">
            <v>32.04730777411423</v>
          </cell>
          <cell r="T369">
            <v>33.329200085078803</v>
          </cell>
        </row>
        <row r="370">
          <cell r="K370" t="str">
            <v>USAServicesStandard80Borrowed</v>
          </cell>
          <cell r="L370" t="str">
            <v>Sr. Executive</v>
          </cell>
          <cell r="M370">
            <v>149.33333333333334</v>
          </cell>
          <cell r="N370">
            <v>188.41600351185707</v>
          </cell>
          <cell r="O370">
            <v>195.4502003482464</v>
          </cell>
          <cell r="P370">
            <v>202.29095736043502</v>
          </cell>
          <cell r="Q370">
            <v>210.38259565485242</v>
          </cell>
          <cell r="R370">
            <v>218.79789948104653</v>
          </cell>
          <cell r="S370">
            <v>227.54981546028839</v>
          </cell>
          <cell r="T370">
            <v>236.65180807869993</v>
          </cell>
        </row>
        <row r="371">
          <cell r="K371" t="str">
            <v>USAServicesStandard80Dedicated</v>
          </cell>
          <cell r="L371" t="str">
            <v>Sr. Executive</v>
          </cell>
          <cell r="M371">
            <v>149.33333333333334</v>
          </cell>
          <cell r="N371">
            <v>139.56741000878301</v>
          </cell>
          <cell r="O371">
            <v>144.77792618388622</v>
          </cell>
          <cell r="P371">
            <v>149.84515360032222</v>
          </cell>
          <cell r="Q371">
            <v>155.83895974433511</v>
          </cell>
          <cell r="R371">
            <v>162.07251813410852</v>
          </cell>
          <cell r="S371">
            <v>168.55541885947287</v>
          </cell>
          <cell r="T371">
            <v>175.29763561385178</v>
          </cell>
        </row>
        <row r="372">
          <cell r="K372" t="str">
            <v>USAServicesStandard81Borrowed</v>
          </cell>
          <cell r="L372" t="str">
            <v>Sr. Executive</v>
          </cell>
          <cell r="M372">
            <v>149.33333333333334</v>
          </cell>
          <cell r="N372">
            <v>211.79568410462656</v>
          </cell>
          <cell r="O372">
            <v>219.70272227188036</v>
          </cell>
          <cell r="P372">
            <v>227.39231755139616</v>
          </cell>
          <cell r="Q372">
            <v>236.48801025345202</v>
          </cell>
          <cell r="R372">
            <v>245.9475306635901</v>
          </cell>
          <cell r="S372">
            <v>255.78543189013371</v>
          </cell>
          <cell r="T372">
            <v>266.01684916573907</v>
          </cell>
        </row>
        <row r="373">
          <cell r="K373" t="str">
            <v>USAServicesStandard81Dedicated</v>
          </cell>
          <cell r="L373" t="str">
            <v>Sr. Executive</v>
          </cell>
          <cell r="M373">
            <v>149.33333333333334</v>
          </cell>
          <cell r="N373">
            <v>156.88569192935299</v>
          </cell>
          <cell r="O373">
            <v>162.74275723842987</v>
          </cell>
          <cell r="P373">
            <v>168.43875374177492</v>
          </cell>
          <cell r="Q373">
            <v>175.17630389144591</v>
          </cell>
          <cell r="R373">
            <v>182.18335604710376</v>
          </cell>
          <cell r="S373">
            <v>189.47069028898792</v>
          </cell>
          <cell r="T373">
            <v>197.04951790054744</v>
          </cell>
        </row>
        <row r="374">
          <cell r="K374" t="str">
            <v>USAServicesStandard82Borrowed</v>
          </cell>
          <cell r="L374" t="str">
            <v>Sr. Executive</v>
          </cell>
          <cell r="M374">
            <v>149.33333333333334</v>
          </cell>
          <cell r="N374">
            <v>231.20431554289905</v>
          </cell>
          <cell r="O374">
            <v>239.83594255248624</v>
          </cell>
          <cell r="P374">
            <v>248.23020054182325</v>
          </cell>
          <cell r="Q374">
            <v>258.15940856349619</v>
          </cell>
          <cell r="R374">
            <v>268.48578490603603</v>
          </cell>
          <cell r="S374">
            <v>279.22521630227749</v>
          </cell>
          <cell r="T374">
            <v>290.39422495436861</v>
          </cell>
        </row>
        <row r="375">
          <cell r="K375" t="str">
            <v>USAServicesStandard82Dedicated</v>
          </cell>
          <cell r="L375" t="str">
            <v>Sr. Executive</v>
          </cell>
          <cell r="M375">
            <v>149.33333333333334</v>
          </cell>
          <cell r="N375">
            <v>171.262455957703</v>
          </cell>
          <cell r="O375">
            <v>177.65625374258241</v>
          </cell>
          <cell r="P375">
            <v>183.87422262357279</v>
          </cell>
          <cell r="Q375">
            <v>191.22919152851571</v>
          </cell>
          <cell r="R375">
            <v>198.87835918965635</v>
          </cell>
          <cell r="S375">
            <v>206.8334935572426</v>
          </cell>
          <cell r="T375">
            <v>215.10683329953233</v>
          </cell>
        </row>
        <row r="376">
          <cell r="K376" t="str">
            <v>USAServicesStandard83Borrowed</v>
          </cell>
          <cell r="L376" t="str">
            <v>Sr. Executive</v>
          </cell>
          <cell r="M376">
            <v>149.33333333333334</v>
          </cell>
          <cell r="N376">
            <v>253.73127539384416</v>
          </cell>
          <cell r="O376">
            <v>263.20390882944344</v>
          </cell>
          <cell r="P376">
            <v>272.41604563847392</v>
          </cell>
          <cell r="Q376">
            <v>283.31268746401287</v>
          </cell>
          <cell r="R376">
            <v>294.64519496257338</v>
          </cell>
          <cell r="S376">
            <v>306.43100276107634</v>
          </cell>
          <cell r="T376">
            <v>318.68824287151944</v>
          </cell>
        </row>
        <row r="377">
          <cell r="K377" t="str">
            <v>USAServicesStandard83Dedicated</v>
          </cell>
          <cell r="L377" t="str">
            <v>Sr. Executive</v>
          </cell>
          <cell r="M377">
            <v>149.33333333333334</v>
          </cell>
          <cell r="N377">
            <v>187.94909288432899</v>
          </cell>
          <cell r="O377">
            <v>194.96585839218031</v>
          </cell>
          <cell r="P377">
            <v>201.78966343590659</v>
          </cell>
          <cell r="Q377">
            <v>209.86124997334286</v>
          </cell>
          <cell r="R377">
            <v>218.25569997227657</v>
          </cell>
          <cell r="S377">
            <v>226.98592797116765</v>
          </cell>
          <cell r="T377">
            <v>236.06536509001438</v>
          </cell>
        </row>
        <row r="378">
          <cell r="K378" t="str">
            <v>USAServicesStandard84Borrowed</v>
          </cell>
          <cell r="L378" t="str">
            <v>Sr. Executive</v>
          </cell>
          <cell r="M378">
            <v>149.33333333333334</v>
          </cell>
          <cell r="N378">
            <v>287.14297920751801</v>
          </cell>
          <cell r="O378">
            <v>297.86298280745541</v>
          </cell>
          <cell r="P378">
            <v>308.28818720571633</v>
          </cell>
          <cell r="Q378">
            <v>320.61971469394501</v>
          </cell>
          <cell r="R378">
            <v>333.44450328170285</v>
          </cell>
          <cell r="S378">
            <v>346.78228341297097</v>
          </cell>
          <cell r="T378">
            <v>360.65357474948979</v>
          </cell>
        </row>
        <row r="379">
          <cell r="K379" t="str">
            <v>USAServicesStandard84Dedicated</v>
          </cell>
          <cell r="L379" t="str">
            <v>Sr. Executive</v>
          </cell>
          <cell r="M379">
            <v>149.33333333333334</v>
          </cell>
          <cell r="N379">
            <v>212.69850311668</v>
          </cell>
          <cell r="O379">
            <v>220.63924652404106</v>
          </cell>
          <cell r="P379">
            <v>228.36162015238247</v>
          </cell>
          <cell r="Q379">
            <v>237.49608495847778</v>
          </cell>
          <cell r="R379">
            <v>246.9959283568169</v>
          </cell>
          <cell r="S379">
            <v>256.87576549108957</v>
          </cell>
          <cell r="T379">
            <v>267.15079611073315</v>
          </cell>
        </row>
        <row r="380">
          <cell r="K380" t="str">
            <v>USAServicesStandard85Borrowed</v>
          </cell>
          <cell r="L380" t="str">
            <v>Sr. Executive</v>
          </cell>
          <cell r="M380">
            <v>149.33333333333334</v>
          </cell>
          <cell r="N380">
            <v>314.98606571891401</v>
          </cell>
          <cell r="O380">
            <v>326.74554445579992</v>
          </cell>
          <cell r="P380">
            <v>338.18163851175291</v>
          </cell>
          <cell r="Q380">
            <v>351.70890405222303</v>
          </cell>
          <cell r="R380">
            <v>365.77726021431198</v>
          </cell>
          <cell r="S380">
            <v>380.40835062288448</v>
          </cell>
          <cell r="T380">
            <v>395.62468464779988</v>
          </cell>
        </row>
        <row r="381">
          <cell r="K381" t="str">
            <v>USAServicesStandard85Dedicated</v>
          </cell>
          <cell r="L381" t="str">
            <v>Sr. Executive</v>
          </cell>
          <cell r="M381">
            <v>149.33333333333334</v>
          </cell>
          <cell r="N381">
            <v>233.32301164364</v>
          </cell>
          <cell r="O381">
            <v>242.03373663392586</v>
          </cell>
          <cell r="P381">
            <v>250.50491741611324</v>
          </cell>
          <cell r="Q381">
            <v>260.52511411275776</v>
          </cell>
          <cell r="R381">
            <v>270.94611867726809</v>
          </cell>
          <cell r="S381">
            <v>281.78396342435883</v>
          </cell>
          <cell r="T381">
            <v>293.05532196133322</v>
          </cell>
        </row>
        <row r="382">
          <cell r="K382" t="str">
            <v>USAServicesStandard86Borrowed</v>
          </cell>
          <cell r="L382" t="str">
            <v>Sr. Executive</v>
          </cell>
          <cell r="M382">
            <v>149.33333333333334</v>
          </cell>
          <cell r="N382">
            <v>341.37994239959312</v>
          </cell>
          <cell r="O382">
            <v>354.12479244457813</v>
          </cell>
          <cell r="P382">
            <v>366.51916018013833</v>
          </cell>
          <cell r="Q382">
            <v>381.17992658734386</v>
          </cell>
          <cell r="R382">
            <v>396.42712365083764</v>
          </cell>
          <cell r="S382">
            <v>412.28420859687117</v>
          </cell>
          <cell r="T382">
            <v>428.77557694074602</v>
          </cell>
        </row>
        <row r="383">
          <cell r="K383" t="str">
            <v>USAServicesStandard86Dedicated</v>
          </cell>
          <cell r="L383" t="str">
            <v>Sr. Executive</v>
          </cell>
          <cell r="M383">
            <v>149.33333333333334</v>
          </cell>
          <cell r="N383">
            <v>252.874031407106</v>
          </cell>
          <cell r="O383">
            <v>262.31466107005787</v>
          </cell>
          <cell r="P383">
            <v>271.49567420750986</v>
          </cell>
          <cell r="Q383">
            <v>282.35550117581028</v>
          </cell>
          <cell r="R383">
            <v>293.64972122284269</v>
          </cell>
          <cell r="S383">
            <v>305.39571007175641</v>
          </cell>
          <cell r="T383">
            <v>317.61153847462668</v>
          </cell>
        </row>
        <row r="384">
          <cell r="K384" t="str">
            <v>USAServicesStandard87Borrowed</v>
          </cell>
          <cell r="L384" t="str">
            <v>Sr. Executive</v>
          </cell>
          <cell r="M384">
            <v>149.33333333333334</v>
          </cell>
          <cell r="N384">
            <v>398.32311081665205</v>
          </cell>
          <cell r="O384">
            <v>413.19383895939671</v>
          </cell>
          <cell r="P384">
            <v>427.65562332297554</v>
          </cell>
          <cell r="Q384">
            <v>444.76184825589456</v>
          </cell>
          <cell r="R384">
            <v>462.55232218613037</v>
          </cell>
          <cell r="S384">
            <v>481.05441507357563</v>
          </cell>
          <cell r="T384">
            <v>500.29659167651869</v>
          </cell>
        </row>
        <row r="385">
          <cell r="K385" t="str">
            <v>USAServicesStandard87Dedicated</v>
          </cell>
          <cell r="L385" t="str">
            <v>Sr. Executive</v>
          </cell>
          <cell r="M385">
            <v>149.33333333333334</v>
          </cell>
          <cell r="N385">
            <v>295.05415616048299</v>
          </cell>
          <cell r="O385">
            <v>306.06951034029385</v>
          </cell>
          <cell r="P385">
            <v>316.7819432022041</v>
          </cell>
          <cell r="Q385">
            <v>329.45322093029228</v>
          </cell>
          <cell r="R385">
            <v>342.63134976750399</v>
          </cell>
          <cell r="S385">
            <v>356.33660375820415</v>
          </cell>
          <cell r="T385">
            <v>370.59006790853232</v>
          </cell>
        </row>
        <row r="386">
          <cell r="K386" t="str">
            <v>USAServicesStandard88Borrowed</v>
          </cell>
          <cell r="L386" t="str">
            <v>Sr. Executive</v>
          </cell>
          <cell r="M386">
            <v>149.33333333333334</v>
          </cell>
          <cell r="N386">
            <v>435.1158796166456</v>
          </cell>
          <cell r="O386">
            <v>451.36020433861415</v>
          </cell>
          <cell r="P386">
            <v>467.15781149046563</v>
          </cell>
          <cell r="Q386">
            <v>485.84412395008428</v>
          </cell>
          <cell r="R386">
            <v>505.27788890808768</v>
          </cell>
          <cell r="S386">
            <v>525.48900446441121</v>
          </cell>
          <cell r="T386">
            <v>546.50856464298772</v>
          </cell>
        </row>
        <row r="387">
          <cell r="K387" t="str">
            <v>USAServicesStandard88Dedicated</v>
          </cell>
          <cell r="L387" t="str">
            <v>Sr. Executive</v>
          </cell>
          <cell r="M387">
            <v>149.33333333333334</v>
          </cell>
          <cell r="N387">
            <v>322.30805897529302</v>
          </cell>
          <cell r="O387">
            <v>334.34089210267712</v>
          </cell>
          <cell r="P387">
            <v>346.04282332627076</v>
          </cell>
          <cell r="Q387">
            <v>359.88453625932158</v>
          </cell>
          <cell r="R387">
            <v>374.27991770969447</v>
          </cell>
          <cell r="S387">
            <v>389.25111441808224</v>
          </cell>
          <cell r="T387">
            <v>404.82115899480556</v>
          </cell>
        </row>
        <row r="388">
          <cell r="K388" t="str">
            <v>USAServicesStandard89Borrowed</v>
          </cell>
          <cell r="L388" t="str">
            <v>Sr. Executive</v>
          </cell>
          <cell r="M388">
            <v>149.33333333333334</v>
          </cell>
          <cell r="N388">
            <v>462.71045621664007</v>
          </cell>
          <cell r="O388">
            <v>479.98497837302648</v>
          </cell>
          <cell r="P388">
            <v>496.78445261608238</v>
          </cell>
          <cell r="Q388">
            <v>516.6558307207257</v>
          </cell>
          <cell r="R388">
            <v>537.32206394955472</v>
          </cell>
          <cell r="S388">
            <v>558.81494650753689</v>
          </cell>
          <cell r="T388">
            <v>581.16754436783833</v>
          </cell>
        </row>
        <row r="389">
          <cell r="K389" t="str">
            <v>USAServicesStandard89Dedicated</v>
          </cell>
          <cell r="L389" t="str">
            <v>Sr. Executive</v>
          </cell>
          <cell r="M389">
            <v>149.33333333333334</v>
          </cell>
          <cell r="N389">
            <v>342.74848608640002</v>
          </cell>
          <cell r="O389">
            <v>355.544428424464</v>
          </cell>
          <cell r="P389">
            <v>367.98848341932023</v>
          </cell>
          <cell r="Q389">
            <v>382.70802275609304</v>
          </cell>
          <cell r="R389">
            <v>398.01634366633675</v>
          </cell>
          <cell r="S389">
            <v>413.93699741299025</v>
          </cell>
          <cell r="T389">
            <v>430.49447730950988</v>
          </cell>
        </row>
        <row r="390">
          <cell r="K390" t="str">
            <v>USAServicesStandard90Borrowed</v>
          </cell>
          <cell r="L390" t="str">
            <v>Sr. Executive</v>
          </cell>
          <cell r="M390">
            <v>149.33333333333334</v>
          </cell>
          <cell r="N390">
            <v>554.99231926662162</v>
          </cell>
          <cell r="O390">
            <v>575.71203066926785</v>
          </cell>
          <cell r="P390">
            <v>595.86195174269221</v>
          </cell>
          <cell r="Q390">
            <v>619.69642981239997</v>
          </cell>
          <cell r="R390">
            <v>644.48428700489603</v>
          </cell>
          <cell r="S390">
            <v>670.26365848509192</v>
          </cell>
          <cell r="T390">
            <v>697.07420482449561</v>
          </cell>
        </row>
        <row r="391">
          <cell r="K391" t="str">
            <v>USAServicesStandard90Dedicated</v>
          </cell>
          <cell r="L391" t="str">
            <v>Sr. Executive</v>
          </cell>
          <cell r="M391">
            <v>149.33333333333334</v>
          </cell>
          <cell r="N391">
            <v>411.10542167897898</v>
          </cell>
          <cell r="O391">
            <v>426.45335605130947</v>
          </cell>
          <cell r="P391">
            <v>441.37922351310527</v>
          </cell>
          <cell r="Q391">
            <v>459.03439245362949</v>
          </cell>
          <cell r="R391">
            <v>477.39576815177469</v>
          </cell>
          <cell r="S391">
            <v>496.49159887784572</v>
          </cell>
          <cell r="T391">
            <v>516.35126283295961</v>
          </cell>
        </row>
        <row r="392">
          <cell r="K392" t="str">
            <v>USAServicesStandard91Borrowed</v>
          </cell>
          <cell r="L392" t="str">
            <v>Sr. Executive</v>
          </cell>
          <cell r="M392">
            <v>149.33333333333334</v>
          </cell>
          <cell r="N392">
            <v>683.19759072948762</v>
          </cell>
          <cell r="O392">
            <v>708.70363183939651</v>
          </cell>
          <cell r="P392">
            <v>733.50825895377534</v>
          </cell>
          <cell r="Q392">
            <v>762.84858931192639</v>
          </cell>
          <cell r="R392">
            <v>793.36253288440344</v>
          </cell>
          <cell r="S392">
            <v>825.09703419977961</v>
          </cell>
          <cell r="T392">
            <v>858.10091556777081</v>
          </cell>
        </row>
        <row r="393">
          <cell r="K393" t="str">
            <v>USAServicesStandard91Dedicated</v>
          </cell>
          <cell r="L393" t="str">
            <v>Sr. Executive</v>
          </cell>
          <cell r="M393">
            <v>149.33333333333334</v>
          </cell>
          <cell r="N393">
            <v>506.07228942925002</v>
          </cell>
          <cell r="O393">
            <v>524.96565321436776</v>
          </cell>
          <cell r="P393">
            <v>543.33945107687055</v>
          </cell>
          <cell r="Q393">
            <v>565.07302911994543</v>
          </cell>
          <cell r="R393">
            <v>587.67595028474329</v>
          </cell>
          <cell r="S393">
            <v>611.18298829613309</v>
          </cell>
          <cell r="T393">
            <v>635.63030782797841</v>
          </cell>
        </row>
        <row r="394">
          <cell r="K394" t="str">
            <v>USAServicesStandard92Borrowed</v>
          </cell>
          <cell r="L394" t="str">
            <v>Sr. Executive</v>
          </cell>
          <cell r="M394">
            <v>149.33333333333334</v>
          </cell>
          <cell r="N394">
            <v>867.43091301656182</v>
          </cell>
          <cell r="O394">
            <v>899.81499754441052</v>
          </cell>
          <cell r="P394">
            <v>931.30852245846484</v>
          </cell>
          <cell r="Q394">
            <v>968.56086335680345</v>
          </cell>
          <cell r="R394">
            <v>1007.3032978910757</v>
          </cell>
          <cell r="S394">
            <v>1047.5954298067188</v>
          </cell>
          <cell r="T394">
            <v>1089.4992469989877</v>
          </cell>
        </row>
        <row r="395">
          <cell r="K395" t="str">
            <v>USAServicesStandard92Dedicated</v>
          </cell>
          <cell r="L395" t="str">
            <v>Sr. Executive</v>
          </cell>
          <cell r="M395">
            <v>149.33333333333334</v>
          </cell>
          <cell r="N395">
            <v>642.54141704930498</v>
          </cell>
          <cell r="O395">
            <v>666.52962781067436</v>
          </cell>
          <cell r="P395">
            <v>689.85816478404786</v>
          </cell>
          <cell r="Q395">
            <v>717.45249137540975</v>
          </cell>
          <cell r="R395">
            <v>746.1505910304262</v>
          </cell>
          <cell r="S395">
            <v>775.99661467164333</v>
          </cell>
          <cell r="T395">
            <v>807.03647925850908</v>
          </cell>
        </row>
        <row r="396">
          <cell r="K396" t="str">
            <v>USAServicesStandard93Borrowed</v>
          </cell>
          <cell r="L396" t="str">
            <v>Sr. Executive</v>
          </cell>
          <cell r="M396">
            <v>149.33333333333334</v>
          </cell>
          <cell r="N396">
            <v>1304.3450425164767</v>
          </cell>
          <cell r="O396">
            <v>1353.0405864226084</v>
          </cell>
          <cell r="P396">
            <v>1400.3970069473996</v>
          </cell>
          <cell r="Q396">
            <v>1456.4128872252957</v>
          </cell>
          <cell r="R396">
            <v>1514.6694027143076</v>
          </cell>
          <cell r="S396">
            <v>1575.25617882288</v>
          </cell>
          <cell r="T396">
            <v>1638.2664259757953</v>
          </cell>
        </row>
        <row r="397">
          <cell r="K397" t="str">
            <v>USAServicesStandard93Dedicated</v>
          </cell>
          <cell r="L397" t="str">
            <v>Sr. Executive</v>
          </cell>
          <cell r="M397">
            <v>149.33333333333334</v>
          </cell>
          <cell r="N397">
            <v>966.18151297516795</v>
          </cell>
          <cell r="O397">
            <v>1002.2522862389692</v>
          </cell>
          <cell r="P397">
            <v>1037.331116257333</v>
          </cell>
          <cell r="Q397">
            <v>1078.8243609076262</v>
          </cell>
          <cell r="R397">
            <v>1121.9773353439314</v>
          </cell>
          <cell r="S397">
            <v>1166.8564287576887</v>
          </cell>
          <cell r="T397">
            <v>1213.5306859079963</v>
          </cell>
        </row>
        <row r="398">
          <cell r="K398" t="str">
            <v>USAServicesStandard94Borrowed</v>
          </cell>
          <cell r="L398" t="str">
            <v>Sr. Executive</v>
          </cell>
          <cell r="M398">
            <v>149.33333333333334</v>
          </cell>
          <cell r="N398">
            <v>2776.0557945161922</v>
          </cell>
          <cell r="O398">
            <v>2879.6952015912775</v>
          </cell>
          <cell r="P398">
            <v>2980.4845336469721</v>
          </cell>
          <cell r="Q398">
            <v>3099.703914992851</v>
          </cell>
          <cell r="R398">
            <v>3223.6920715925653</v>
          </cell>
          <cell r="S398">
            <v>3352.6397544562678</v>
          </cell>
          <cell r="T398">
            <v>3486.7453446345185</v>
          </cell>
        </row>
        <row r="399">
          <cell r="K399" t="str">
            <v>USAServicesStandard94Dedicated</v>
          </cell>
          <cell r="L399" t="str">
            <v>Sr. Executive</v>
          </cell>
          <cell r="M399">
            <v>149.33333333333334</v>
          </cell>
          <cell r="N399">
            <v>2056.3376255675498</v>
          </cell>
          <cell r="O399">
            <v>2133.1075567342796</v>
          </cell>
          <cell r="P399">
            <v>2207.7663212199791</v>
          </cell>
          <cell r="Q399">
            <v>2296.0769740687783</v>
          </cell>
          <cell r="R399">
            <v>2387.9200530315297</v>
          </cell>
          <cell r="S399">
            <v>2483.4368551527909</v>
          </cell>
          <cell r="T399">
            <v>2582.7743293589028</v>
          </cell>
        </row>
        <row r="400">
          <cell r="K400" t="str">
            <v>USAServicesStandard95Borrowed</v>
          </cell>
          <cell r="L400" t="str">
            <v>Sr. Executive</v>
          </cell>
          <cell r="M400">
            <v>149.33333333333334</v>
          </cell>
          <cell r="N400">
            <v>3143.9834825161138</v>
          </cell>
          <cell r="O400">
            <v>3261.3588553834375</v>
          </cell>
          <cell r="P400">
            <v>3375.5064153218577</v>
          </cell>
          <cell r="Q400">
            <v>3510.5266719347323</v>
          </cell>
          <cell r="R400">
            <v>3650.9477388121218</v>
          </cell>
          <cell r="S400">
            <v>3796.9856483646067</v>
          </cell>
          <cell r="T400">
            <v>3948.8650742991913</v>
          </cell>
        </row>
        <row r="401">
          <cell r="K401" t="str">
            <v>USAServicesStandard95Dedicated</v>
          </cell>
          <cell r="L401" t="str">
            <v>Sr. Executive</v>
          </cell>
          <cell r="M401">
            <v>149.33333333333334</v>
          </cell>
          <cell r="N401">
            <v>2328.8766537156398</v>
          </cell>
          <cell r="O401">
            <v>2415.8213743581018</v>
          </cell>
          <cell r="P401">
            <v>2500.3751224606353</v>
          </cell>
          <cell r="Q401">
            <v>2600.3901273590609</v>
          </cell>
          <cell r="R401">
            <v>2704.4057324534233</v>
          </cell>
          <cell r="S401">
            <v>2812.5819617515604</v>
          </cell>
          <cell r="T401">
            <v>2925.0852402216228</v>
          </cell>
        </row>
        <row r="402">
          <cell r="K402" t="str">
            <v>USAServicesStandard96Borrowed</v>
          </cell>
          <cell r="L402" t="str">
            <v>Sr. Executive</v>
          </cell>
          <cell r="M402">
            <v>149.33333333333334</v>
          </cell>
          <cell r="N402">
            <v>3511.911170516049</v>
          </cell>
          <cell r="O402">
            <v>3643.022509175611</v>
          </cell>
          <cell r="P402">
            <v>3770.528296996757</v>
          </cell>
          <cell r="Q402">
            <v>3921.3494288766274</v>
          </cell>
          <cell r="R402">
            <v>4078.2034060316928</v>
          </cell>
          <cell r="S402">
            <v>4241.3315422729611</v>
          </cell>
          <cell r="T402">
            <v>4410.98480396388</v>
          </cell>
        </row>
        <row r="403">
          <cell r="K403" t="str">
            <v>USAServicesStandard96Dedicated</v>
          </cell>
          <cell r="L403" t="str">
            <v>Sr. Executive</v>
          </cell>
          <cell r="M403">
            <v>149.33333333333334</v>
          </cell>
          <cell r="N403">
            <v>2601.4156818637398</v>
          </cell>
          <cell r="O403">
            <v>2698.5351919819341</v>
          </cell>
          <cell r="P403">
            <v>2792.9839237013016</v>
          </cell>
          <cell r="Q403">
            <v>2904.7032806493539</v>
          </cell>
          <cell r="R403">
            <v>3020.8914118753282</v>
          </cell>
          <cell r="S403">
            <v>3141.7270683503416</v>
          </cell>
          <cell r="T403">
            <v>3267.3961510843556</v>
          </cell>
        </row>
        <row r="404">
          <cell r="K404" t="str">
            <v>USAServicesStandard97Borrowed</v>
          </cell>
          <cell r="L404" t="str">
            <v>Sr. Executive</v>
          </cell>
          <cell r="M404">
            <v>149.33333333333334</v>
          </cell>
          <cell r="N404">
            <v>3879.8388585159705</v>
          </cell>
          <cell r="O404">
            <v>4024.6861629677705</v>
          </cell>
          <cell r="P404">
            <v>4165.5501786716422</v>
          </cell>
          <cell r="Q404">
            <v>4332.1721858185083</v>
          </cell>
          <cell r="R404">
            <v>4505.4590732512488</v>
          </cell>
          <cell r="S404">
            <v>4685.6774361812986</v>
          </cell>
          <cell r="T404">
            <v>4873.1045336285506</v>
          </cell>
        </row>
        <row r="405">
          <cell r="K405" t="str">
            <v>USAServicesStandard97Dedicated</v>
          </cell>
          <cell r="L405" t="str">
            <v>Sr. Executive</v>
          </cell>
          <cell r="M405">
            <v>149.33333333333334</v>
          </cell>
          <cell r="N405">
            <v>2873.9547100118298</v>
          </cell>
          <cell r="O405">
            <v>2981.2490096057559</v>
          </cell>
          <cell r="P405">
            <v>3085.5927249419569</v>
          </cell>
          <cell r="Q405">
            <v>3209.0164339396351</v>
          </cell>
          <cell r="R405">
            <v>3337.3770912972204</v>
          </cell>
          <cell r="S405">
            <v>3470.8721749491092</v>
          </cell>
          <cell r="T405">
            <v>3609.7070619470737</v>
          </cell>
        </row>
        <row r="406">
          <cell r="K406" t="str">
            <v>USAServicesStandard98Borrowed</v>
          </cell>
          <cell r="L406" t="str">
            <v>Sr. Executive</v>
          </cell>
          <cell r="M406">
            <v>149.33333333333334</v>
          </cell>
          <cell r="N406">
            <v>4247.7670064255217</v>
          </cell>
          <cell r="O406">
            <v>4406.3502938395177</v>
          </cell>
          <cell r="P406">
            <v>4560.5725541239008</v>
          </cell>
          <cell r="Q406">
            <v>4742.995456288857</v>
          </cell>
          <cell r="R406">
            <v>4932.7152745404119</v>
          </cell>
          <cell r="S406">
            <v>5130.0238855220286</v>
          </cell>
          <cell r="T406">
            <v>5335.2248409429103</v>
          </cell>
        </row>
        <row r="407">
          <cell r="K407" t="str">
            <v>USAServicesStandard98Dedicated</v>
          </cell>
          <cell r="L407" t="str">
            <v>Sr. Executive</v>
          </cell>
          <cell r="M407">
            <v>149.33333333333334</v>
          </cell>
          <cell r="N407">
            <v>3146.4940788337199</v>
          </cell>
          <cell r="O407">
            <v>3263.9631806218654</v>
          </cell>
          <cell r="P407">
            <v>3378.2018919436305</v>
          </cell>
          <cell r="Q407">
            <v>3513.329967621376</v>
          </cell>
          <cell r="R407">
            <v>3653.8631663262313</v>
          </cell>
          <cell r="S407">
            <v>3800.0176929792806</v>
          </cell>
          <cell r="T407">
            <v>3952.0184006984518</v>
          </cell>
        </row>
        <row r="408">
          <cell r="K408" t="str">
            <v>USASolutionsDelivery Center/Local34LT</v>
          </cell>
          <cell r="L408" t="str">
            <v>Analyst Programmer</v>
          </cell>
          <cell r="M408">
            <v>156</v>
          </cell>
          <cell r="N408">
            <v>51.432063764786236</v>
          </cell>
          <cell r="O408">
            <v>53.489346315377688</v>
          </cell>
          <cell r="P408">
            <v>55.628920167992796</v>
          </cell>
          <cell r="Q408">
            <v>57.854076974712513</v>
          </cell>
          <cell r="R408">
            <v>60.168240053701012</v>
          </cell>
          <cell r="S408">
            <v>62.574969655849053</v>
          </cell>
          <cell r="T408">
            <v>65.077968442083019</v>
          </cell>
        </row>
        <row r="409">
          <cell r="K409" t="str">
            <v>USASolutionsDelivery Center/Local34ST</v>
          </cell>
          <cell r="L409" t="str">
            <v>Analyst Programmer</v>
          </cell>
          <cell r="M409">
            <v>156</v>
          </cell>
          <cell r="N409">
            <v>55.381771499644621</v>
          </cell>
          <cell r="O409">
            <v>57.597042359630407</v>
          </cell>
          <cell r="P409">
            <v>59.900924054015626</v>
          </cell>
          <cell r="Q409">
            <v>62.296961016176255</v>
          </cell>
          <cell r="R409">
            <v>64.788839456823311</v>
          </cell>
          <cell r="S409">
            <v>67.380393035096247</v>
          </cell>
          <cell r="T409">
            <v>70.075608756500102</v>
          </cell>
        </row>
        <row r="410">
          <cell r="K410" t="str">
            <v>USASolutionsDelivery Center/Local35LT</v>
          </cell>
          <cell r="L410" t="str">
            <v>Analyst Programmer</v>
          </cell>
          <cell r="M410">
            <v>156</v>
          </cell>
          <cell r="N410">
            <v>56.565026200939876</v>
          </cell>
          <cell r="O410">
            <v>58.827627248977471</v>
          </cell>
          <cell r="P410">
            <v>61.180732338936572</v>
          </cell>
          <cell r="Q410">
            <v>63.627961632494035</v>
          </cell>
          <cell r="R410">
            <v>66.1730800977938</v>
          </cell>
          <cell r="S410">
            <v>68.820003301705555</v>
          </cell>
          <cell r="T410">
            <v>71.572803433773785</v>
          </cell>
        </row>
        <row r="411">
          <cell r="K411" t="str">
            <v>USASolutionsDelivery Center/Local35ST</v>
          </cell>
          <cell r="L411" t="str">
            <v>Analyst Programmer</v>
          </cell>
          <cell r="M411">
            <v>156</v>
          </cell>
          <cell r="N411">
            <v>60.908918029392694</v>
          </cell>
          <cell r="O411">
            <v>63.345274750568407</v>
          </cell>
          <cell r="P411">
            <v>65.879085740591151</v>
          </cell>
          <cell r="Q411">
            <v>68.514249170214796</v>
          </cell>
          <cell r="R411">
            <v>71.254819137023389</v>
          </cell>
          <cell r="S411">
            <v>74.10501190250433</v>
          </cell>
          <cell r="T411">
            <v>77.069212378604504</v>
          </cell>
        </row>
        <row r="412">
          <cell r="K412" t="str">
            <v>USASolutionsDelivery Center/Local36LT</v>
          </cell>
          <cell r="L412" t="str">
            <v>Analyst Programmer</v>
          </cell>
          <cell r="M412">
            <v>156</v>
          </cell>
          <cell r="N412">
            <v>68.201365356613692</v>
          </cell>
          <cell r="O412">
            <v>70.929419970878243</v>
          </cell>
          <cell r="P412">
            <v>73.766596769713374</v>
          </cell>
          <cell r="Q412">
            <v>76.717260640501905</v>
          </cell>
          <cell r="R412">
            <v>79.785951066121982</v>
          </cell>
          <cell r="S412">
            <v>82.977389108766857</v>
          </cell>
          <cell r="T412">
            <v>86.296484673117533</v>
          </cell>
        </row>
        <row r="413">
          <cell r="K413" t="str">
            <v>USASolutionsDelivery Center/Local36ST</v>
          </cell>
          <cell r="L413" t="str">
            <v>Analyst Programmer</v>
          </cell>
          <cell r="M413">
            <v>156</v>
          </cell>
          <cell r="N413">
            <v>73.438865868139956</v>
          </cell>
          <cell r="O413">
            <v>76.376420502865557</v>
          </cell>
          <cell r="P413">
            <v>79.431477322980186</v>
          </cell>
          <cell r="Q413">
            <v>82.608736415899401</v>
          </cell>
          <cell r="R413">
            <v>85.913085872535376</v>
          </cell>
          <cell r="S413">
            <v>89.349609307436793</v>
          </cell>
          <cell r="T413">
            <v>92.923593679734267</v>
          </cell>
        </row>
        <row r="414">
          <cell r="K414" t="str">
            <v>USASolutionsDelivery Center/Local60LT</v>
          </cell>
          <cell r="L414" t="str">
            <v>Manager</v>
          </cell>
          <cell r="M414">
            <v>156</v>
          </cell>
          <cell r="N414">
            <v>85.985466838833901</v>
          </cell>
          <cell r="O414">
            <v>89.424885512387263</v>
          </cell>
          <cell r="P414">
            <v>93.001880932882756</v>
          </cell>
          <cell r="Q414">
            <v>96.721956170198069</v>
          </cell>
          <cell r="R414">
            <v>100.59083441700599</v>
          </cell>
          <cell r="S414">
            <v>104.61446779368623</v>
          </cell>
          <cell r="T414">
            <v>108.79904650543368</v>
          </cell>
        </row>
        <row r="415">
          <cell r="K415" t="str">
            <v>USASolutionsDelivery Center/Local60ST</v>
          </cell>
          <cell r="L415" t="str">
            <v>Manager</v>
          </cell>
          <cell r="M415">
            <v>156</v>
          </cell>
          <cell r="N415">
            <v>92.588691337308632</v>
          </cell>
          <cell r="O415">
            <v>96.292238990800982</v>
          </cell>
          <cell r="P415">
            <v>100.14392855043303</v>
          </cell>
          <cell r="Q415">
            <v>104.14968569245036</v>
          </cell>
          <cell r="R415">
            <v>108.31567312014838</v>
          </cell>
          <cell r="S415">
            <v>112.64830004495431</v>
          </cell>
          <cell r="T415">
            <v>117.15423204675248</v>
          </cell>
        </row>
        <row r="416">
          <cell r="K416" t="str">
            <v>USASolutionsDelivery Center/Local61LT</v>
          </cell>
          <cell r="L416" t="str">
            <v>Manager</v>
          </cell>
          <cell r="M416">
            <v>156</v>
          </cell>
          <cell r="N416">
            <v>94.951127338717413</v>
          </cell>
          <cell r="O416">
            <v>98.749172432266107</v>
          </cell>
          <cell r="P416">
            <v>102.69913932955676</v>
          </cell>
          <cell r="Q416">
            <v>106.80710490273903</v>
          </cell>
          <cell r="R416">
            <v>111.07938909884859</v>
          </cell>
          <cell r="S416">
            <v>115.52256466280254</v>
          </cell>
          <cell r="T416">
            <v>120.14346724931464</v>
          </cell>
        </row>
        <row r="417">
          <cell r="K417" t="str">
            <v>USASolutionsDelivery Center/Local61ST</v>
          </cell>
          <cell r="L417" t="str">
            <v>Manager</v>
          </cell>
          <cell r="M417">
            <v>156</v>
          </cell>
          <cell r="N417">
            <v>102.24286666689939</v>
          </cell>
          <cell r="O417">
            <v>106.33258133357536</v>
          </cell>
          <cell r="P417">
            <v>110.58588458691838</v>
          </cell>
          <cell r="Q417">
            <v>115.00931997039513</v>
          </cell>
          <cell r="R417">
            <v>119.60969276921094</v>
          </cell>
          <cell r="S417">
            <v>124.39408047997938</v>
          </cell>
          <cell r="T417">
            <v>129.36984369917855</v>
          </cell>
        </row>
        <row r="418">
          <cell r="K418" t="str">
            <v>USASolutionsDelivery Center/Local62LT</v>
          </cell>
          <cell r="L418" t="str">
            <v>Manager</v>
          </cell>
          <cell r="M418">
            <v>156</v>
          </cell>
          <cell r="N418">
            <v>102.56760252827483</v>
          </cell>
          <cell r="O418">
            <v>106.67030662940583</v>
          </cell>
          <cell r="P418">
            <v>110.93711889458207</v>
          </cell>
          <cell r="Q418">
            <v>115.37460365036536</v>
          </cell>
          <cell r="R418">
            <v>119.98958779637998</v>
          </cell>
          <cell r="S418">
            <v>124.78917130823518</v>
          </cell>
          <cell r="T418">
            <v>129.7807381605646</v>
          </cell>
        </row>
        <row r="419">
          <cell r="K419" t="str">
            <v>USASolutionsDelivery Center/Local62ST</v>
          </cell>
          <cell r="L419" t="str">
            <v>Manager</v>
          </cell>
          <cell r="M419">
            <v>156</v>
          </cell>
          <cell r="N419">
            <v>110.44424646199879</v>
          </cell>
          <cell r="O419">
            <v>114.86201632047874</v>
          </cell>
          <cell r="P419">
            <v>119.4564969732979</v>
          </cell>
          <cell r="Q419">
            <v>124.23475685222982</v>
          </cell>
          <cell r="R419">
            <v>129.20414712631901</v>
          </cell>
          <cell r="S419">
            <v>134.37231301137177</v>
          </cell>
          <cell r="T419">
            <v>139.74720553182664</v>
          </cell>
        </row>
        <row r="420">
          <cell r="K420" t="str">
            <v>USASolutionsDelivery Center/Local63LT</v>
          </cell>
          <cell r="L420" t="str">
            <v>Manager</v>
          </cell>
          <cell r="M420">
            <v>156</v>
          </cell>
          <cell r="N420">
            <v>111.17323033985325</v>
          </cell>
          <cell r="O420">
            <v>115.62015955344738</v>
          </cell>
          <cell r="P420">
            <v>120.24496593558528</v>
          </cell>
          <cell r="Q420">
            <v>125.0547645730087</v>
          </cell>
          <cell r="R420">
            <v>130.05695515592905</v>
          </cell>
          <cell r="S420">
            <v>135.25923336216621</v>
          </cell>
          <cell r="T420">
            <v>140.66960269665287</v>
          </cell>
        </row>
        <row r="421">
          <cell r="K421" t="str">
            <v>USASolutionsDelivery Center/Local63ST</v>
          </cell>
          <cell r="L421" t="str">
            <v>Manager</v>
          </cell>
          <cell r="M421">
            <v>156</v>
          </cell>
          <cell r="N421">
            <v>119.71074051620259</v>
          </cell>
          <cell r="O421">
            <v>124.49917013685069</v>
          </cell>
          <cell r="P421">
            <v>129.47913694232471</v>
          </cell>
          <cell r="Q421">
            <v>134.65830242001772</v>
          </cell>
          <cell r="R421">
            <v>140.04463451681843</v>
          </cell>
          <cell r="S421">
            <v>145.64641989749117</v>
          </cell>
          <cell r="T421">
            <v>151.47227669339082</v>
          </cell>
        </row>
        <row r="422">
          <cell r="K422" t="str">
            <v>USASolutionsDelivery Center/Local64LT</v>
          </cell>
          <cell r="L422" t="str">
            <v>Manager</v>
          </cell>
          <cell r="M422">
            <v>156</v>
          </cell>
          <cell r="N422">
            <v>122.87688416359985</v>
          </cell>
          <cell r="O422">
            <v>127.79195953014386</v>
          </cell>
          <cell r="P422">
            <v>132.90363791134962</v>
          </cell>
          <cell r="Q422">
            <v>138.21978342780361</v>
          </cell>
          <cell r="R422">
            <v>143.74857476491576</v>
          </cell>
          <cell r="S422">
            <v>149.49851775551238</v>
          </cell>
          <cell r="T422">
            <v>155.47845846573287</v>
          </cell>
        </row>
        <row r="423">
          <cell r="K423" t="str">
            <v>USASolutionsDelivery Center/Local64ST</v>
          </cell>
          <cell r="L423" t="str">
            <v>Manager</v>
          </cell>
          <cell r="M423">
            <v>156</v>
          </cell>
          <cell r="N423">
            <v>132.31317242991972</v>
          </cell>
          <cell r="O423">
            <v>137.6056993271165</v>
          </cell>
          <cell r="P423">
            <v>143.10992730020115</v>
          </cell>
          <cell r="Q423">
            <v>148.8343243922092</v>
          </cell>
          <cell r="R423">
            <v>154.78769736789758</v>
          </cell>
          <cell r="S423">
            <v>160.97920526261348</v>
          </cell>
          <cell r="T423">
            <v>167.41837347311801</v>
          </cell>
        </row>
        <row r="424">
          <cell r="K424" t="str">
            <v>USASolutionsDelivery Center/Local65LT</v>
          </cell>
          <cell r="L424" t="str">
            <v>Manager</v>
          </cell>
          <cell r="M424">
            <v>156</v>
          </cell>
          <cell r="N424">
            <v>132.05622049594947</v>
          </cell>
          <cell r="O424">
            <v>137.33846931578745</v>
          </cell>
          <cell r="P424">
            <v>142.83200808841895</v>
          </cell>
          <cell r="Q424">
            <v>148.54528841195571</v>
          </cell>
          <cell r="R424">
            <v>154.48709994843395</v>
          </cell>
          <cell r="S424">
            <v>160.6665839463713</v>
          </cell>
          <cell r="T424">
            <v>167.09324730422617</v>
          </cell>
        </row>
        <row r="425">
          <cell r="K425" t="str">
            <v>USASolutionsDelivery Center/Local65ST</v>
          </cell>
          <cell r="L425" t="str">
            <v>Manager</v>
          </cell>
          <cell r="M425">
            <v>156</v>
          </cell>
          <cell r="N425">
            <v>142.19743275440302</v>
          </cell>
          <cell r="O425">
            <v>147.88533006457914</v>
          </cell>
          <cell r="P425">
            <v>153.80074326716232</v>
          </cell>
          <cell r="Q425">
            <v>159.95277299784883</v>
          </cell>
          <cell r="R425">
            <v>166.35088391776279</v>
          </cell>
          <cell r="S425">
            <v>173.00491927447331</v>
          </cell>
          <cell r="T425">
            <v>179.92511604545226</v>
          </cell>
        </row>
        <row r="426">
          <cell r="K426" t="str">
            <v>USASolutionsDelivery Center/Local66LT</v>
          </cell>
          <cell r="L426" t="str">
            <v>Manager</v>
          </cell>
          <cell r="M426">
            <v>156</v>
          </cell>
          <cell r="N426">
            <v>141.23565244638633</v>
          </cell>
          <cell r="O426">
            <v>146.88507854424179</v>
          </cell>
          <cell r="P426">
            <v>152.76048168601147</v>
          </cell>
          <cell r="Q426">
            <v>158.87090095345195</v>
          </cell>
          <cell r="R426">
            <v>165.22573699159003</v>
          </cell>
          <cell r="S426">
            <v>171.83476647125363</v>
          </cell>
          <cell r="T426">
            <v>178.70815713010379</v>
          </cell>
        </row>
        <row r="427">
          <cell r="K427" t="str">
            <v>USASolutionsDelivery Center/Local66ST</v>
          </cell>
          <cell r="L427" t="str">
            <v>Manager</v>
          </cell>
          <cell r="M427">
            <v>156</v>
          </cell>
          <cell r="N427">
            <v>152.08179603993187</v>
          </cell>
          <cell r="O427">
            <v>158.16506788152915</v>
          </cell>
          <cell r="P427">
            <v>164.49167059679033</v>
          </cell>
          <cell r="Q427">
            <v>171.07133742066193</v>
          </cell>
          <cell r="R427">
            <v>177.91419091748841</v>
          </cell>
          <cell r="S427">
            <v>185.03075855418797</v>
          </cell>
          <cell r="T427">
            <v>192.43198889635551</v>
          </cell>
        </row>
        <row r="428">
          <cell r="K428" t="str">
            <v>USASolutionsDelivery Center/Local22LT</v>
          </cell>
          <cell r="L428" t="str">
            <v>Programmer</v>
          </cell>
          <cell r="M428">
            <v>156</v>
          </cell>
          <cell r="N428">
            <v>35.824754408564402</v>
          </cell>
          <cell r="O428">
            <v>37.25774458490698</v>
          </cell>
          <cell r="P428">
            <v>38.748054368303258</v>
          </cell>
          <cell r="Q428">
            <v>40.297976543035389</v>
          </cell>
          <cell r="R428">
            <v>41.909895604756805</v>
          </cell>
          <cell r="S428">
            <v>43.586291428947078</v>
          </cell>
          <cell r="T428">
            <v>45.329743086104962</v>
          </cell>
        </row>
        <row r="429">
          <cell r="K429" t="str">
            <v>USASolutionsDelivery Center/Local22ST</v>
          </cell>
          <cell r="L429" t="str">
            <v>Programmer</v>
          </cell>
          <cell r="M429">
            <v>156</v>
          </cell>
          <cell r="N429">
            <v>38.575904162811419</v>
          </cell>
          <cell r="O429">
            <v>40.118940329323877</v>
          </cell>
          <cell r="P429">
            <v>41.723697942496834</v>
          </cell>
          <cell r="Q429">
            <v>43.392645860196708</v>
          </cell>
          <cell r="R429">
            <v>45.128351694604575</v>
          </cell>
          <cell r="S429">
            <v>46.933485762388763</v>
          </cell>
          <cell r="T429">
            <v>48.810825192884316</v>
          </cell>
        </row>
        <row r="430">
          <cell r="K430" t="str">
            <v>USASolutionsDelivery Center/Local23LT</v>
          </cell>
          <cell r="L430" t="str">
            <v>Programmer</v>
          </cell>
          <cell r="M430">
            <v>156</v>
          </cell>
          <cell r="N430">
            <v>38.649767094947435</v>
          </cell>
          <cell r="O430">
            <v>40.195757778745332</v>
          </cell>
          <cell r="P430">
            <v>41.803588089895143</v>
          </cell>
          <cell r="Q430">
            <v>43.47573161349095</v>
          </cell>
          <cell r="R430">
            <v>45.214760878030589</v>
          </cell>
          <cell r="S430">
            <v>47.023351313151814</v>
          </cell>
          <cell r="T430">
            <v>48.904285365677886</v>
          </cell>
        </row>
        <row r="431">
          <cell r="K431" t="str">
            <v>USASolutionsDelivery Center/Local23ST</v>
          </cell>
          <cell r="L431" t="str">
            <v>Programmer</v>
          </cell>
          <cell r="M431">
            <v>156</v>
          </cell>
          <cell r="N431">
            <v>41.617862731621202</v>
          </cell>
          <cell r="O431">
            <v>43.282577240886049</v>
          </cell>
          <cell r="P431">
            <v>45.013880330521495</v>
          </cell>
          <cell r="Q431">
            <v>46.814435543742356</v>
          </cell>
          <cell r="R431">
            <v>48.687012965492052</v>
          </cell>
          <cell r="S431">
            <v>50.634493484111736</v>
          </cell>
          <cell r="T431">
            <v>52.659873223476211</v>
          </cell>
        </row>
        <row r="432">
          <cell r="K432" t="str">
            <v>USASolutionsDelivery Center/Local24LT</v>
          </cell>
          <cell r="L432" t="str">
            <v>Programmer</v>
          </cell>
          <cell r="M432">
            <v>156</v>
          </cell>
          <cell r="N432">
            <v>41.474779781330476</v>
          </cell>
          <cell r="O432">
            <v>43.133770972583697</v>
          </cell>
          <cell r="P432">
            <v>44.85912181148705</v>
          </cell>
          <cell r="Q432">
            <v>46.653486683946532</v>
          </cell>
          <cell r="R432">
            <v>48.519626151304394</v>
          </cell>
          <cell r="S432">
            <v>50.460411197356571</v>
          </cell>
          <cell r="T432">
            <v>52.478827645250838</v>
          </cell>
        </row>
        <row r="433">
          <cell r="K433" t="str">
            <v>USASolutionsDelivery Center/Local24ST</v>
          </cell>
          <cell r="L433" t="str">
            <v>Programmer</v>
          </cell>
          <cell r="M433">
            <v>156</v>
          </cell>
          <cell r="N433">
            <v>44.659821300430984</v>
          </cell>
          <cell r="O433">
            <v>46.446214152448228</v>
          </cell>
          <cell r="P433">
            <v>48.304062718546156</v>
          </cell>
          <cell r="Q433">
            <v>50.236225227288003</v>
          </cell>
          <cell r="R433">
            <v>52.245674236379521</v>
          </cell>
          <cell r="S433">
            <v>54.335501205834703</v>
          </cell>
          <cell r="T433">
            <v>56.508921254068092</v>
          </cell>
        </row>
        <row r="434">
          <cell r="K434" t="str">
            <v>USASolutionsDelivery Center/Local80LT</v>
          </cell>
          <cell r="L434" t="str">
            <v>Sr. Executive</v>
          </cell>
          <cell r="M434">
            <v>156</v>
          </cell>
          <cell r="N434">
            <v>166.02913238568658</v>
          </cell>
          <cell r="O434">
            <v>172.67029768111405</v>
          </cell>
          <cell r="P434">
            <v>179.57710958835861</v>
          </cell>
          <cell r="Q434">
            <v>186.76019397189296</v>
          </cell>
          <cell r="R434">
            <v>194.23060173076868</v>
          </cell>
          <cell r="S434">
            <v>201.99982579999943</v>
          </cell>
          <cell r="T434">
            <v>210.0798188319994</v>
          </cell>
        </row>
        <row r="435">
          <cell r="K435" t="str">
            <v>USASolutionsDelivery Center/Local80ST</v>
          </cell>
          <cell r="L435" t="str">
            <v>Sr. Executive</v>
          </cell>
          <cell r="M435">
            <v>156</v>
          </cell>
          <cell r="N435">
            <v>178.77928278592296</v>
          </cell>
          <cell r="O435">
            <v>185.93045409735987</v>
          </cell>
          <cell r="P435">
            <v>193.36767226125428</v>
          </cell>
          <cell r="Q435">
            <v>201.10237915170447</v>
          </cell>
          <cell r="R435">
            <v>209.14647431777266</v>
          </cell>
          <cell r="S435">
            <v>217.51233329048358</v>
          </cell>
          <cell r="T435">
            <v>226.21282662210294</v>
          </cell>
        </row>
        <row r="436">
          <cell r="K436" t="str">
            <v>USASolutionsDelivery Center/Local81LT</v>
          </cell>
          <cell r="L436" t="str">
            <v>Sr. Executive</v>
          </cell>
          <cell r="M436">
            <v>156</v>
          </cell>
          <cell r="N436">
            <v>180.41086037452925</v>
          </cell>
          <cell r="O436">
            <v>187.62729478951042</v>
          </cell>
          <cell r="P436">
            <v>195.13238658109083</v>
          </cell>
          <cell r="Q436">
            <v>202.93768204433448</v>
          </cell>
          <cell r="R436">
            <v>211.05518932610786</v>
          </cell>
          <cell r="S436">
            <v>219.49739689915219</v>
          </cell>
          <cell r="T436">
            <v>228.2772927751183</v>
          </cell>
        </row>
        <row r="437">
          <cell r="K437" t="str">
            <v>USASolutionsDelivery Center/Local81ST</v>
          </cell>
          <cell r="L437" t="str">
            <v>Sr. Executive</v>
          </cell>
          <cell r="M437">
            <v>156</v>
          </cell>
          <cell r="N437">
            <v>194.26545065370846</v>
          </cell>
          <cell r="O437">
            <v>202.03606867985681</v>
          </cell>
          <cell r="P437">
            <v>210.11751142705108</v>
          </cell>
          <cell r="Q437">
            <v>218.52221188413313</v>
          </cell>
          <cell r="R437">
            <v>227.26310035949845</v>
          </cell>
          <cell r="S437">
            <v>236.3536243738784</v>
          </cell>
          <cell r="T437">
            <v>245.80776934883355</v>
          </cell>
        </row>
        <row r="438">
          <cell r="K438" t="str">
            <v>USASolutionsDelivery Center/Local82LT</v>
          </cell>
          <cell r="L438" t="str">
            <v>Sr. Executive</v>
          </cell>
          <cell r="M438">
            <v>156</v>
          </cell>
          <cell r="N438">
            <v>219.03777503557868</v>
          </cell>
          <cell r="O438">
            <v>227.79928603700182</v>
          </cell>
          <cell r="P438">
            <v>236.9112574784819</v>
          </cell>
          <cell r="Q438">
            <v>246.38770777762119</v>
          </cell>
          <cell r="R438">
            <v>256.24321608872606</v>
          </cell>
          <cell r="S438">
            <v>266.49294473227513</v>
          </cell>
          <cell r="T438">
            <v>277.15266252156613</v>
          </cell>
        </row>
        <row r="439">
          <cell r="K439" t="str">
            <v>USASolutionsDelivery Center/Local82ST</v>
          </cell>
          <cell r="L439" t="str">
            <v>Sr. Executive</v>
          </cell>
          <cell r="M439">
            <v>156</v>
          </cell>
          <cell r="N439">
            <v>235.8587060065914</v>
          </cell>
          <cell r="O439">
            <v>245.29305424685506</v>
          </cell>
          <cell r="P439">
            <v>255.10477641672927</v>
          </cell>
          <cell r="Q439">
            <v>265.30896747339847</v>
          </cell>
          <cell r="R439">
            <v>275.92132617233443</v>
          </cell>
          <cell r="S439">
            <v>286.95817921922782</v>
          </cell>
          <cell r="T439">
            <v>298.43650638799693</v>
          </cell>
        </row>
        <row r="440">
          <cell r="K440" t="str">
            <v>USASolutionsDelivery Center/Local83LT</v>
          </cell>
          <cell r="L440" t="str">
            <v>Sr. Executive</v>
          </cell>
          <cell r="M440">
            <v>156</v>
          </cell>
          <cell r="N440">
            <v>226.88634393992822</v>
          </cell>
          <cell r="O440">
            <v>235.96179769752536</v>
          </cell>
          <cell r="P440">
            <v>245.40026960542639</v>
          </cell>
          <cell r="Q440">
            <v>255.21628038964346</v>
          </cell>
          <cell r="R440">
            <v>265.42493160522923</v>
          </cell>
          <cell r="S440">
            <v>276.04192886943844</v>
          </cell>
          <cell r="T440">
            <v>287.08360602421601</v>
          </cell>
        </row>
        <row r="441">
          <cell r="K441" t="str">
            <v>USASolutionsDelivery Center/Local83ST</v>
          </cell>
          <cell r="L441" t="str">
            <v>Sr. Executive</v>
          </cell>
          <cell r="M441">
            <v>156</v>
          </cell>
          <cell r="N441">
            <v>244.31000307387933</v>
          </cell>
          <cell r="O441">
            <v>254.08240319683452</v>
          </cell>
          <cell r="P441">
            <v>264.24569932470791</v>
          </cell>
          <cell r="Q441">
            <v>274.81552729769624</v>
          </cell>
          <cell r="R441">
            <v>285.80814838960407</v>
          </cell>
          <cell r="S441">
            <v>297.24047432518825</v>
          </cell>
          <cell r="T441">
            <v>309.13009329819579</v>
          </cell>
        </row>
        <row r="442">
          <cell r="K442" t="str">
            <v>USASolutionsDelivery Center/Local84LT</v>
          </cell>
          <cell r="L442" t="str">
            <v>Sr. Executive</v>
          </cell>
          <cell r="M442">
            <v>156</v>
          </cell>
          <cell r="N442">
            <v>263.49733370002934</v>
          </cell>
          <cell r="O442">
            <v>274.0372270480305</v>
          </cell>
          <cell r="P442">
            <v>284.99871612995173</v>
          </cell>
          <cell r="Q442">
            <v>296.39866477514983</v>
          </cell>
          <cell r="R442">
            <v>308.25461136615581</v>
          </cell>
          <cell r="S442">
            <v>320.58479582080207</v>
          </cell>
          <cell r="T442">
            <v>333.40818765363417</v>
          </cell>
        </row>
        <row r="443">
          <cell r="K443" t="str">
            <v>USASolutionsDelivery Center/Local84ST</v>
          </cell>
          <cell r="L443" t="str">
            <v>Sr. Executive</v>
          </cell>
          <cell r="M443">
            <v>156</v>
          </cell>
          <cell r="N443">
            <v>283.73252126296984</v>
          </cell>
          <cell r="O443">
            <v>295.08182211348867</v>
          </cell>
          <cell r="P443">
            <v>306.88509499802825</v>
          </cell>
          <cell r="Q443">
            <v>319.1604987979494</v>
          </cell>
          <cell r="R443">
            <v>331.92691874986741</v>
          </cell>
          <cell r="S443">
            <v>345.20399549986212</v>
          </cell>
          <cell r="T443">
            <v>359.01215531985662</v>
          </cell>
        </row>
        <row r="444">
          <cell r="K444" t="str">
            <v>USASolutionsDelivery Center/Local85LT</v>
          </cell>
          <cell r="L444" t="str">
            <v>Sr. Executive</v>
          </cell>
          <cell r="M444">
            <v>156</v>
          </cell>
          <cell r="N444">
            <v>294.87818206583165</v>
          </cell>
          <cell r="O444">
            <v>306.67330934846495</v>
          </cell>
          <cell r="P444">
            <v>318.94024172240358</v>
          </cell>
          <cell r="Q444">
            <v>331.69785139129976</v>
          </cell>
          <cell r="R444">
            <v>344.96576544695176</v>
          </cell>
          <cell r="S444">
            <v>358.76439606482984</v>
          </cell>
          <cell r="T444">
            <v>373.11497190742307</v>
          </cell>
        </row>
        <row r="445">
          <cell r="K445" t="str">
            <v>USASolutionsDelivery Center/Local85ST</v>
          </cell>
          <cell r="L445" t="str">
            <v>Sr. Executive</v>
          </cell>
          <cell r="M445">
            <v>156</v>
          </cell>
          <cell r="N445">
            <v>317.5232511393346</v>
          </cell>
          <cell r="O445">
            <v>330.22418118490799</v>
          </cell>
          <cell r="P445">
            <v>343.43314843230434</v>
          </cell>
          <cell r="Q445">
            <v>357.17047436959655</v>
          </cell>
          <cell r="R445">
            <v>371.45729334438045</v>
          </cell>
          <cell r="S445">
            <v>386.31558507815566</v>
          </cell>
          <cell r="T445">
            <v>401.76820848128193</v>
          </cell>
        </row>
        <row r="446">
          <cell r="K446" t="str">
            <v>USASolutionsDelivery Center/Local86LT</v>
          </cell>
          <cell r="L446" t="str">
            <v>Sr. Executive</v>
          </cell>
          <cell r="M446">
            <v>156</v>
          </cell>
          <cell r="N446">
            <v>321.02888903733276</v>
          </cell>
          <cell r="O446">
            <v>333.8700445988261</v>
          </cell>
          <cell r="P446">
            <v>347.22484638277916</v>
          </cell>
          <cell r="Q446">
            <v>361.11384023809035</v>
          </cell>
          <cell r="R446">
            <v>375.55839384761396</v>
          </cell>
          <cell r="S446">
            <v>390.58072960151856</v>
          </cell>
          <cell r="T446">
            <v>406.20395878557929</v>
          </cell>
        </row>
        <row r="447">
          <cell r="K447" t="str">
            <v>USASolutionsDelivery Center/Local86ST</v>
          </cell>
          <cell r="L447" t="str">
            <v>Sr. Executive</v>
          </cell>
          <cell r="M447">
            <v>156</v>
          </cell>
          <cell r="N447">
            <v>345.68219270297101</v>
          </cell>
          <cell r="O447">
            <v>359.50948041108984</v>
          </cell>
          <cell r="P447">
            <v>373.88985962753344</v>
          </cell>
          <cell r="Q447">
            <v>388.84545401263478</v>
          </cell>
          <cell r="R447">
            <v>404.39927217314016</v>
          </cell>
          <cell r="S447">
            <v>420.57524306006576</v>
          </cell>
          <cell r="T447">
            <v>437.39825278246843</v>
          </cell>
        </row>
        <row r="448">
          <cell r="K448" t="str">
            <v>USASolutionsDelivery Center/Local87LT</v>
          </cell>
          <cell r="L448" t="str">
            <v>Sr. Executive</v>
          </cell>
          <cell r="M448">
            <v>156</v>
          </cell>
          <cell r="N448">
            <v>343.32712454075175</v>
          </cell>
          <cell r="O448">
            <v>357.06020952238185</v>
          </cell>
          <cell r="P448">
            <v>371.34261790327713</v>
          </cell>
          <cell r="Q448">
            <v>386.19632261940825</v>
          </cell>
          <cell r="R448">
            <v>401.64417552418462</v>
          </cell>
          <cell r="S448">
            <v>417.70994254515199</v>
          </cell>
          <cell r="T448">
            <v>434.41834024695811</v>
          </cell>
        </row>
        <row r="449">
          <cell r="K449" t="str">
            <v>USASolutionsDelivery Center/Local87ST</v>
          </cell>
          <cell r="L449" t="str">
            <v>Sr. Executive</v>
          </cell>
          <cell r="M449">
            <v>156</v>
          </cell>
          <cell r="N449">
            <v>369.69281357059248</v>
          </cell>
          <cell r="O449">
            <v>384.4805261134162</v>
          </cell>
          <cell r="P449">
            <v>399.85974715795288</v>
          </cell>
          <cell r="Q449">
            <v>415.854137044271</v>
          </cell>
          <cell r="R449">
            <v>432.48830252604188</v>
          </cell>
          <cell r="S449">
            <v>449.78783462708356</v>
          </cell>
          <cell r="T449">
            <v>467.77934801216691</v>
          </cell>
        </row>
        <row r="450">
          <cell r="K450" t="str">
            <v>USASolutionsDelivery Center/Local88LT</v>
          </cell>
          <cell r="L450" t="str">
            <v>Sr. Executive</v>
          </cell>
          <cell r="M450">
            <v>156</v>
          </cell>
          <cell r="N450">
            <v>374.2539758800371</v>
          </cell>
          <cell r="O450">
            <v>389.22413491523861</v>
          </cell>
          <cell r="P450">
            <v>404.79310031184815</v>
          </cell>
          <cell r="Q450">
            <v>420.98482432432206</v>
          </cell>
          <cell r="R450">
            <v>437.82421729729498</v>
          </cell>
          <cell r="S450">
            <v>455.33718598918682</v>
          </cell>
          <cell r="T450">
            <v>473.55067342875429</v>
          </cell>
        </row>
        <row r="451">
          <cell r="K451" t="str">
            <v>USASolutionsDelivery Center/Local88ST</v>
          </cell>
          <cell r="L451" t="str">
            <v>Sr. Executive</v>
          </cell>
          <cell r="M451">
            <v>156</v>
          </cell>
          <cell r="N451">
            <v>402.99468187416358</v>
          </cell>
          <cell r="O451">
            <v>419.11446914913012</v>
          </cell>
          <cell r="P451">
            <v>435.87904791509533</v>
          </cell>
          <cell r="Q451">
            <v>453.31420983169915</v>
          </cell>
          <cell r="R451">
            <v>471.44677822496715</v>
          </cell>
          <cell r="S451">
            <v>490.30464935396583</v>
          </cell>
          <cell r="T451">
            <v>509.91683532812448</v>
          </cell>
        </row>
        <row r="452">
          <cell r="K452" t="str">
            <v>USASolutionsDelivery Center/Local89LT</v>
          </cell>
          <cell r="L452" t="str">
            <v>Sr. Executive</v>
          </cell>
          <cell r="M452">
            <v>156</v>
          </cell>
          <cell r="N452">
            <v>407.11375542802767</v>
          </cell>
          <cell r="O452">
            <v>423.39830564514881</v>
          </cell>
          <cell r="P452">
            <v>440.33423787095478</v>
          </cell>
          <cell r="Q452">
            <v>457.94760738579299</v>
          </cell>
          <cell r="R452">
            <v>476.26551168122472</v>
          </cell>
          <cell r="S452">
            <v>495.31613214847374</v>
          </cell>
          <cell r="T452">
            <v>515.12877743441265</v>
          </cell>
        </row>
        <row r="453">
          <cell r="K453" t="str">
            <v>USASolutionsDelivery Center/Local89ST</v>
          </cell>
          <cell r="L453" t="str">
            <v>Sr. Executive</v>
          </cell>
          <cell r="M453">
            <v>156</v>
          </cell>
          <cell r="N453">
            <v>438.37791694670761</v>
          </cell>
          <cell r="O453">
            <v>455.91303362457592</v>
          </cell>
          <cell r="P453">
            <v>474.14955496955895</v>
          </cell>
          <cell r="Q453">
            <v>493.11553716834135</v>
          </cell>
          <cell r="R453">
            <v>512.84015865507502</v>
          </cell>
          <cell r="S453">
            <v>533.35376500127802</v>
          </cell>
          <cell r="T453">
            <v>554.68791560132911</v>
          </cell>
        </row>
        <row r="454">
          <cell r="K454" t="str">
            <v>USASolutionsDelivery Center/Local90LT</v>
          </cell>
          <cell r="L454" t="str">
            <v>Sr. Executive</v>
          </cell>
          <cell r="M454">
            <v>156</v>
          </cell>
          <cell r="N454">
            <v>488.29674019365274</v>
          </cell>
          <cell r="O454">
            <v>507.82860980139884</v>
          </cell>
          <cell r="P454">
            <v>528.14175419345486</v>
          </cell>
          <cell r="Q454">
            <v>549.26742436119309</v>
          </cell>
          <cell r="R454">
            <v>571.23812133564081</v>
          </cell>
          <cell r="S454">
            <v>594.0876461890665</v>
          </cell>
          <cell r="T454">
            <v>617.85115203662917</v>
          </cell>
        </row>
        <row r="455">
          <cell r="K455" t="str">
            <v>USASolutionsDelivery Center/Local90ST</v>
          </cell>
          <cell r="L455" t="str">
            <v>Sr. Executive</v>
          </cell>
          <cell r="M455">
            <v>156</v>
          </cell>
          <cell r="N455">
            <v>525.79532124358263</v>
          </cell>
          <cell r="O455">
            <v>546.82713409332598</v>
          </cell>
          <cell r="P455">
            <v>568.70021945705901</v>
          </cell>
          <cell r="Q455">
            <v>591.44822823534139</v>
          </cell>
          <cell r="R455">
            <v>615.10615736475506</v>
          </cell>
          <cell r="S455">
            <v>639.71040365934527</v>
          </cell>
          <cell r="T455">
            <v>665.29881980571906</v>
          </cell>
        </row>
        <row r="456">
          <cell r="K456" t="str">
            <v>USASolutionsDelivery Center/Local91LT</v>
          </cell>
          <cell r="L456" t="str">
            <v>Sr. Executive</v>
          </cell>
          <cell r="M456">
            <v>156</v>
          </cell>
          <cell r="N456">
            <v>597.02395193332927</v>
          </cell>
          <cell r="O456">
            <v>620.90491001066243</v>
          </cell>
          <cell r="P456">
            <v>645.74110641108894</v>
          </cell>
          <cell r="Q456">
            <v>671.57075066753248</v>
          </cell>
          <cell r="R456">
            <v>698.4335806942338</v>
          </cell>
          <cell r="S456">
            <v>726.37092392200316</v>
          </cell>
          <cell r="T456">
            <v>755.42576087888335</v>
          </cell>
        </row>
        <row r="457">
          <cell r="K457" t="str">
            <v>USASolutionsDelivery Center/Local91ST</v>
          </cell>
          <cell r="L457" t="str">
            <v>Sr. Executive</v>
          </cell>
          <cell r="M457">
            <v>156</v>
          </cell>
          <cell r="N457">
            <v>642.87220199832632</v>
          </cell>
          <cell r="O457">
            <v>668.58709007825939</v>
          </cell>
          <cell r="P457">
            <v>695.33057368138975</v>
          </cell>
          <cell r="Q457">
            <v>723.14379662864542</v>
          </cell>
          <cell r="R457">
            <v>752.06954849379122</v>
          </cell>
          <cell r="S457">
            <v>782.15233043354294</v>
          </cell>
          <cell r="T457">
            <v>813.43842365088472</v>
          </cell>
        </row>
        <row r="458">
          <cell r="K458" t="str">
            <v>USASolutionsDelivery Center/Local92LT</v>
          </cell>
          <cell r="L458" t="str">
            <v>Sr. Executive</v>
          </cell>
          <cell r="M458">
            <v>156</v>
          </cell>
          <cell r="N458">
            <v>749.24204836887554</v>
          </cell>
          <cell r="O458">
            <v>779.21173030363059</v>
          </cell>
          <cell r="P458">
            <v>810.38019951577587</v>
          </cell>
          <cell r="Q458">
            <v>842.79540749640694</v>
          </cell>
          <cell r="R458">
            <v>876.50722379626325</v>
          </cell>
          <cell r="S458">
            <v>911.56751274811381</v>
          </cell>
          <cell r="T458">
            <v>948.03021325803843</v>
          </cell>
        </row>
        <row r="459">
          <cell r="K459" t="str">
            <v>USASolutionsDelivery Center/Local92ST</v>
          </cell>
          <cell r="L459" t="str">
            <v>Sr. Executive</v>
          </cell>
          <cell r="M459">
            <v>156</v>
          </cell>
          <cell r="N459">
            <v>806.77983505496627</v>
          </cell>
          <cell r="O459">
            <v>839.05102845716499</v>
          </cell>
          <cell r="P459">
            <v>872.61306959545163</v>
          </cell>
          <cell r="Q459">
            <v>907.51759237926979</v>
          </cell>
          <cell r="R459">
            <v>943.81829607444058</v>
          </cell>
          <cell r="S459">
            <v>981.57102791741829</v>
          </cell>
          <cell r="T459">
            <v>1020.8338690341151</v>
          </cell>
        </row>
        <row r="460">
          <cell r="K460" t="str">
            <v>USASolutionsDelivery Center/Local93LT</v>
          </cell>
          <cell r="L460" t="str">
            <v>Sr. Executive</v>
          </cell>
          <cell r="M460">
            <v>156</v>
          </cell>
          <cell r="N460">
            <v>1255.0249296467812</v>
          </cell>
          <cell r="O460">
            <v>1305.2259268326525</v>
          </cell>
          <cell r="P460">
            <v>1357.4349639059585</v>
          </cell>
          <cell r="Q460">
            <v>1411.732362462197</v>
          </cell>
          <cell r="R460">
            <v>1468.2016569606849</v>
          </cell>
          <cell r="S460">
            <v>1526.9297232391123</v>
          </cell>
          <cell r="T460">
            <v>1588.0069121686768</v>
          </cell>
        </row>
        <row r="461">
          <cell r="K461" t="str">
            <v>USASolutionsDelivery Center/Local93ST</v>
          </cell>
          <cell r="L461" t="str">
            <v>Sr. Executive</v>
          </cell>
          <cell r="M461">
            <v>156</v>
          </cell>
          <cell r="N461">
            <v>1351.4041396029615</v>
          </cell>
          <cell r="O461">
            <v>1405.4603051870802</v>
          </cell>
          <cell r="P461">
            <v>1461.6787173945634</v>
          </cell>
          <cell r="Q461">
            <v>1520.1458660903459</v>
          </cell>
          <cell r="R461">
            <v>1580.9517007339598</v>
          </cell>
          <cell r="S461">
            <v>1644.1897687633182</v>
          </cell>
          <cell r="T461">
            <v>1709.9573595138509</v>
          </cell>
        </row>
        <row r="462">
          <cell r="K462" t="str">
            <v>USASolutionsDelivery Center/Local94LT</v>
          </cell>
          <cell r="L462" t="str">
            <v>Sr. Executive</v>
          </cell>
          <cell r="M462">
            <v>156</v>
          </cell>
          <cell r="N462">
            <v>2334.2431795072707</v>
          </cell>
          <cell r="O462">
            <v>2427.6129066875615</v>
          </cell>
          <cell r="P462">
            <v>2524.7174229550642</v>
          </cell>
          <cell r="Q462">
            <v>2625.7061198732667</v>
          </cell>
          <cell r="R462">
            <v>2730.7343646681975</v>
          </cell>
          <cell r="S462">
            <v>2839.9637392549253</v>
          </cell>
          <cell r="T462">
            <v>2953.5622888251223</v>
          </cell>
        </row>
        <row r="463">
          <cell r="K463" t="str">
            <v>USASolutionsDelivery Center/Local94ST</v>
          </cell>
          <cell r="L463" t="str">
            <v>Sr. Executive</v>
          </cell>
          <cell r="M463">
            <v>156</v>
          </cell>
          <cell r="N463">
            <v>2513.5005856130042</v>
          </cell>
          <cell r="O463">
            <v>2614.0406090375245</v>
          </cell>
          <cell r="P463">
            <v>2718.6022333990254</v>
          </cell>
          <cell r="Q463">
            <v>2827.3463227349866</v>
          </cell>
          <cell r="R463">
            <v>2940.4401756443863</v>
          </cell>
          <cell r="S463">
            <v>3058.0577826701619</v>
          </cell>
          <cell r="T463">
            <v>3180.3800939769685</v>
          </cell>
        </row>
        <row r="464">
          <cell r="K464" t="str">
            <v>USASolutionsDelivery Center/Local95LT</v>
          </cell>
          <cell r="L464" t="str">
            <v>Sr. Executive</v>
          </cell>
          <cell r="M464">
            <v>156</v>
          </cell>
          <cell r="N464">
            <v>2643.5116929001242</v>
          </cell>
          <cell r="O464">
            <v>2749.2521606161295</v>
          </cell>
          <cell r="P464">
            <v>2859.2222470407746</v>
          </cell>
          <cell r="Q464">
            <v>2973.5911369224059</v>
          </cell>
          <cell r="R464">
            <v>3092.5347823993025</v>
          </cell>
          <cell r="S464">
            <v>3216.2361736952748</v>
          </cell>
          <cell r="T464">
            <v>3344.885620643086</v>
          </cell>
        </row>
        <row r="465">
          <cell r="K465" t="str">
            <v>USASolutionsDelivery Center/Local95ST</v>
          </cell>
          <cell r="L465" t="str">
            <v>Sr. Executive</v>
          </cell>
          <cell r="M465">
            <v>156</v>
          </cell>
          <cell r="N465">
            <v>2846.5192686487148</v>
          </cell>
          <cell r="O465">
            <v>2960.3800393946635</v>
          </cell>
          <cell r="P465">
            <v>3078.7952409704503</v>
          </cell>
          <cell r="Q465">
            <v>3201.9470506092684</v>
          </cell>
          <cell r="R465">
            <v>3330.0249326336393</v>
          </cell>
          <cell r="S465">
            <v>3463.2259299389848</v>
          </cell>
          <cell r="T465">
            <v>3601.7549671365441</v>
          </cell>
        </row>
        <row r="466">
          <cell r="K466" t="str">
            <v>USASolutionsDelivery Center/Local96LT</v>
          </cell>
          <cell r="L466" t="str">
            <v>Sr. Executive</v>
          </cell>
          <cell r="M466">
            <v>156</v>
          </cell>
          <cell r="N466">
            <v>2952.7802062929777</v>
          </cell>
          <cell r="O466">
            <v>3070.891414544697</v>
          </cell>
          <cell r="P466">
            <v>3193.727071126485</v>
          </cell>
          <cell r="Q466">
            <v>3321.4761539715446</v>
          </cell>
          <cell r="R466">
            <v>3454.3352001304065</v>
          </cell>
          <cell r="S466">
            <v>3592.508608135623</v>
          </cell>
          <cell r="T466">
            <v>3736.2089524610483</v>
          </cell>
        </row>
        <row r="467">
          <cell r="K467" t="str">
            <v>USASolutionsDelivery Center/Local96ST</v>
          </cell>
          <cell r="L467" t="str">
            <v>Sr. Executive</v>
          </cell>
          <cell r="M467">
            <v>156</v>
          </cell>
          <cell r="N467">
            <v>3179.5379516844255</v>
          </cell>
          <cell r="O467">
            <v>3306.7194697518025</v>
          </cell>
          <cell r="P467">
            <v>3438.9882485418748</v>
          </cell>
          <cell r="Q467">
            <v>3576.5477784835498</v>
          </cell>
          <cell r="R467">
            <v>3719.6096896228919</v>
          </cell>
          <cell r="S467">
            <v>3868.3940772078076</v>
          </cell>
          <cell r="T467">
            <v>4023.1298402961202</v>
          </cell>
        </row>
        <row r="468">
          <cell r="K468" t="str">
            <v>USASolutionsDelivery Center/Local97LT</v>
          </cell>
          <cell r="L468" t="str">
            <v>Sr. Executive</v>
          </cell>
          <cell r="M468">
            <v>156</v>
          </cell>
          <cell r="N468">
            <v>3262.0487196858439</v>
          </cell>
          <cell r="O468">
            <v>3392.5306684732777</v>
          </cell>
          <cell r="P468">
            <v>3528.2318952122091</v>
          </cell>
          <cell r="Q468">
            <v>3669.3611710206974</v>
          </cell>
          <cell r="R468">
            <v>3816.1356178615256</v>
          </cell>
          <cell r="S468">
            <v>3968.7810425759867</v>
          </cell>
          <cell r="T468">
            <v>4127.5322842790265</v>
          </cell>
        </row>
        <row r="469">
          <cell r="K469" t="str">
            <v>USASolutionsDelivery Center/Local97ST</v>
          </cell>
          <cell r="L469" t="str">
            <v>Sr. Executive</v>
          </cell>
          <cell r="M469">
            <v>156</v>
          </cell>
          <cell r="N469">
            <v>3512.5566347201493</v>
          </cell>
          <cell r="O469">
            <v>3653.0589001089552</v>
          </cell>
          <cell r="P469">
            <v>3799.1812561133133</v>
          </cell>
          <cell r="Q469">
            <v>3951.1485063578461</v>
          </cell>
          <cell r="R469">
            <v>4109.1944466121604</v>
          </cell>
          <cell r="S469">
            <v>4273.5622244766473</v>
          </cell>
          <cell r="T469">
            <v>4444.5047134557135</v>
          </cell>
        </row>
        <row r="470">
          <cell r="K470" t="str">
            <v>USASolutionsDelivery Center/Local98LT</v>
          </cell>
          <cell r="L470" t="str">
            <v>Sr. Executive</v>
          </cell>
          <cell r="M470">
            <v>156</v>
          </cell>
          <cell r="N470">
            <v>3571.3176196643367</v>
          </cell>
          <cell r="O470">
            <v>3714.1703244509104</v>
          </cell>
          <cell r="P470">
            <v>3862.7371374289469</v>
          </cell>
          <cell r="Q470">
            <v>4017.2466229261049</v>
          </cell>
          <cell r="R470">
            <v>4177.9364878431488</v>
          </cell>
          <cell r="S470">
            <v>4345.0539473568751</v>
          </cell>
          <cell r="T470">
            <v>4518.8561052511504</v>
          </cell>
        </row>
        <row r="471">
          <cell r="K471" t="str">
            <v>USASolutionsDelivery Center/Local98ST</v>
          </cell>
          <cell r="L471" t="str">
            <v>Sr. Executive</v>
          </cell>
          <cell r="M471">
            <v>156</v>
          </cell>
          <cell r="N471">
            <v>3845.5757340292107</v>
          </cell>
          <cell r="O471">
            <v>3999.3987633903794</v>
          </cell>
          <cell r="P471">
            <v>4159.3747139259949</v>
          </cell>
          <cell r="Q471">
            <v>4325.7497024830345</v>
          </cell>
          <cell r="R471">
            <v>4498.7796905823561</v>
          </cell>
          <cell r="S471">
            <v>4678.7308782056507</v>
          </cell>
          <cell r="T471">
            <v>4865.8801133338766</v>
          </cell>
        </row>
        <row r="472">
          <cell r="K472" t="str">
            <v>USASolutionsDelivery Center/Local67LT</v>
          </cell>
          <cell r="L472" t="str">
            <v>Sr. Manager</v>
          </cell>
          <cell r="M472">
            <v>156</v>
          </cell>
          <cell r="N472">
            <v>102.94318561664601</v>
          </cell>
          <cell r="O472">
            <v>107.06091304131185</v>
          </cell>
          <cell r="P472">
            <v>111.34334956296432</v>
          </cell>
          <cell r="Q472">
            <v>115.79708354548289</v>
          </cell>
          <cell r="R472">
            <v>120.42896688730221</v>
          </cell>
          <cell r="S472">
            <v>125.2461255627943</v>
          </cell>
          <cell r="T472">
            <v>130.25597058530607</v>
          </cell>
        </row>
        <row r="473">
          <cell r="K473" t="str">
            <v>USASolutionsDelivery Center/Local67ST</v>
          </cell>
          <cell r="L473" t="str">
            <v>Sr. Manager</v>
          </cell>
          <cell r="M473">
            <v>156</v>
          </cell>
          <cell r="N473">
            <v>110.84867232510297</v>
          </cell>
          <cell r="O473">
            <v>115.28261921810709</v>
          </cell>
          <cell r="P473">
            <v>119.89392398683137</v>
          </cell>
          <cell r="Q473">
            <v>124.68968094630462</v>
          </cell>
          <cell r="R473">
            <v>129.67726818415682</v>
          </cell>
          <cell r="S473">
            <v>134.86435891152308</v>
          </cell>
          <cell r="T473">
            <v>140.25893326798402</v>
          </cell>
        </row>
        <row r="474">
          <cell r="K474" t="str">
            <v>USASolutionsDelivery Center/Local68LT</v>
          </cell>
          <cell r="L474" t="str">
            <v>Sr. Manager</v>
          </cell>
          <cell r="M474">
            <v>156</v>
          </cell>
          <cell r="N474">
            <v>122.61638594864243</v>
          </cell>
          <cell r="O474">
            <v>127.52104138658814</v>
          </cell>
          <cell r="P474">
            <v>132.62188304205168</v>
          </cell>
          <cell r="Q474">
            <v>137.92675836373374</v>
          </cell>
          <cell r="R474">
            <v>143.44382869828308</v>
          </cell>
          <cell r="S474">
            <v>149.18158184621441</v>
          </cell>
          <cell r="T474">
            <v>155.14884512006299</v>
          </cell>
        </row>
        <row r="475">
          <cell r="K475" t="str">
            <v>USASolutionsDelivery Center/Local68ST</v>
          </cell>
          <cell r="L475" t="str">
            <v>Sr. Manager</v>
          </cell>
          <cell r="M475">
            <v>156</v>
          </cell>
          <cell r="N475">
            <v>132.0326693436968</v>
          </cell>
          <cell r="O475">
            <v>137.31397611744467</v>
          </cell>
          <cell r="P475">
            <v>142.80653516214247</v>
          </cell>
          <cell r="Q475">
            <v>148.51879656862818</v>
          </cell>
          <cell r="R475">
            <v>154.45954843137332</v>
          </cell>
          <cell r="S475">
            <v>160.63793036862825</v>
          </cell>
          <cell r="T475">
            <v>167.06344758337337</v>
          </cell>
        </row>
        <row r="476">
          <cell r="K476" t="str">
            <v>USASolutionsDelivery Center/Local69LT</v>
          </cell>
          <cell r="L476" t="str">
            <v>Sr. Manager</v>
          </cell>
          <cell r="M476">
            <v>156</v>
          </cell>
          <cell r="N476">
            <v>154.66467608339801</v>
          </cell>
          <cell r="O476">
            <v>160.85126312673393</v>
          </cell>
          <cell r="P476">
            <v>167.28531365180328</v>
          </cell>
          <cell r="Q476">
            <v>173.97672619787542</v>
          </cell>
          <cell r="R476">
            <v>180.93579524579044</v>
          </cell>
          <cell r="S476">
            <v>188.17322705562208</v>
          </cell>
          <cell r="T476">
            <v>195.70015613784696</v>
          </cell>
        </row>
        <row r="477">
          <cell r="K477" t="str">
            <v>USASolutionsDelivery Center/Local69ST</v>
          </cell>
          <cell r="L477" t="str">
            <v>Sr. Manager</v>
          </cell>
          <cell r="M477">
            <v>156</v>
          </cell>
          <cell r="N477">
            <v>166.54209695123825</v>
          </cell>
          <cell r="O477">
            <v>173.20378082928778</v>
          </cell>
          <cell r="P477">
            <v>180.1319320624593</v>
          </cell>
          <cell r="Q477">
            <v>187.33720934495767</v>
          </cell>
          <cell r="R477">
            <v>194.83069771875597</v>
          </cell>
          <cell r="S477">
            <v>202.62392562750622</v>
          </cell>
          <cell r="T477">
            <v>210.72888265260647</v>
          </cell>
        </row>
        <row r="478">
          <cell r="K478" t="str">
            <v>USASolutionsDelivery Center/Local30LT</v>
          </cell>
          <cell r="L478" t="str">
            <v>Sr. Programmer</v>
          </cell>
          <cell r="M478">
            <v>156</v>
          </cell>
          <cell r="N478">
            <v>45.158247659927106</v>
          </cell>
          <cell r="O478">
            <v>46.964577566324195</v>
          </cell>
          <cell r="P478">
            <v>48.843160668977163</v>
          </cell>
          <cell r="Q478">
            <v>50.796887095736253</v>
          </cell>
          <cell r="R478">
            <v>52.828762579565705</v>
          </cell>
          <cell r="S478">
            <v>54.941913082748336</v>
          </cell>
          <cell r="T478">
            <v>57.139589606058273</v>
          </cell>
        </row>
        <row r="479">
          <cell r="K479" t="str">
            <v>USASolutionsDelivery Center/Local30ST</v>
          </cell>
          <cell r="L479" t="str">
            <v>Sr. Programmer</v>
          </cell>
          <cell r="M479">
            <v>156</v>
          </cell>
          <cell r="N479">
            <v>48.626159834145213</v>
          </cell>
          <cell r="O479">
            <v>50.57120622751102</v>
          </cell>
          <cell r="P479">
            <v>52.594054476611461</v>
          </cell>
          <cell r="Q479">
            <v>54.697816655675922</v>
          </cell>
          <cell r="R479">
            <v>56.885729321902964</v>
          </cell>
          <cell r="S479">
            <v>59.161158494779087</v>
          </cell>
          <cell r="T479">
            <v>61.527604834570255</v>
          </cell>
        </row>
        <row r="480">
          <cell r="K480" t="str">
            <v>USASolutionsDelivery Center/Local31LT</v>
          </cell>
          <cell r="L480" t="str">
            <v>Sr. Programmer</v>
          </cell>
          <cell r="M480">
            <v>156</v>
          </cell>
          <cell r="N480">
            <v>49.612503206846178</v>
          </cell>
          <cell r="O480">
            <v>51.597003335120029</v>
          </cell>
          <cell r="P480">
            <v>53.66088346852483</v>
          </cell>
          <cell r="Q480">
            <v>55.807318807265823</v>
          </cell>
          <cell r="R480">
            <v>58.039611559556455</v>
          </cell>
          <cell r="S480">
            <v>60.361196021938717</v>
          </cell>
          <cell r="T480">
            <v>62.775643862816267</v>
          </cell>
        </row>
        <row r="481">
          <cell r="K481" t="str">
            <v>USASolutionsDelivery Center/Local31ST</v>
          </cell>
          <cell r="L481" t="str">
            <v>Sr. Programmer</v>
          </cell>
          <cell r="M481">
            <v>156</v>
          </cell>
          <cell r="N481">
            <v>53.422478411378606</v>
          </cell>
          <cell r="O481">
            <v>55.559377547833755</v>
          </cell>
          <cell r="P481">
            <v>57.781752649747105</v>
          </cell>
          <cell r="Q481">
            <v>60.093022755736989</v>
          </cell>
          <cell r="R481">
            <v>62.49674366596647</v>
          </cell>
          <cell r="S481">
            <v>64.996613412605129</v>
          </cell>
          <cell r="T481">
            <v>67.596477949109342</v>
          </cell>
        </row>
        <row r="482">
          <cell r="K482" t="str">
            <v>USASolutionsDelivery Center/Local32LT</v>
          </cell>
          <cell r="L482" t="str">
            <v>Sr. Programmer</v>
          </cell>
          <cell r="M482">
            <v>156</v>
          </cell>
          <cell r="N482">
            <v>55.882000826886241</v>
          </cell>
          <cell r="O482">
            <v>58.117280859961696</v>
          </cell>
          <cell r="P482">
            <v>60.441972094360167</v>
          </cell>
          <cell r="Q482">
            <v>62.859650978134574</v>
          </cell>
          <cell r="R482">
            <v>65.374037017259965</v>
          </cell>
          <cell r="S482">
            <v>67.988998497950362</v>
          </cell>
          <cell r="T482">
            <v>70.708558437868376</v>
          </cell>
        </row>
        <row r="483">
          <cell r="K483" t="str">
            <v>USASolutionsDelivery Center/Local32ST</v>
          </cell>
          <cell r="L483" t="str">
            <v>Sr. Programmer</v>
          </cell>
          <cell r="M483">
            <v>156</v>
          </cell>
          <cell r="N483">
            <v>60.173439955495205</v>
          </cell>
          <cell r="O483">
            <v>62.580377553715017</v>
          </cell>
          <cell r="P483">
            <v>65.083592655863626</v>
          </cell>
          <cell r="Q483">
            <v>67.68693636209818</v>
          </cell>
          <cell r="R483">
            <v>70.394413816582116</v>
          </cell>
          <cell r="S483">
            <v>73.210190369245396</v>
          </cell>
          <cell r="T483">
            <v>76.13859798401522</v>
          </cell>
        </row>
        <row r="484">
          <cell r="K484" t="str">
            <v>USASolutionsDelivery Center/Local33LT</v>
          </cell>
          <cell r="L484" t="str">
            <v>Sr. Programmer</v>
          </cell>
          <cell r="M484">
            <v>156</v>
          </cell>
          <cell r="N484">
            <v>65.788852316729759</v>
          </cell>
          <cell r="O484">
            <v>68.42040640939895</v>
          </cell>
          <cell r="P484">
            <v>71.15722266577491</v>
          </cell>
          <cell r="Q484">
            <v>74.003511572405912</v>
          </cell>
          <cell r="R484">
            <v>76.963652035302147</v>
          </cell>
          <cell r="S484">
            <v>80.042198116714232</v>
          </cell>
          <cell r="T484">
            <v>83.243886041382808</v>
          </cell>
        </row>
        <row r="485">
          <cell r="K485" t="str">
            <v>USASolutionsDelivery Center/Local33ST</v>
          </cell>
          <cell r="L485" t="str">
            <v>Sr. Programmer</v>
          </cell>
          <cell r="M485">
            <v>156</v>
          </cell>
          <cell r="N485">
            <v>70.841084715009515</v>
          </cell>
          <cell r="O485">
            <v>73.674728103609894</v>
          </cell>
          <cell r="P485">
            <v>76.621717227754289</v>
          </cell>
          <cell r="Q485">
            <v>79.686585916864459</v>
          </cell>
          <cell r="R485">
            <v>82.874049353539036</v>
          </cell>
          <cell r="S485">
            <v>86.189011327680603</v>
          </cell>
          <cell r="T485">
            <v>89.636571780787833</v>
          </cell>
        </row>
        <row r="486">
          <cell r="K486" t="str">
            <v>USASolutionsDelivery Center/Local54LT</v>
          </cell>
          <cell r="L486" t="str">
            <v>Sr. System Analyst</v>
          </cell>
          <cell r="M486">
            <v>156</v>
          </cell>
          <cell r="N486">
            <v>68.286458188110274</v>
          </cell>
          <cell r="O486">
            <v>71.017916515634681</v>
          </cell>
          <cell r="P486">
            <v>73.858633176260071</v>
          </cell>
          <cell r="Q486">
            <v>76.812978503310475</v>
          </cell>
          <cell r="R486">
            <v>79.885497643442903</v>
          </cell>
          <cell r="S486">
            <v>83.080917549180626</v>
          </cell>
          <cell r="T486">
            <v>86.404154251147858</v>
          </cell>
        </row>
        <row r="487">
          <cell r="K487" t="str">
            <v>USASolutionsDelivery Center/Local54ST</v>
          </cell>
          <cell r="L487" t="str">
            <v>Sr. System Analyst</v>
          </cell>
          <cell r="M487">
            <v>156</v>
          </cell>
          <cell r="N487">
            <v>73.530493374509405</v>
          </cell>
          <cell r="O487">
            <v>76.471713109489784</v>
          </cell>
          <cell r="P487">
            <v>79.530581633869375</v>
          </cell>
          <cell r="Q487">
            <v>82.711804899224148</v>
          </cell>
          <cell r="R487">
            <v>86.020277095193123</v>
          </cell>
          <cell r="S487">
            <v>89.461088179000853</v>
          </cell>
          <cell r="T487">
            <v>93.039531706160886</v>
          </cell>
        </row>
        <row r="488">
          <cell r="K488" t="str">
            <v>USASolutionsDelivery Center/Local55LT</v>
          </cell>
          <cell r="L488" t="str">
            <v>Sr. System Analyst</v>
          </cell>
          <cell r="M488">
            <v>156</v>
          </cell>
          <cell r="N488">
            <v>77.714640940153799</v>
          </cell>
          <cell r="O488">
            <v>80.823226577759954</v>
          </cell>
          <cell r="P488">
            <v>84.056155640870358</v>
          </cell>
          <cell r="Q488">
            <v>87.418401866505178</v>
          </cell>
          <cell r="R488">
            <v>90.915137941165383</v>
          </cell>
          <cell r="S488">
            <v>94.551743458811998</v>
          </cell>
          <cell r="T488">
            <v>98.333813197164488</v>
          </cell>
        </row>
        <row r="489">
          <cell r="K489" t="str">
            <v>USASolutionsDelivery Center/Local55ST</v>
          </cell>
          <cell r="L489" t="str">
            <v>Sr. System Analyst</v>
          </cell>
          <cell r="M489">
            <v>156</v>
          </cell>
          <cell r="N489">
            <v>83.682710194322553</v>
          </cell>
          <cell r="O489">
            <v>87.030018602095453</v>
          </cell>
          <cell r="P489">
            <v>90.511219346179274</v>
          </cell>
          <cell r="Q489">
            <v>94.131668120026447</v>
          </cell>
          <cell r="R489">
            <v>97.896934844827513</v>
          </cell>
          <cell r="S489">
            <v>101.81281223862062</v>
          </cell>
          <cell r="T489">
            <v>105.88532472816546</v>
          </cell>
        </row>
        <row r="490">
          <cell r="K490" t="str">
            <v>USASolutionsDelivery Center/Local56LT</v>
          </cell>
          <cell r="L490" t="str">
            <v>Sr. System Analyst</v>
          </cell>
          <cell r="M490">
            <v>156</v>
          </cell>
          <cell r="N490">
            <v>93.25769021006974</v>
          </cell>
          <cell r="O490">
            <v>96.987997818472536</v>
          </cell>
          <cell r="P490">
            <v>100.86751773121144</v>
          </cell>
          <cell r="Q490">
            <v>104.90221844045989</v>
          </cell>
          <cell r="R490">
            <v>109.09830717807829</v>
          </cell>
          <cell r="S490">
            <v>113.46223946520142</v>
          </cell>
          <cell r="T490">
            <v>118.00072904380949</v>
          </cell>
        </row>
        <row r="491">
          <cell r="K491" t="str">
            <v>USASolutionsDelivery Center/Local56ST</v>
          </cell>
          <cell r="L491" t="str">
            <v>Sr. System Analyst</v>
          </cell>
          <cell r="M491">
            <v>156</v>
          </cell>
          <cell r="N491">
            <v>100.41938261351416</v>
          </cell>
          <cell r="O491">
            <v>104.43615791805473</v>
          </cell>
          <cell r="P491">
            <v>108.61360423477693</v>
          </cell>
          <cell r="Q491">
            <v>112.95814840416801</v>
          </cell>
          <cell r="R491">
            <v>117.47647434033473</v>
          </cell>
          <cell r="S491">
            <v>122.17553331394812</v>
          </cell>
          <cell r="T491">
            <v>127.06255464650606</v>
          </cell>
        </row>
        <row r="492">
          <cell r="K492" t="str">
            <v>USASolutionsDelivery Center/Local57LT</v>
          </cell>
          <cell r="L492" t="str">
            <v>Sr. System Analyst</v>
          </cell>
          <cell r="M492">
            <v>156</v>
          </cell>
          <cell r="N492">
            <v>102.93930529796806</v>
          </cell>
          <cell r="O492">
            <v>107.05687750988679</v>
          </cell>
          <cell r="P492">
            <v>111.33915261028227</v>
          </cell>
          <cell r="Q492">
            <v>115.79271871469356</v>
          </cell>
          <cell r="R492">
            <v>120.4244274632813</v>
          </cell>
          <cell r="S492">
            <v>125.24140456181256</v>
          </cell>
          <cell r="T492">
            <v>130.25106074428507</v>
          </cell>
        </row>
        <row r="493">
          <cell r="K493" t="str">
            <v>USASolutionsDelivery Center/Local57ST</v>
          </cell>
          <cell r="L493" t="str">
            <v>Sr. System Analyst</v>
          </cell>
          <cell r="M493">
            <v>156</v>
          </cell>
          <cell r="N493">
            <v>110.84449401868014</v>
          </cell>
          <cell r="O493">
            <v>115.27827377942735</v>
          </cell>
          <cell r="P493">
            <v>119.88940473060445</v>
          </cell>
          <cell r="Q493">
            <v>124.68498091982863</v>
          </cell>
          <cell r="R493">
            <v>129.67238015662178</v>
          </cell>
          <cell r="S493">
            <v>134.85927536288665</v>
          </cell>
          <cell r="T493">
            <v>140.25364637740211</v>
          </cell>
        </row>
        <row r="494">
          <cell r="K494" t="str">
            <v>USASolutionsDelivery Center/Local50LT</v>
          </cell>
          <cell r="L494" t="str">
            <v>System Analyst</v>
          </cell>
          <cell r="M494">
            <v>156</v>
          </cell>
          <cell r="N494">
            <v>57.959144464846673</v>
          </cell>
          <cell r="O494">
            <v>60.277510243440545</v>
          </cell>
          <cell r="P494">
            <v>62.688610653178166</v>
          </cell>
          <cell r="Q494">
            <v>65.196155079305299</v>
          </cell>
          <cell r="R494">
            <v>67.804001282477515</v>
          </cell>
          <cell r="S494">
            <v>70.516161333776623</v>
          </cell>
          <cell r="T494">
            <v>73.336807787127697</v>
          </cell>
        </row>
        <row r="495">
          <cell r="K495" t="str">
            <v>USASolutionsDelivery Center/Local50ST</v>
          </cell>
          <cell r="L495" t="str">
            <v>System Analyst</v>
          </cell>
          <cell r="M495">
            <v>156</v>
          </cell>
          <cell r="N495">
            <v>62.410097128257277</v>
          </cell>
          <cell r="O495">
            <v>64.906501013387569</v>
          </cell>
          <cell r="P495">
            <v>67.502761053923081</v>
          </cell>
          <cell r="Q495">
            <v>70.202871496080007</v>
          </cell>
          <cell r="R495">
            <v>73.010986355923208</v>
          </cell>
          <cell r="S495">
            <v>75.931425810160135</v>
          </cell>
          <cell r="T495">
            <v>78.968682842566537</v>
          </cell>
        </row>
        <row r="496">
          <cell r="K496" t="str">
            <v>USASolutionsDelivery Center/Local51LT</v>
          </cell>
          <cell r="L496" t="str">
            <v>System Analyst</v>
          </cell>
          <cell r="M496">
            <v>156</v>
          </cell>
          <cell r="N496">
            <v>64.144585974893573</v>
          </cell>
          <cell r="O496">
            <v>66.710369413889325</v>
          </cell>
          <cell r="P496">
            <v>69.378784190444904</v>
          </cell>
          <cell r="Q496">
            <v>72.153935558062699</v>
          </cell>
          <cell r="R496">
            <v>75.040092980385211</v>
          </cell>
          <cell r="S496">
            <v>78.041696699600621</v>
          </cell>
          <cell r="T496">
            <v>81.163364567584651</v>
          </cell>
        </row>
        <row r="497">
          <cell r="K497" t="str">
            <v>USASolutionsDelivery Center/Local51ST</v>
          </cell>
          <cell r="L497" t="str">
            <v>System Analyst</v>
          </cell>
          <cell r="M497">
            <v>156</v>
          </cell>
          <cell r="N497">
            <v>69.070547502180901</v>
          </cell>
          <cell r="O497">
            <v>71.833369402268133</v>
          </cell>
          <cell r="P497">
            <v>74.706704178358862</v>
          </cell>
          <cell r="Q497">
            <v>77.694972345493213</v>
          </cell>
          <cell r="R497">
            <v>80.802771239312946</v>
          </cell>
          <cell r="S497">
            <v>84.034882088885468</v>
          </cell>
          <cell r="T497">
            <v>87.396277372440892</v>
          </cell>
        </row>
        <row r="498">
          <cell r="K498" t="str">
            <v>USASolutionsDelivery Center/Local52LT</v>
          </cell>
          <cell r="L498" t="str">
            <v>System Analyst</v>
          </cell>
          <cell r="M498">
            <v>156</v>
          </cell>
          <cell r="N498">
            <v>73.362519075349695</v>
          </cell>
          <cell r="O498">
            <v>76.297019838363681</v>
          </cell>
          <cell r="P498">
            <v>79.348900631898232</v>
          </cell>
          <cell r="Q498">
            <v>82.52285665717416</v>
          </cell>
          <cell r="R498">
            <v>85.823770923461126</v>
          </cell>
          <cell r="S498">
            <v>89.256721760399572</v>
          </cell>
          <cell r="T498">
            <v>92.826990630815558</v>
          </cell>
        </row>
        <row r="499">
          <cell r="K499" t="str">
            <v>USASolutionsDelivery Center/Local52ST</v>
          </cell>
          <cell r="L499" t="str">
            <v>System Analyst</v>
          </cell>
          <cell r="M499">
            <v>156</v>
          </cell>
          <cell r="N499">
            <v>78.996368620368216</v>
          </cell>
          <cell r="O499">
            <v>82.156223365182953</v>
          </cell>
          <cell r="P499">
            <v>85.442472299790268</v>
          </cell>
          <cell r="Q499">
            <v>88.860171191781888</v>
          </cell>
          <cell r="R499">
            <v>92.414578039453161</v>
          </cell>
          <cell r="S499">
            <v>96.111161161031291</v>
          </cell>
          <cell r="T499">
            <v>99.955607607472544</v>
          </cell>
        </row>
        <row r="500">
          <cell r="K500" t="str">
            <v>USASolutionsDelivery Center/Local53LT</v>
          </cell>
          <cell r="L500" t="str">
            <v>System Analyst</v>
          </cell>
          <cell r="M500">
            <v>156</v>
          </cell>
          <cell r="N500">
            <v>80.950451748159892</v>
          </cell>
          <cell r="O500">
            <v>84.18846981808629</v>
          </cell>
          <cell r="P500">
            <v>87.556008610809741</v>
          </cell>
          <cell r="Q500">
            <v>91.058248955242135</v>
          </cell>
          <cell r="R500">
            <v>94.700578913451821</v>
          </cell>
          <cell r="S500">
            <v>98.488602069989895</v>
          </cell>
          <cell r="T500">
            <v>102.42814615278949</v>
          </cell>
        </row>
        <row r="501">
          <cell r="K501" t="str">
            <v>USASolutionsDelivery Center/Local53ST</v>
          </cell>
          <cell r="L501" t="str">
            <v>System Analyst</v>
          </cell>
          <cell r="M501">
            <v>156</v>
          </cell>
          <cell r="N501">
            <v>87.167013985915091</v>
          </cell>
          <cell r="O501">
            <v>90.653694545351698</v>
          </cell>
          <cell r="P501">
            <v>94.279842327165767</v>
          </cell>
          <cell r="Q501">
            <v>98.051036020252397</v>
          </cell>
          <cell r="R501">
            <v>101.9730774610625</v>
          </cell>
          <cell r="S501">
            <v>106.052000559505</v>
          </cell>
          <cell r="T501">
            <v>110.29408058188521</v>
          </cell>
        </row>
        <row r="502">
          <cell r="K502" t="str">
            <v>USAClientNANANA</v>
          </cell>
          <cell r="L502" t="str">
            <v>NA</v>
          </cell>
          <cell r="M502">
            <v>160</v>
          </cell>
          <cell r="N502">
            <v>0</v>
          </cell>
          <cell r="O502">
            <v>0</v>
          </cell>
          <cell r="P502">
            <v>0</v>
          </cell>
          <cell r="Q502">
            <v>0</v>
          </cell>
          <cell r="R502">
            <v>0</v>
          </cell>
          <cell r="S502">
            <v>0</v>
          </cell>
          <cell r="T502">
            <v>0</v>
          </cell>
        </row>
        <row r="503">
          <cell r="K503" t="str">
            <v>USASubcontractorsNA1NA</v>
          </cell>
          <cell r="L503" t="str">
            <v>Subcontractor 1</v>
          </cell>
          <cell r="M503">
            <v>160</v>
          </cell>
          <cell r="N503">
            <v>65</v>
          </cell>
          <cell r="O503">
            <v>66.95</v>
          </cell>
          <cell r="P503">
            <v>68.958500000000001</v>
          </cell>
          <cell r="Q503">
            <v>71.027254999999997</v>
          </cell>
          <cell r="R503">
            <v>73.158072649999994</v>
          </cell>
          <cell r="S503">
            <v>75.352814829499991</v>
          </cell>
          <cell r="T503">
            <v>77.613399274384989</v>
          </cell>
        </row>
        <row r="504">
          <cell r="K504" t="str">
            <v>USASubcontractorsNA2NA</v>
          </cell>
          <cell r="L504" t="str">
            <v>Subcontractor 1</v>
          </cell>
          <cell r="M504">
            <v>160</v>
          </cell>
          <cell r="N504">
            <v>75</v>
          </cell>
          <cell r="O504">
            <v>77.25</v>
          </cell>
          <cell r="P504">
            <v>79.567499999999995</v>
          </cell>
          <cell r="Q504">
            <v>81.954525000000004</v>
          </cell>
          <cell r="R504">
            <v>84.413160750000003</v>
          </cell>
          <cell r="S504">
            <v>86.945555572499998</v>
          </cell>
          <cell r="T504">
            <v>89.553922239675003</v>
          </cell>
        </row>
        <row r="505">
          <cell r="K505" t="str">
            <v>USASubcontractorsNA3NA</v>
          </cell>
          <cell r="L505" t="str">
            <v>Subcontractor 1</v>
          </cell>
          <cell r="M505">
            <v>160</v>
          </cell>
          <cell r="N505">
            <v>95</v>
          </cell>
          <cell r="O505">
            <v>97.850000000000009</v>
          </cell>
          <cell r="P505">
            <v>100.78550000000001</v>
          </cell>
          <cell r="Q505">
            <v>103.80906500000002</v>
          </cell>
          <cell r="R505">
            <v>106.92333695000002</v>
          </cell>
          <cell r="S505">
            <v>110.13103705850003</v>
          </cell>
          <cell r="T505">
            <v>113.43496817025503</v>
          </cell>
        </row>
        <row r="506">
          <cell r="K506" t="str">
            <v>USASubcontractorsNA4NA</v>
          </cell>
          <cell r="L506" t="str">
            <v>Subcontractor 1</v>
          </cell>
          <cell r="M506">
            <v>160</v>
          </cell>
          <cell r="N506">
            <v>105</v>
          </cell>
          <cell r="O506">
            <v>108.15</v>
          </cell>
          <cell r="P506">
            <v>111.39450000000001</v>
          </cell>
          <cell r="Q506">
            <v>114.73633500000001</v>
          </cell>
          <cell r="R506">
            <v>118.17842505000002</v>
          </cell>
          <cell r="S506">
            <v>121.72377780150002</v>
          </cell>
          <cell r="T506">
            <v>125.37549113554502</v>
          </cell>
        </row>
        <row r="507">
          <cell r="K507" t="str">
            <v>USASubcontractorsNA5NA</v>
          </cell>
          <cell r="L507" t="str">
            <v>Subcontractor 1</v>
          </cell>
          <cell r="M507">
            <v>160</v>
          </cell>
          <cell r="N507">
            <v>115</v>
          </cell>
          <cell r="O507">
            <v>118.45</v>
          </cell>
          <cell r="P507">
            <v>122.0035</v>
          </cell>
          <cell r="Q507">
            <v>125.663605</v>
          </cell>
          <cell r="R507">
            <v>129.43351315000001</v>
          </cell>
          <cell r="S507">
            <v>133.31651854450001</v>
          </cell>
          <cell r="T507">
            <v>137.31601410083502</v>
          </cell>
        </row>
        <row r="508">
          <cell r="K508" t="str">
            <v>USASubcontractorsNA6NA</v>
          </cell>
          <cell r="L508" t="str">
            <v>Subcontractor 1</v>
          </cell>
          <cell r="M508">
            <v>160</v>
          </cell>
          <cell r="N508">
            <v>135</v>
          </cell>
          <cell r="O508">
            <v>139.05000000000001</v>
          </cell>
          <cell r="P508">
            <v>143.22150000000002</v>
          </cell>
          <cell r="Q508">
            <v>147.51814500000003</v>
          </cell>
          <cell r="R508">
            <v>151.94368935000003</v>
          </cell>
          <cell r="S508">
            <v>156.50200003050003</v>
          </cell>
          <cell r="T508">
            <v>161.19706003141502</v>
          </cell>
        </row>
        <row r="509">
          <cell r="K509" t="str">
            <v>USASubcontractorsNA7NA</v>
          </cell>
          <cell r="L509" t="str">
            <v>Subcontractor 2</v>
          </cell>
          <cell r="M509">
            <v>160</v>
          </cell>
          <cell r="N509">
            <v>65</v>
          </cell>
          <cell r="O509">
            <v>66.95</v>
          </cell>
          <cell r="P509">
            <v>68.958500000000001</v>
          </cell>
          <cell r="Q509">
            <v>71.027254999999997</v>
          </cell>
          <cell r="R509">
            <v>73.158072649999994</v>
          </cell>
          <cell r="S509">
            <v>75.352814829499991</v>
          </cell>
          <cell r="T509">
            <v>77.613399274384989</v>
          </cell>
        </row>
        <row r="510">
          <cell r="K510" t="str">
            <v>USASubcontractorsNA8NA</v>
          </cell>
          <cell r="L510" t="str">
            <v>Subcontractor 2</v>
          </cell>
          <cell r="M510">
            <v>160</v>
          </cell>
          <cell r="N510">
            <v>75</v>
          </cell>
          <cell r="O510">
            <v>77.25</v>
          </cell>
          <cell r="P510">
            <v>79.567499999999995</v>
          </cell>
          <cell r="Q510">
            <v>81.954525000000004</v>
          </cell>
          <cell r="R510">
            <v>84.413160750000003</v>
          </cell>
          <cell r="S510">
            <v>86.945555572499998</v>
          </cell>
          <cell r="T510">
            <v>89.553922239675003</v>
          </cell>
        </row>
        <row r="511">
          <cell r="K511" t="str">
            <v>USASubcontractorsNA9NA</v>
          </cell>
          <cell r="L511" t="str">
            <v>Subcontractor 2</v>
          </cell>
          <cell r="M511">
            <v>160</v>
          </cell>
          <cell r="N511">
            <v>95</v>
          </cell>
          <cell r="O511">
            <v>97.850000000000009</v>
          </cell>
          <cell r="P511">
            <v>100.78550000000001</v>
          </cell>
          <cell r="Q511">
            <v>103.80906500000002</v>
          </cell>
          <cell r="R511">
            <v>106.92333695000002</v>
          </cell>
          <cell r="S511">
            <v>110.13103705850003</v>
          </cell>
          <cell r="T511">
            <v>113.43496817025503</v>
          </cell>
        </row>
        <row r="512">
          <cell r="K512" t="str">
            <v>USASubcontractorsNA10NA</v>
          </cell>
          <cell r="L512" t="str">
            <v>Subcontractor 2</v>
          </cell>
          <cell r="M512">
            <v>160</v>
          </cell>
          <cell r="N512">
            <v>105</v>
          </cell>
          <cell r="O512">
            <v>108.15</v>
          </cell>
          <cell r="P512">
            <v>111.39450000000001</v>
          </cell>
          <cell r="Q512">
            <v>114.73633500000001</v>
          </cell>
          <cell r="R512">
            <v>118.17842505000002</v>
          </cell>
          <cell r="S512">
            <v>121.72377780150002</v>
          </cell>
          <cell r="T512">
            <v>125.37549113554502</v>
          </cell>
        </row>
        <row r="513">
          <cell r="K513" t="str">
            <v>USASubcontractorsNA11NA</v>
          </cell>
          <cell r="L513" t="str">
            <v>Subcontractor 2</v>
          </cell>
          <cell r="M513">
            <v>160</v>
          </cell>
          <cell r="N513">
            <v>115</v>
          </cell>
          <cell r="O513">
            <v>118.45</v>
          </cell>
          <cell r="P513">
            <v>122.0035</v>
          </cell>
          <cell r="Q513">
            <v>125.663605</v>
          </cell>
          <cell r="R513">
            <v>129.43351315000001</v>
          </cell>
          <cell r="S513">
            <v>133.31651854450001</v>
          </cell>
          <cell r="T513">
            <v>137.31601410083502</v>
          </cell>
        </row>
        <row r="514">
          <cell r="K514" t="str">
            <v>USASubcontractorsNA12NA</v>
          </cell>
          <cell r="L514" t="str">
            <v>Subcontractor 2</v>
          </cell>
          <cell r="M514">
            <v>160</v>
          </cell>
          <cell r="N514">
            <v>135</v>
          </cell>
          <cell r="O514">
            <v>139.05000000000001</v>
          </cell>
          <cell r="P514">
            <v>143.22150000000002</v>
          </cell>
          <cell r="Q514">
            <v>147.51814500000003</v>
          </cell>
          <cell r="R514">
            <v>151.94368935000003</v>
          </cell>
          <cell r="S514">
            <v>156.50200003050003</v>
          </cell>
          <cell r="T514">
            <v>161.19706003141502</v>
          </cell>
        </row>
        <row r="515">
          <cell r="K515" t="str">
            <v>USASubcontractorsNA13NA</v>
          </cell>
          <cell r="L515" t="str">
            <v>Subcontractor 3</v>
          </cell>
          <cell r="M515">
            <v>160</v>
          </cell>
          <cell r="N515">
            <v>69</v>
          </cell>
          <cell r="O515">
            <v>71.070000000000007</v>
          </cell>
          <cell r="P515">
            <v>73.202100000000016</v>
          </cell>
          <cell r="Q515">
            <v>75.398163000000025</v>
          </cell>
          <cell r="R515">
            <v>77.660107890000035</v>
          </cell>
          <cell r="S515">
            <v>79.989911126700036</v>
          </cell>
          <cell r="T515">
            <v>82.389608460501037</v>
          </cell>
        </row>
        <row r="516">
          <cell r="K516" t="str">
            <v>USASubcontractorsNA14NA</v>
          </cell>
          <cell r="L516" t="str">
            <v>Subcontractor 3</v>
          </cell>
          <cell r="M516">
            <v>160</v>
          </cell>
          <cell r="N516">
            <v>85</v>
          </cell>
          <cell r="O516">
            <v>87.55</v>
          </cell>
          <cell r="P516">
            <v>90.176500000000004</v>
          </cell>
          <cell r="Q516">
            <v>92.881795000000011</v>
          </cell>
          <cell r="R516">
            <v>95.668248850000012</v>
          </cell>
          <cell r="S516">
            <v>98.53829631550002</v>
          </cell>
          <cell r="T516">
            <v>101.49444520496502</v>
          </cell>
        </row>
        <row r="517">
          <cell r="K517" t="str">
            <v>USASubcontractorsNA15NA</v>
          </cell>
          <cell r="L517" t="str">
            <v>Subcontractor 3</v>
          </cell>
          <cell r="M517">
            <v>160</v>
          </cell>
          <cell r="N517">
            <v>95</v>
          </cell>
          <cell r="O517">
            <v>97.850000000000009</v>
          </cell>
          <cell r="P517">
            <v>100.78550000000001</v>
          </cell>
          <cell r="Q517">
            <v>103.80906500000002</v>
          </cell>
          <cell r="R517">
            <v>106.92333695000002</v>
          </cell>
          <cell r="S517">
            <v>110.13103705850003</v>
          </cell>
          <cell r="T517">
            <v>113.43496817025503</v>
          </cell>
        </row>
        <row r="518">
          <cell r="K518" t="str">
            <v>USASubcontractorsNA16NA</v>
          </cell>
          <cell r="L518" t="str">
            <v>Subcontractor 3</v>
          </cell>
          <cell r="M518">
            <v>160</v>
          </cell>
          <cell r="N518">
            <v>109</v>
          </cell>
          <cell r="O518">
            <v>112.27</v>
          </cell>
          <cell r="P518">
            <v>115.63809999999999</v>
          </cell>
          <cell r="Q518">
            <v>119.107243</v>
          </cell>
          <cell r="R518">
            <v>122.68046029</v>
          </cell>
          <cell r="S518">
            <v>126.36087409870001</v>
          </cell>
          <cell r="T518">
            <v>130.15170032166102</v>
          </cell>
        </row>
        <row r="519">
          <cell r="K519" t="str">
            <v>USASubcontractorsNA17NA</v>
          </cell>
          <cell r="L519" t="str">
            <v>Subcontractor 3</v>
          </cell>
          <cell r="M519">
            <v>160</v>
          </cell>
          <cell r="N519">
            <v>125</v>
          </cell>
          <cell r="O519">
            <v>128.75</v>
          </cell>
          <cell r="P519">
            <v>132.61250000000001</v>
          </cell>
          <cell r="Q519">
            <v>136.59087500000001</v>
          </cell>
          <cell r="R519">
            <v>140.68860125</v>
          </cell>
          <cell r="S519">
            <v>144.90925928750002</v>
          </cell>
          <cell r="T519">
            <v>149.25653706612502</v>
          </cell>
        </row>
        <row r="520">
          <cell r="K520" t="str">
            <v>USASubcontractorsNA18NA</v>
          </cell>
          <cell r="L520" t="str">
            <v>Subcontractor 3</v>
          </cell>
          <cell r="M520">
            <v>160</v>
          </cell>
          <cell r="N520">
            <v>135</v>
          </cell>
          <cell r="O520">
            <v>139.05000000000001</v>
          </cell>
          <cell r="P520">
            <v>143.22150000000002</v>
          </cell>
          <cell r="Q520">
            <v>147.51814500000003</v>
          </cell>
          <cell r="R520">
            <v>151.94368935000003</v>
          </cell>
          <cell r="S520">
            <v>156.50200003050003</v>
          </cell>
          <cell r="T520">
            <v>161.19706003141502</v>
          </cell>
        </row>
        <row r="521">
          <cell r="K521" t="str">
            <v>USASubcontractorsNA19NA</v>
          </cell>
          <cell r="L521" t="str">
            <v>Subcontractor 1</v>
          </cell>
          <cell r="M521">
            <v>160</v>
          </cell>
          <cell r="N521">
            <v>100</v>
          </cell>
          <cell r="O521">
            <v>103</v>
          </cell>
          <cell r="P521">
            <v>106.09</v>
          </cell>
          <cell r="Q521">
            <v>109.2727</v>
          </cell>
          <cell r="R521">
            <v>112.550881</v>
          </cell>
          <cell r="S521">
            <v>115.92740743</v>
          </cell>
          <cell r="T521">
            <v>119.4052296529</v>
          </cell>
        </row>
        <row r="522">
          <cell r="K522" t="str">
            <v>USASubcontractorsNA20NA</v>
          </cell>
          <cell r="L522" t="str">
            <v>Subcontractor 1</v>
          </cell>
          <cell r="M522">
            <v>160</v>
          </cell>
          <cell r="N522">
            <v>100</v>
          </cell>
          <cell r="O522">
            <v>103</v>
          </cell>
          <cell r="P522">
            <v>106.09</v>
          </cell>
          <cell r="Q522">
            <v>109.2727</v>
          </cell>
          <cell r="R522">
            <v>112.550881</v>
          </cell>
          <cell r="S522">
            <v>115.92740743</v>
          </cell>
          <cell r="T522">
            <v>119.4052296529</v>
          </cell>
        </row>
        <row r="523">
          <cell r="K523" t="str">
            <v>USASubcontractorsNA21NA</v>
          </cell>
          <cell r="L523" t="str">
            <v>Subcontractor 1</v>
          </cell>
          <cell r="M523">
            <v>160</v>
          </cell>
          <cell r="N523">
            <v>100</v>
          </cell>
          <cell r="O523">
            <v>103</v>
          </cell>
          <cell r="P523">
            <v>106.09</v>
          </cell>
          <cell r="Q523">
            <v>109.2727</v>
          </cell>
          <cell r="R523">
            <v>112.550881</v>
          </cell>
          <cell r="S523">
            <v>115.92740743</v>
          </cell>
          <cell r="T523">
            <v>119.4052296529</v>
          </cell>
        </row>
        <row r="524">
          <cell r="K524" t="str">
            <v>USASubcontractorsNA22NA</v>
          </cell>
          <cell r="L524" t="str">
            <v>Subcontractor 1</v>
          </cell>
          <cell r="M524">
            <v>160</v>
          </cell>
          <cell r="N524">
            <v>100</v>
          </cell>
          <cell r="O524">
            <v>103</v>
          </cell>
          <cell r="P524">
            <v>106.09</v>
          </cell>
          <cell r="Q524">
            <v>109.2727</v>
          </cell>
          <cell r="R524">
            <v>112.550881</v>
          </cell>
          <cell r="S524">
            <v>115.92740743</v>
          </cell>
          <cell r="T524">
            <v>119.4052296529</v>
          </cell>
        </row>
        <row r="525">
          <cell r="K525" t="str">
            <v>USASubcontractorsNA23NA</v>
          </cell>
          <cell r="L525" t="str">
            <v>Subcontractor 1</v>
          </cell>
          <cell r="M525">
            <v>160</v>
          </cell>
          <cell r="N525">
            <v>100</v>
          </cell>
          <cell r="O525">
            <v>103</v>
          </cell>
          <cell r="P525">
            <v>106.09</v>
          </cell>
          <cell r="Q525">
            <v>109.2727</v>
          </cell>
          <cell r="R525">
            <v>112.550881</v>
          </cell>
          <cell r="S525">
            <v>115.92740743</v>
          </cell>
          <cell r="T525">
            <v>119.4052296529</v>
          </cell>
        </row>
        <row r="526">
          <cell r="K526" t="str">
            <v>USASubcontractorsNA24NA</v>
          </cell>
          <cell r="L526" t="str">
            <v>Subcontractor 1</v>
          </cell>
          <cell r="M526">
            <v>160</v>
          </cell>
          <cell r="N526">
            <v>100</v>
          </cell>
          <cell r="O526">
            <v>103</v>
          </cell>
          <cell r="P526">
            <v>106.09</v>
          </cell>
          <cell r="Q526">
            <v>109.2727</v>
          </cell>
          <cell r="R526">
            <v>112.550881</v>
          </cell>
          <cell r="S526">
            <v>115.92740743</v>
          </cell>
          <cell r="T526">
            <v>119.4052296529</v>
          </cell>
        </row>
        <row r="527">
          <cell r="K527" t="str">
            <v>USASubcontractorsNA25NA</v>
          </cell>
          <cell r="L527" t="str">
            <v>Subcontractor 1</v>
          </cell>
          <cell r="M527">
            <v>160</v>
          </cell>
          <cell r="N527">
            <v>100</v>
          </cell>
          <cell r="O527">
            <v>103</v>
          </cell>
          <cell r="P527">
            <v>106.09</v>
          </cell>
          <cell r="Q527">
            <v>109.2727</v>
          </cell>
          <cell r="R527">
            <v>112.550881</v>
          </cell>
          <cell r="S527">
            <v>115.92740743</v>
          </cell>
          <cell r="T527">
            <v>119.4052296529</v>
          </cell>
        </row>
        <row r="528">
          <cell r="K528" t="str">
            <v>USASubcontractorsNA26NA</v>
          </cell>
          <cell r="L528" t="str">
            <v>Subcontractor 1</v>
          </cell>
          <cell r="M528">
            <v>160</v>
          </cell>
          <cell r="N528">
            <v>100</v>
          </cell>
          <cell r="O528">
            <v>103</v>
          </cell>
          <cell r="P528">
            <v>106.09</v>
          </cell>
          <cell r="Q528">
            <v>109.2727</v>
          </cell>
          <cell r="R528">
            <v>112.550881</v>
          </cell>
          <cell r="S528">
            <v>115.92740743</v>
          </cell>
          <cell r="T528">
            <v>119.4052296529</v>
          </cell>
        </row>
        <row r="529">
          <cell r="K529" t="str">
            <v>USASubcontractorsNA27NA</v>
          </cell>
          <cell r="L529" t="str">
            <v>Subcontractor 1</v>
          </cell>
          <cell r="M529">
            <v>160</v>
          </cell>
          <cell r="N529">
            <v>100</v>
          </cell>
          <cell r="O529">
            <v>103</v>
          </cell>
          <cell r="P529">
            <v>106.09</v>
          </cell>
          <cell r="Q529">
            <v>109.2727</v>
          </cell>
          <cell r="R529">
            <v>112.550881</v>
          </cell>
          <cell r="S529">
            <v>115.92740743</v>
          </cell>
          <cell r="T529">
            <v>119.4052296529</v>
          </cell>
        </row>
        <row r="530">
          <cell r="K530" t="str">
            <v>USASubcontractorsNA28NA</v>
          </cell>
          <cell r="L530" t="str">
            <v>Subcontractor 1</v>
          </cell>
          <cell r="M530">
            <v>160</v>
          </cell>
          <cell r="N530">
            <v>100</v>
          </cell>
          <cell r="O530">
            <v>103</v>
          </cell>
          <cell r="P530">
            <v>106.09</v>
          </cell>
          <cell r="Q530">
            <v>109.2727</v>
          </cell>
          <cell r="R530">
            <v>112.550881</v>
          </cell>
          <cell r="S530">
            <v>115.92740743</v>
          </cell>
          <cell r="T530">
            <v>119.4052296529</v>
          </cell>
        </row>
        <row r="531">
          <cell r="K531" t="str">
            <v>USASubcontractorsNA29NA</v>
          </cell>
          <cell r="L531" t="str">
            <v>Subcontractor 1</v>
          </cell>
          <cell r="M531">
            <v>160</v>
          </cell>
          <cell r="N531">
            <v>100</v>
          </cell>
          <cell r="O531">
            <v>103</v>
          </cell>
          <cell r="P531">
            <v>106.09</v>
          </cell>
          <cell r="Q531">
            <v>109.2727</v>
          </cell>
          <cell r="R531">
            <v>112.550881</v>
          </cell>
          <cell r="S531">
            <v>115.92740743</v>
          </cell>
          <cell r="T531">
            <v>119.4052296529</v>
          </cell>
        </row>
        <row r="532">
          <cell r="K532" t="str">
            <v>USASubcontractorsNA30NA</v>
          </cell>
          <cell r="L532" t="str">
            <v>Subcontractor 1</v>
          </cell>
          <cell r="M532">
            <v>160</v>
          </cell>
          <cell r="N532">
            <v>100</v>
          </cell>
          <cell r="O532">
            <v>103</v>
          </cell>
          <cell r="P532">
            <v>106.09</v>
          </cell>
          <cell r="Q532">
            <v>109.2727</v>
          </cell>
          <cell r="R532">
            <v>112.550881</v>
          </cell>
          <cell r="S532">
            <v>115.92740743</v>
          </cell>
          <cell r="T532">
            <v>119.4052296529</v>
          </cell>
        </row>
        <row r="533">
          <cell r="K533" t="str">
            <v>IndiaConsultingGTIN LT Analytics30NA</v>
          </cell>
          <cell r="L533" t="str">
            <v>Analyst</v>
          </cell>
          <cell r="M533">
            <v>153.33333333333334</v>
          </cell>
          <cell r="N533">
            <v>100</v>
          </cell>
          <cell r="O533">
            <v>103</v>
          </cell>
          <cell r="P533">
            <v>106.09</v>
          </cell>
          <cell r="Q533">
            <v>109.2727</v>
          </cell>
          <cell r="R533">
            <v>112.550881</v>
          </cell>
          <cell r="S533">
            <v>115.92740743</v>
          </cell>
          <cell r="T533">
            <v>119.4052296529</v>
          </cell>
        </row>
        <row r="534">
          <cell r="K534" t="str">
            <v>IndiaConsultingGTIN LT Analytics31NA</v>
          </cell>
          <cell r="L534" t="str">
            <v>Analyst</v>
          </cell>
          <cell r="M534">
            <v>153.33333333333334</v>
          </cell>
          <cell r="N534">
            <v>100</v>
          </cell>
          <cell r="O534">
            <v>103</v>
          </cell>
          <cell r="P534">
            <v>106.09</v>
          </cell>
          <cell r="Q534">
            <v>109.2727</v>
          </cell>
          <cell r="R534">
            <v>112.550881</v>
          </cell>
          <cell r="S534">
            <v>115.92740743</v>
          </cell>
          <cell r="T534">
            <v>119.4052296529</v>
          </cell>
        </row>
        <row r="535">
          <cell r="K535" t="str">
            <v>IndiaConsultingGTIN LT Analytics32NA</v>
          </cell>
          <cell r="L535" t="str">
            <v>Analyst</v>
          </cell>
          <cell r="M535">
            <v>153.33333333333334</v>
          </cell>
          <cell r="N535">
            <v>100</v>
          </cell>
          <cell r="O535">
            <v>103</v>
          </cell>
          <cell r="P535">
            <v>106.09</v>
          </cell>
          <cell r="Q535">
            <v>109.2727</v>
          </cell>
          <cell r="R535">
            <v>112.550881</v>
          </cell>
          <cell r="S535">
            <v>115.92740743</v>
          </cell>
          <cell r="T535">
            <v>119.4052296529</v>
          </cell>
        </row>
        <row r="536">
          <cell r="K536" t="str">
            <v>IndiaConsultingGTIN LT Analytics51NA</v>
          </cell>
          <cell r="L536" t="str">
            <v>Consultant</v>
          </cell>
          <cell r="M536">
            <v>153.33333333333334</v>
          </cell>
          <cell r="N536">
            <v>100</v>
          </cell>
          <cell r="O536">
            <v>103</v>
          </cell>
          <cell r="P536">
            <v>106.09</v>
          </cell>
          <cell r="Q536">
            <v>109.2727</v>
          </cell>
          <cell r="R536">
            <v>112.550881</v>
          </cell>
          <cell r="S536">
            <v>115.92740743</v>
          </cell>
          <cell r="T536">
            <v>119.4052296529</v>
          </cell>
        </row>
        <row r="537">
          <cell r="K537" t="str">
            <v>IndiaConsultingGTIN LT Analytics52NA</v>
          </cell>
          <cell r="L537" t="str">
            <v>Consultant</v>
          </cell>
          <cell r="M537">
            <v>153.33333333333334</v>
          </cell>
          <cell r="N537">
            <v>100</v>
          </cell>
          <cell r="O537">
            <v>103</v>
          </cell>
          <cell r="P537">
            <v>106.09</v>
          </cell>
          <cell r="Q537">
            <v>109.2727</v>
          </cell>
          <cell r="R537">
            <v>112.550881</v>
          </cell>
          <cell r="S537">
            <v>115.92740743</v>
          </cell>
          <cell r="T537">
            <v>119.4052296529</v>
          </cell>
        </row>
        <row r="538">
          <cell r="K538" t="str">
            <v>IndiaConsultingGTIN LT Analytics53NA</v>
          </cell>
          <cell r="L538" t="str">
            <v>Consultant</v>
          </cell>
          <cell r="M538">
            <v>153.33333333333334</v>
          </cell>
          <cell r="N538">
            <v>100</v>
          </cell>
          <cell r="O538">
            <v>103</v>
          </cell>
          <cell r="P538">
            <v>106.09</v>
          </cell>
          <cell r="Q538">
            <v>109.2727</v>
          </cell>
          <cell r="R538">
            <v>112.550881</v>
          </cell>
          <cell r="S538">
            <v>115.92740743</v>
          </cell>
          <cell r="T538">
            <v>119.4052296529</v>
          </cell>
        </row>
        <row r="539">
          <cell r="K539" t="str">
            <v>IndiaConsultingGTIN LT Analytics54NA</v>
          </cell>
          <cell r="L539" t="str">
            <v>Consultant</v>
          </cell>
          <cell r="M539">
            <v>153.33333333333334</v>
          </cell>
          <cell r="N539">
            <v>100</v>
          </cell>
          <cell r="O539">
            <v>103</v>
          </cell>
          <cell r="P539">
            <v>106.09</v>
          </cell>
          <cell r="Q539">
            <v>109.2727</v>
          </cell>
          <cell r="R539">
            <v>112.550881</v>
          </cell>
          <cell r="S539">
            <v>115.92740743</v>
          </cell>
          <cell r="T539">
            <v>119.4052296529</v>
          </cell>
        </row>
        <row r="540">
          <cell r="K540" t="str">
            <v>IndiaConsultingGTIN LT Analytics60NA</v>
          </cell>
          <cell r="L540" t="str">
            <v>Manager</v>
          </cell>
          <cell r="M540">
            <v>153.33333333333334</v>
          </cell>
          <cell r="N540">
            <v>100</v>
          </cell>
          <cell r="O540">
            <v>103</v>
          </cell>
          <cell r="P540">
            <v>106.09</v>
          </cell>
          <cell r="Q540">
            <v>109.2727</v>
          </cell>
          <cell r="R540">
            <v>112.550881</v>
          </cell>
          <cell r="S540">
            <v>115.92740743</v>
          </cell>
          <cell r="T540">
            <v>119.4052296529</v>
          </cell>
        </row>
        <row r="541">
          <cell r="K541" t="str">
            <v>IndiaConsultingGTIN LT Analytics61NA</v>
          </cell>
          <cell r="L541" t="str">
            <v>Manager</v>
          </cell>
          <cell r="M541">
            <v>153.33333333333334</v>
          </cell>
          <cell r="N541">
            <v>100</v>
          </cell>
          <cell r="O541">
            <v>103</v>
          </cell>
          <cell r="P541">
            <v>106.09</v>
          </cell>
          <cell r="Q541">
            <v>109.2727</v>
          </cell>
          <cell r="R541">
            <v>112.550881</v>
          </cell>
          <cell r="S541">
            <v>115.92740743</v>
          </cell>
          <cell r="T541">
            <v>119.4052296529</v>
          </cell>
        </row>
        <row r="542">
          <cell r="K542" t="str">
            <v>IndiaConsultingGTIN LT Analytics62NA</v>
          </cell>
          <cell r="L542" t="str">
            <v>Manager</v>
          </cell>
          <cell r="M542">
            <v>153.33333333333334</v>
          </cell>
          <cell r="N542">
            <v>100</v>
          </cell>
          <cell r="O542">
            <v>103</v>
          </cell>
          <cell r="P542">
            <v>106.09</v>
          </cell>
          <cell r="Q542">
            <v>109.2727</v>
          </cell>
          <cell r="R542">
            <v>112.550881</v>
          </cell>
          <cell r="S542">
            <v>115.92740743</v>
          </cell>
          <cell r="T542">
            <v>119.4052296529</v>
          </cell>
        </row>
        <row r="543">
          <cell r="K543" t="str">
            <v>IndiaConsultingGTIN LT Analytics63NA</v>
          </cell>
          <cell r="L543" t="str">
            <v>Manager</v>
          </cell>
          <cell r="M543">
            <v>153.33333333333334</v>
          </cell>
          <cell r="N543">
            <v>100</v>
          </cell>
          <cell r="O543">
            <v>103</v>
          </cell>
          <cell r="P543">
            <v>106.09</v>
          </cell>
          <cell r="Q543">
            <v>109.2727</v>
          </cell>
          <cell r="R543">
            <v>112.550881</v>
          </cell>
          <cell r="S543">
            <v>115.92740743</v>
          </cell>
          <cell r="T543">
            <v>119.4052296529</v>
          </cell>
        </row>
        <row r="544">
          <cell r="K544" t="str">
            <v>IndiaConsultingGTIN LT Analytics80NA</v>
          </cell>
          <cell r="L544" t="str">
            <v>Sr. Executive</v>
          </cell>
          <cell r="M544">
            <v>153.33333333333334</v>
          </cell>
          <cell r="N544">
            <v>100</v>
          </cell>
          <cell r="O544">
            <v>103</v>
          </cell>
          <cell r="P544">
            <v>106.09</v>
          </cell>
          <cell r="Q544">
            <v>109.2727</v>
          </cell>
          <cell r="R544">
            <v>112.550881</v>
          </cell>
          <cell r="S544">
            <v>115.92740743</v>
          </cell>
          <cell r="T544">
            <v>119.4052296529</v>
          </cell>
        </row>
        <row r="545">
          <cell r="K545" t="str">
            <v>IndiaConsultingGTIN LT Analytics81NA</v>
          </cell>
          <cell r="L545" t="str">
            <v>Sr. Executive</v>
          </cell>
          <cell r="M545">
            <v>153.33333333333334</v>
          </cell>
          <cell r="N545">
            <v>100</v>
          </cell>
          <cell r="O545">
            <v>103</v>
          </cell>
          <cell r="P545">
            <v>106.09</v>
          </cell>
          <cell r="Q545">
            <v>109.2727</v>
          </cell>
          <cell r="R545">
            <v>112.550881</v>
          </cell>
          <cell r="S545">
            <v>115.92740743</v>
          </cell>
          <cell r="T545">
            <v>119.4052296529</v>
          </cell>
        </row>
        <row r="546">
          <cell r="K546" t="str">
            <v>IndiaConsultingGTIN LT Analytics82NA</v>
          </cell>
          <cell r="L546" t="str">
            <v>Sr. Executive</v>
          </cell>
          <cell r="M546">
            <v>153.33333333333334</v>
          </cell>
          <cell r="N546">
            <v>100</v>
          </cell>
          <cell r="O546">
            <v>103</v>
          </cell>
          <cell r="P546">
            <v>106.09</v>
          </cell>
          <cell r="Q546">
            <v>109.2727</v>
          </cell>
          <cell r="R546">
            <v>112.550881</v>
          </cell>
          <cell r="S546">
            <v>115.92740743</v>
          </cell>
          <cell r="T546">
            <v>119.4052296529</v>
          </cell>
        </row>
        <row r="547">
          <cell r="K547" t="str">
            <v>IndiaConsultingGTIN LT Analytics83NA</v>
          </cell>
          <cell r="L547" t="str">
            <v>Sr. Executive</v>
          </cell>
          <cell r="M547">
            <v>153.33333333333334</v>
          </cell>
          <cell r="N547">
            <v>100</v>
          </cell>
          <cell r="O547">
            <v>103</v>
          </cell>
          <cell r="P547">
            <v>106.09</v>
          </cell>
          <cell r="Q547">
            <v>109.2727</v>
          </cell>
          <cell r="R547">
            <v>112.550881</v>
          </cell>
          <cell r="S547">
            <v>115.92740743</v>
          </cell>
          <cell r="T547">
            <v>119.4052296529</v>
          </cell>
        </row>
        <row r="548">
          <cell r="K548" t="str">
            <v>IndiaConsultingGTIN LT Analytics84NA</v>
          </cell>
          <cell r="L548" t="str">
            <v>Sr. Executive</v>
          </cell>
          <cell r="M548">
            <v>153.33333333333334</v>
          </cell>
          <cell r="N548">
            <v>100</v>
          </cell>
          <cell r="O548">
            <v>103</v>
          </cell>
          <cell r="P548">
            <v>106.09</v>
          </cell>
          <cell r="Q548">
            <v>109.2727</v>
          </cell>
          <cell r="R548">
            <v>112.550881</v>
          </cell>
          <cell r="S548">
            <v>115.92740743</v>
          </cell>
          <cell r="T548">
            <v>119.4052296529</v>
          </cell>
        </row>
        <row r="549">
          <cell r="K549" t="str">
            <v>IndiaConsultingGTIN LT Analytics85NA</v>
          </cell>
          <cell r="L549" t="str">
            <v>Sr. Executive</v>
          </cell>
          <cell r="M549">
            <v>153.33333333333334</v>
          </cell>
          <cell r="N549">
            <v>100</v>
          </cell>
          <cell r="O549">
            <v>103</v>
          </cell>
          <cell r="P549">
            <v>106.09</v>
          </cell>
          <cell r="Q549">
            <v>109.2727</v>
          </cell>
          <cell r="R549">
            <v>112.550881</v>
          </cell>
          <cell r="S549">
            <v>115.92740743</v>
          </cell>
          <cell r="T549">
            <v>119.4052296529</v>
          </cell>
        </row>
        <row r="550">
          <cell r="K550" t="str">
            <v>IndiaConsultingGTIN LT Analytics86NA</v>
          </cell>
          <cell r="L550" t="str">
            <v>Sr. Executive</v>
          </cell>
          <cell r="M550">
            <v>153.33333333333334</v>
          </cell>
          <cell r="N550">
            <v>100</v>
          </cell>
          <cell r="O550">
            <v>103</v>
          </cell>
          <cell r="P550">
            <v>106.09</v>
          </cell>
          <cell r="Q550">
            <v>109.2727</v>
          </cell>
          <cell r="R550">
            <v>112.550881</v>
          </cell>
          <cell r="S550">
            <v>115.92740743</v>
          </cell>
          <cell r="T550">
            <v>119.4052296529</v>
          </cell>
        </row>
        <row r="551">
          <cell r="K551" t="str">
            <v>IndiaConsultingGTIN LT Analytics87NA</v>
          </cell>
          <cell r="L551" t="str">
            <v>Sr. Executive</v>
          </cell>
          <cell r="M551">
            <v>153.33333333333334</v>
          </cell>
          <cell r="N551">
            <v>100</v>
          </cell>
          <cell r="O551">
            <v>103</v>
          </cell>
          <cell r="P551">
            <v>106.09</v>
          </cell>
          <cell r="Q551">
            <v>109.2727</v>
          </cell>
          <cell r="R551">
            <v>112.550881</v>
          </cell>
          <cell r="S551">
            <v>115.92740743</v>
          </cell>
          <cell r="T551">
            <v>119.4052296529</v>
          </cell>
        </row>
        <row r="552">
          <cell r="K552" t="str">
            <v>IndiaConsultingGTIN LT Analytics88NA</v>
          </cell>
          <cell r="L552" t="str">
            <v>Sr. Executive</v>
          </cell>
          <cell r="M552">
            <v>153.33333333333334</v>
          </cell>
          <cell r="N552">
            <v>100</v>
          </cell>
          <cell r="O552">
            <v>103</v>
          </cell>
          <cell r="P552">
            <v>106.09</v>
          </cell>
          <cell r="Q552">
            <v>109.2727</v>
          </cell>
          <cell r="R552">
            <v>112.550881</v>
          </cell>
          <cell r="S552">
            <v>115.92740743</v>
          </cell>
          <cell r="T552">
            <v>119.4052296529</v>
          </cell>
        </row>
        <row r="553">
          <cell r="K553" t="str">
            <v>IndiaConsultingGTIN LT Analytics89NA</v>
          </cell>
          <cell r="L553" t="str">
            <v>Sr. Executive</v>
          </cell>
          <cell r="M553">
            <v>153.33333333333334</v>
          </cell>
          <cell r="N553">
            <v>100</v>
          </cell>
          <cell r="O553">
            <v>103</v>
          </cell>
          <cell r="P553">
            <v>106.09</v>
          </cell>
          <cell r="Q553">
            <v>109.2727</v>
          </cell>
          <cell r="R553">
            <v>112.550881</v>
          </cell>
          <cell r="S553">
            <v>115.92740743</v>
          </cell>
          <cell r="T553">
            <v>119.4052296529</v>
          </cell>
        </row>
        <row r="554">
          <cell r="K554" t="str">
            <v>IndiaConsultingGTIN LT Analytics90NA</v>
          </cell>
          <cell r="L554" t="str">
            <v>Sr. Executive</v>
          </cell>
          <cell r="M554">
            <v>153.33333333333334</v>
          </cell>
          <cell r="N554">
            <v>100</v>
          </cell>
          <cell r="O554">
            <v>103</v>
          </cell>
          <cell r="P554">
            <v>106.09</v>
          </cell>
          <cell r="Q554">
            <v>109.2727</v>
          </cell>
          <cell r="R554">
            <v>112.550881</v>
          </cell>
          <cell r="S554">
            <v>115.92740743</v>
          </cell>
          <cell r="T554">
            <v>119.4052296529</v>
          </cell>
        </row>
        <row r="555">
          <cell r="K555" t="str">
            <v>IndiaConsultingGTIN LT Analytics91NA</v>
          </cell>
          <cell r="L555" t="str">
            <v>Sr. Executive</v>
          </cell>
          <cell r="M555">
            <v>153.33333333333334</v>
          </cell>
          <cell r="N555">
            <v>100</v>
          </cell>
          <cell r="O555">
            <v>103</v>
          </cell>
          <cell r="P555">
            <v>106.09</v>
          </cell>
          <cell r="Q555">
            <v>109.2727</v>
          </cell>
          <cell r="R555">
            <v>112.550881</v>
          </cell>
          <cell r="S555">
            <v>115.92740743</v>
          </cell>
          <cell r="T555">
            <v>119.4052296529</v>
          </cell>
        </row>
        <row r="556">
          <cell r="K556" t="str">
            <v>IndiaConsultingGTIN LT Analytics92NA</v>
          </cell>
          <cell r="L556" t="str">
            <v>Sr. Executive</v>
          </cell>
          <cell r="M556">
            <v>153.33333333333334</v>
          </cell>
          <cell r="N556">
            <v>100</v>
          </cell>
          <cell r="O556">
            <v>103</v>
          </cell>
          <cell r="P556">
            <v>106.09</v>
          </cell>
          <cell r="Q556">
            <v>109.2727</v>
          </cell>
          <cell r="R556">
            <v>112.550881</v>
          </cell>
          <cell r="S556">
            <v>115.92740743</v>
          </cell>
          <cell r="T556">
            <v>119.4052296529</v>
          </cell>
        </row>
        <row r="557">
          <cell r="K557" t="str">
            <v>IndiaConsultingGTIN LT Analytics93NA</v>
          </cell>
          <cell r="L557" t="str">
            <v>Sr. Executive</v>
          </cell>
          <cell r="M557">
            <v>153.33333333333334</v>
          </cell>
          <cell r="N557">
            <v>100</v>
          </cell>
          <cell r="O557">
            <v>103</v>
          </cell>
          <cell r="P557">
            <v>106.09</v>
          </cell>
          <cell r="Q557">
            <v>109.2727</v>
          </cell>
          <cell r="R557">
            <v>112.550881</v>
          </cell>
          <cell r="S557">
            <v>115.92740743</v>
          </cell>
          <cell r="T557">
            <v>119.4052296529</v>
          </cell>
        </row>
        <row r="558">
          <cell r="K558" t="str">
            <v>IndiaConsultingGTIN LT Analytics94NA</v>
          </cell>
          <cell r="L558" t="str">
            <v>Sr. Executive</v>
          </cell>
          <cell r="M558">
            <v>153.33333333333334</v>
          </cell>
          <cell r="N558">
            <v>100</v>
          </cell>
          <cell r="O558">
            <v>103</v>
          </cell>
          <cell r="P558">
            <v>106.09</v>
          </cell>
          <cell r="Q558">
            <v>109.2727</v>
          </cell>
          <cell r="R558">
            <v>112.550881</v>
          </cell>
          <cell r="S558">
            <v>115.92740743</v>
          </cell>
          <cell r="T558">
            <v>119.4052296529</v>
          </cell>
        </row>
        <row r="559">
          <cell r="K559" t="str">
            <v>IndiaConsultingGTIN LT Analytics95NA</v>
          </cell>
          <cell r="L559" t="str">
            <v>Sr. Executive</v>
          </cell>
          <cell r="M559">
            <v>153.33333333333334</v>
          </cell>
          <cell r="N559">
            <v>100</v>
          </cell>
          <cell r="O559">
            <v>103</v>
          </cell>
          <cell r="P559">
            <v>106.09</v>
          </cell>
          <cell r="Q559">
            <v>109.2727</v>
          </cell>
          <cell r="R559">
            <v>112.550881</v>
          </cell>
          <cell r="S559">
            <v>115.92740743</v>
          </cell>
          <cell r="T559">
            <v>119.4052296529</v>
          </cell>
        </row>
        <row r="560">
          <cell r="K560" t="str">
            <v>IndiaConsultingGTIN LT Analytics96NA</v>
          </cell>
          <cell r="L560" t="str">
            <v>Sr. Executive</v>
          </cell>
          <cell r="M560">
            <v>153.33333333333334</v>
          </cell>
          <cell r="N560">
            <v>100</v>
          </cell>
          <cell r="O560">
            <v>103</v>
          </cell>
          <cell r="P560">
            <v>106.09</v>
          </cell>
          <cell r="Q560">
            <v>109.2727</v>
          </cell>
          <cell r="R560">
            <v>112.550881</v>
          </cell>
          <cell r="S560">
            <v>115.92740743</v>
          </cell>
          <cell r="T560">
            <v>119.4052296529</v>
          </cell>
        </row>
        <row r="561">
          <cell r="K561" t="str">
            <v>IndiaConsultingGTIN LT Analytics67NA</v>
          </cell>
          <cell r="L561" t="str">
            <v>Sr. Manager</v>
          </cell>
          <cell r="M561">
            <v>153.33333333333334</v>
          </cell>
          <cell r="N561">
            <v>100</v>
          </cell>
          <cell r="O561">
            <v>103</v>
          </cell>
          <cell r="P561">
            <v>106.09</v>
          </cell>
          <cell r="Q561">
            <v>109.2727</v>
          </cell>
          <cell r="R561">
            <v>112.550881</v>
          </cell>
          <cell r="S561">
            <v>115.92740743</v>
          </cell>
          <cell r="T561">
            <v>119.4052296529</v>
          </cell>
        </row>
        <row r="562">
          <cell r="K562" t="str">
            <v>IndiaConsultingGTIN LT Analytics68NA</v>
          </cell>
          <cell r="L562" t="str">
            <v>Sr. Manager</v>
          </cell>
          <cell r="M562">
            <v>153.33333333333334</v>
          </cell>
          <cell r="N562">
            <v>100</v>
          </cell>
          <cell r="O562">
            <v>103</v>
          </cell>
          <cell r="P562">
            <v>106.09</v>
          </cell>
          <cell r="Q562">
            <v>109.2727</v>
          </cell>
          <cell r="R562">
            <v>112.550881</v>
          </cell>
          <cell r="S562">
            <v>115.92740743</v>
          </cell>
          <cell r="T562">
            <v>119.4052296529</v>
          </cell>
        </row>
        <row r="563">
          <cell r="K563" t="str">
            <v>IndiaConsultingGTIN LT Analytics71NA</v>
          </cell>
          <cell r="L563" t="str">
            <v>Sr. Manager</v>
          </cell>
          <cell r="M563">
            <v>153.33333333333334</v>
          </cell>
          <cell r="N563">
            <v>100</v>
          </cell>
          <cell r="O563">
            <v>103</v>
          </cell>
          <cell r="P563">
            <v>106.09</v>
          </cell>
          <cell r="Q563">
            <v>109.2727</v>
          </cell>
          <cell r="R563">
            <v>112.550881</v>
          </cell>
          <cell r="S563">
            <v>115.92740743</v>
          </cell>
          <cell r="T563">
            <v>119.4052296529</v>
          </cell>
        </row>
        <row r="564">
          <cell r="K564" t="str">
            <v>IndiaConsultingGTIN LT Industry / Func Skills30NA</v>
          </cell>
          <cell r="L564" t="str">
            <v>Analyst</v>
          </cell>
          <cell r="M564">
            <v>153.33333333333334</v>
          </cell>
          <cell r="N564">
            <v>100</v>
          </cell>
          <cell r="O564">
            <v>103</v>
          </cell>
          <cell r="P564">
            <v>106.09</v>
          </cell>
          <cell r="Q564">
            <v>109.2727</v>
          </cell>
          <cell r="R564">
            <v>112.550881</v>
          </cell>
          <cell r="S564">
            <v>115.92740743</v>
          </cell>
          <cell r="T564">
            <v>119.4052296529</v>
          </cell>
        </row>
        <row r="565">
          <cell r="K565" t="str">
            <v>IndiaConsultingGTIN LT Industry / Func Skills31NA</v>
          </cell>
          <cell r="L565" t="str">
            <v>Analyst</v>
          </cell>
          <cell r="M565">
            <v>153.33333333333334</v>
          </cell>
          <cell r="N565">
            <v>100</v>
          </cell>
          <cell r="O565">
            <v>103</v>
          </cell>
          <cell r="P565">
            <v>106.09</v>
          </cell>
          <cell r="Q565">
            <v>109.2727</v>
          </cell>
          <cell r="R565">
            <v>112.550881</v>
          </cell>
          <cell r="S565">
            <v>115.92740743</v>
          </cell>
          <cell r="T565">
            <v>119.4052296529</v>
          </cell>
        </row>
        <row r="566">
          <cell r="K566" t="str">
            <v>IndiaConsultingGTIN LT Industry / Func Skills32NA</v>
          </cell>
          <cell r="L566" t="str">
            <v>Analyst</v>
          </cell>
          <cell r="M566">
            <v>153.33333333333334</v>
          </cell>
          <cell r="N566">
            <v>100</v>
          </cell>
          <cell r="O566">
            <v>103</v>
          </cell>
          <cell r="P566">
            <v>106.09</v>
          </cell>
          <cell r="Q566">
            <v>109.2727</v>
          </cell>
          <cell r="R566">
            <v>112.550881</v>
          </cell>
          <cell r="S566">
            <v>115.92740743</v>
          </cell>
          <cell r="T566">
            <v>119.4052296529</v>
          </cell>
        </row>
        <row r="567">
          <cell r="K567" t="str">
            <v>IndiaConsultingGTIN LT Industry / Func Skills52NA</v>
          </cell>
          <cell r="L567" t="str">
            <v>Consultant</v>
          </cell>
          <cell r="M567">
            <v>153.33333333333334</v>
          </cell>
          <cell r="N567">
            <v>100</v>
          </cell>
          <cell r="O567">
            <v>103</v>
          </cell>
          <cell r="P567">
            <v>106.09</v>
          </cell>
          <cell r="Q567">
            <v>109.2727</v>
          </cell>
          <cell r="R567">
            <v>112.550881</v>
          </cell>
          <cell r="S567">
            <v>115.92740743</v>
          </cell>
          <cell r="T567">
            <v>119.4052296529</v>
          </cell>
        </row>
        <row r="568">
          <cell r="K568" t="str">
            <v>IndiaConsultingGTIN LT Industry / Func Skills53NA</v>
          </cell>
          <cell r="L568" t="str">
            <v>Consultant</v>
          </cell>
          <cell r="M568">
            <v>153.33333333333334</v>
          </cell>
          <cell r="N568">
            <v>100</v>
          </cell>
          <cell r="O568">
            <v>103</v>
          </cell>
          <cell r="P568">
            <v>106.09</v>
          </cell>
          <cell r="Q568">
            <v>109.2727</v>
          </cell>
          <cell r="R568">
            <v>112.550881</v>
          </cell>
          <cell r="S568">
            <v>115.92740743</v>
          </cell>
          <cell r="T568">
            <v>119.4052296529</v>
          </cell>
        </row>
        <row r="569">
          <cell r="K569" t="str">
            <v>IndiaConsultingGTIN LT Industry / Func Skills54NA</v>
          </cell>
          <cell r="L569" t="str">
            <v>Consultant</v>
          </cell>
          <cell r="M569">
            <v>153.33333333333334</v>
          </cell>
          <cell r="N569">
            <v>100</v>
          </cell>
          <cell r="O569">
            <v>103</v>
          </cell>
          <cell r="P569">
            <v>106.09</v>
          </cell>
          <cell r="Q569">
            <v>109.2727</v>
          </cell>
          <cell r="R569">
            <v>112.550881</v>
          </cell>
          <cell r="S569">
            <v>115.92740743</v>
          </cell>
          <cell r="T569">
            <v>119.4052296529</v>
          </cell>
        </row>
        <row r="570">
          <cell r="K570" t="str">
            <v>IndiaConsultingGTIN LT Industry / Func Skills55NA</v>
          </cell>
          <cell r="L570" t="str">
            <v>Consultant</v>
          </cell>
          <cell r="M570">
            <v>153.33333333333334</v>
          </cell>
          <cell r="N570">
            <v>100</v>
          </cell>
          <cell r="O570">
            <v>103</v>
          </cell>
          <cell r="P570">
            <v>106.09</v>
          </cell>
          <cell r="Q570">
            <v>109.2727</v>
          </cell>
          <cell r="R570">
            <v>112.550881</v>
          </cell>
          <cell r="S570">
            <v>115.92740743</v>
          </cell>
          <cell r="T570">
            <v>119.4052296529</v>
          </cell>
        </row>
        <row r="571">
          <cell r="K571" t="str">
            <v>IndiaConsultingGTIN LT Industry / Func Skills60NA</v>
          </cell>
          <cell r="L571" t="str">
            <v>Manager</v>
          </cell>
          <cell r="M571">
            <v>153.33333333333334</v>
          </cell>
          <cell r="N571">
            <v>100</v>
          </cell>
          <cell r="O571">
            <v>103</v>
          </cell>
          <cell r="P571">
            <v>106.09</v>
          </cell>
          <cell r="Q571">
            <v>109.2727</v>
          </cell>
          <cell r="R571">
            <v>112.550881</v>
          </cell>
          <cell r="S571">
            <v>115.92740743</v>
          </cell>
          <cell r="T571">
            <v>119.4052296529</v>
          </cell>
        </row>
        <row r="572">
          <cell r="K572" t="str">
            <v>IndiaConsultingGTIN LT Industry / Func Skills61NA</v>
          </cell>
          <cell r="L572" t="str">
            <v>Manager</v>
          </cell>
          <cell r="M572">
            <v>153.33333333333334</v>
          </cell>
          <cell r="N572">
            <v>100</v>
          </cell>
          <cell r="O572">
            <v>103</v>
          </cell>
          <cell r="P572">
            <v>106.09</v>
          </cell>
          <cell r="Q572">
            <v>109.2727</v>
          </cell>
          <cell r="R572">
            <v>112.550881</v>
          </cell>
          <cell r="S572">
            <v>115.92740743</v>
          </cell>
          <cell r="T572">
            <v>119.4052296529</v>
          </cell>
        </row>
        <row r="573">
          <cell r="K573" t="str">
            <v>IndiaConsultingGTIN LT Industry / Func Skills62NA</v>
          </cell>
          <cell r="L573" t="str">
            <v>Manager</v>
          </cell>
          <cell r="M573">
            <v>153.33333333333334</v>
          </cell>
          <cell r="N573">
            <v>100</v>
          </cell>
          <cell r="O573">
            <v>103</v>
          </cell>
          <cell r="P573">
            <v>106.09</v>
          </cell>
          <cell r="Q573">
            <v>109.2727</v>
          </cell>
          <cell r="R573">
            <v>112.550881</v>
          </cell>
          <cell r="S573">
            <v>115.92740743</v>
          </cell>
          <cell r="T573">
            <v>119.4052296529</v>
          </cell>
        </row>
        <row r="574">
          <cell r="K574" t="str">
            <v>IndiaConsultingGTIN LT Industry / Func Skills80NA</v>
          </cell>
          <cell r="L574" t="str">
            <v>Sr. Executive</v>
          </cell>
          <cell r="M574">
            <v>153.33333333333334</v>
          </cell>
          <cell r="N574">
            <v>100</v>
          </cell>
          <cell r="O574">
            <v>103</v>
          </cell>
          <cell r="P574">
            <v>106.09</v>
          </cell>
          <cell r="Q574">
            <v>109.2727</v>
          </cell>
          <cell r="R574">
            <v>112.550881</v>
          </cell>
          <cell r="S574">
            <v>115.92740743</v>
          </cell>
          <cell r="T574">
            <v>119.4052296529</v>
          </cell>
        </row>
        <row r="575">
          <cell r="K575" t="str">
            <v>IndiaConsultingGTIN LT Industry / Func Skills81NA</v>
          </cell>
          <cell r="L575" t="str">
            <v>Sr. Executive</v>
          </cell>
          <cell r="M575">
            <v>153.33333333333334</v>
          </cell>
          <cell r="N575">
            <v>100</v>
          </cell>
          <cell r="O575">
            <v>103</v>
          </cell>
          <cell r="P575">
            <v>106.09</v>
          </cell>
          <cell r="Q575">
            <v>109.2727</v>
          </cell>
          <cell r="R575">
            <v>112.550881</v>
          </cell>
          <cell r="S575">
            <v>115.92740743</v>
          </cell>
          <cell r="T575">
            <v>119.4052296529</v>
          </cell>
        </row>
        <row r="576">
          <cell r="K576" t="str">
            <v>IndiaConsultingGTIN LT Industry / Func Skills82NA</v>
          </cell>
          <cell r="L576" t="str">
            <v>Sr. Executive</v>
          </cell>
          <cell r="M576">
            <v>153.33333333333334</v>
          </cell>
          <cell r="N576">
            <v>100</v>
          </cell>
          <cell r="O576">
            <v>103</v>
          </cell>
          <cell r="P576">
            <v>106.09</v>
          </cell>
          <cell r="Q576">
            <v>109.2727</v>
          </cell>
          <cell r="R576">
            <v>112.550881</v>
          </cell>
          <cell r="S576">
            <v>115.92740743</v>
          </cell>
          <cell r="T576">
            <v>119.4052296529</v>
          </cell>
        </row>
        <row r="577">
          <cell r="K577" t="str">
            <v>IndiaConsultingGTIN LT Industry / Func Skills83NA</v>
          </cell>
          <cell r="L577" t="str">
            <v>Sr. Executive</v>
          </cell>
          <cell r="M577">
            <v>153.33333333333334</v>
          </cell>
          <cell r="N577">
            <v>100</v>
          </cell>
          <cell r="O577">
            <v>103</v>
          </cell>
          <cell r="P577">
            <v>106.09</v>
          </cell>
          <cell r="Q577">
            <v>109.2727</v>
          </cell>
          <cell r="R577">
            <v>112.550881</v>
          </cell>
          <cell r="S577">
            <v>115.92740743</v>
          </cell>
          <cell r="T577">
            <v>119.4052296529</v>
          </cell>
        </row>
        <row r="578">
          <cell r="K578" t="str">
            <v>IndiaConsultingGTIN LT Industry / Func Skills84NA</v>
          </cell>
          <cell r="L578" t="str">
            <v>Sr. Executive</v>
          </cell>
          <cell r="M578">
            <v>153.33333333333334</v>
          </cell>
          <cell r="N578">
            <v>100</v>
          </cell>
          <cell r="O578">
            <v>103</v>
          </cell>
          <cell r="P578">
            <v>106.09</v>
          </cell>
          <cell r="Q578">
            <v>109.2727</v>
          </cell>
          <cell r="R578">
            <v>112.550881</v>
          </cell>
          <cell r="S578">
            <v>115.92740743</v>
          </cell>
          <cell r="T578">
            <v>119.4052296529</v>
          </cell>
        </row>
        <row r="579">
          <cell r="K579" t="str">
            <v>IndiaConsultingGTIN LT Industry / Func Skills85NA</v>
          </cell>
          <cell r="L579" t="str">
            <v>Sr. Executive</v>
          </cell>
          <cell r="M579">
            <v>153.33333333333334</v>
          </cell>
          <cell r="N579">
            <v>100</v>
          </cell>
          <cell r="O579">
            <v>103</v>
          </cell>
          <cell r="P579">
            <v>106.09</v>
          </cell>
          <cell r="Q579">
            <v>109.2727</v>
          </cell>
          <cell r="R579">
            <v>112.550881</v>
          </cell>
          <cell r="S579">
            <v>115.92740743</v>
          </cell>
          <cell r="T579">
            <v>119.4052296529</v>
          </cell>
        </row>
        <row r="580">
          <cell r="K580" t="str">
            <v>IndiaConsultingGTIN LT Industry / Func Skills86NA</v>
          </cell>
          <cell r="L580" t="str">
            <v>Sr. Executive</v>
          </cell>
          <cell r="M580">
            <v>153.33333333333334</v>
          </cell>
          <cell r="N580">
            <v>100</v>
          </cell>
          <cell r="O580">
            <v>103</v>
          </cell>
          <cell r="P580">
            <v>106.09</v>
          </cell>
          <cell r="Q580">
            <v>109.2727</v>
          </cell>
          <cell r="R580">
            <v>112.550881</v>
          </cell>
          <cell r="S580">
            <v>115.92740743</v>
          </cell>
          <cell r="T580">
            <v>119.4052296529</v>
          </cell>
        </row>
        <row r="581">
          <cell r="K581" t="str">
            <v>IndiaConsultingGTIN LT Industry / Func Skills87NA</v>
          </cell>
          <cell r="L581" t="str">
            <v>Sr. Executive</v>
          </cell>
          <cell r="M581">
            <v>153.33333333333334</v>
          </cell>
          <cell r="N581">
            <v>100</v>
          </cell>
          <cell r="O581">
            <v>103</v>
          </cell>
          <cell r="P581">
            <v>106.09</v>
          </cell>
          <cell r="Q581">
            <v>109.2727</v>
          </cell>
          <cell r="R581">
            <v>112.550881</v>
          </cell>
          <cell r="S581">
            <v>115.92740743</v>
          </cell>
          <cell r="T581">
            <v>119.4052296529</v>
          </cell>
        </row>
        <row r="582">
          <cell r="K582" t="str">
            <v>IndiaConsultingGTIN LT Industry / Func Skills88NA</v>
          </cell>
          <cell r="L582" t="str">
            <v>Sr. Executive</v>
          </cell>
          <cell r="M582">
            <v>153.33333333333334</v>
          </cell>
          <cell r="N582">
            <v>100</v>
          </cell>
          <cell r="O582">
            <v>103</v>
          </cell>
          <cell r="P582">
            <v>106.09</v>
          </cell>
          <cell r="Q582">
            <v>109.2727</v>
          </cell>
          <cell r="R582">
            <v>112.550881</v>
          </cell>
          <cell r="S582">
            <v>115.92740743</v>
          </cell>
          <cell r="T582">
            <v>119.4052296529</v>
          </cell>
        </row>
        <row r="583">
          <cell r="K583" t="str">
            <v>IndiaConsultingGTIN LT Industry / Func Skills89NA</v>
          </cell>
          <cell r="L583" t="str">
            <v>Sr. Executive</v>
          </cell>
          <cell r="M583">
            <v>153.33333333333334</v>
          </cell>
          <cell r="N583">
            <v>100</v>
          </cell>
          <cell r="O583">
            <v>103</v>
          </cell>
          <cell r="P583">
            <v>106.09</v>
          </cell>
          <cell r="Q583">
            <v>109.2727</v>
          </cell>
          <cell r="R583">
            <v>112.550881</v>
          </cell>
          <cell r="S583">
            <v>115.92740743</v>
          </cell>
          <cell r="T583">
            <v>119.4052296529</v>
          </cell>
        </row>
        <row r="584">
          <cell r="K584" t="str">
            <v>IndiaConsultingGTIN LT Industry / Func Skills90NA</v>
          </cell>
          <cell r="L584" t="str">
            <v>Sr. Executive</v>
          </cell>
          <cell r="M584">
            <v>153.33333333333334</v>
          </cell>
          <cell r="N584">
            <v>100</v>
          </cell>
          <cell r="O584">
            <v>103</v>
          </cell>
          <cell r="P584">
            <v>106.09</v>
          </cell>
          <cell r="Q584">
            <v>109.2727</v>
          </cell>
          <cell r="R584">
            <v>112.550881</v>
          </cell>
          <cell r="S584">
            <v>115.92740743</v>
          </cell>
          <cell r="T584">
            <v>119.4052296529</v>
          </cell>
        </row>
        <row r="585">
          <cell r="K585" t="str">
            <v>IndiaConsultingGTIN LT Industry / Func Skills91NA</v>
          </cell>
          <cell r="L585" t="str">
            <v>Sr. Executive</v>
          </cell>
          <cell r="M585">
            <v>153.33333333333334</v>
          </cell>
          <cell r="N585">
            <v>100</v>
          </cell>
          <cell r="O585">
            <v>103</v>
          </cell>
          <cell r="P585">
            <v>106.09</v>
          </cell>
          <cell r="Q585">
            <v>109.2727</v>
          </cell>
          <cell r="R585">
            <v>112.550881</v>
          </cell>
          <cell r="S585">
            <v>115.92740743</v>
          </cell>
          <cell r="T585">
            <v>119.4052296529</v>
          </cell>
        </row>
        <row r="586">
          <cell r="K586" t="str">
            <v>IndiaConsultingGTIN LT Industry / Func Skills92NA</v>
          </cell>
          <cell r="L586" t="str">
            <v>Sr. Executive</v>
          </cell>
          <cell r="M586">
            <v>153.33333333333334</v>
          </cell>
          <cell r="N586">
            <v>100</v>
          </cell>
          <cell r="O586">
            <v>103</v>
          </cell>
          <cell r="P586">
            <v>106.09</v>
          </cell>
          <cell r="Q586">
            <v>109.2727</v>
          </cell>
          <cell r="R586">
            <v>112.550881</v>
          </cell>
          <cell r="S586">
            <v>115.92740743</v>
          </cell>
          <cell r="T586">
            <v>119.4052296529</v>
          </cell>
        </row>
        <row r="587">
          <cell r="K587" t="str">
            <v>IndiaConsultingGTIN LT Industry / Func Skills93NA</v>
          </cell>
          <cell r="L587" t="str">
            <v>Sr. Executive</v>
          </cell>
          <cell r="M587">
            <v>153.33333333333334</v>
          </cell>
          <cell r="N587">
            <v>100</v>
          </cell>
          <cell r="O587">
            <v>103</v>
          </cell>
          <cell r="P587">
            <v>106.09</v>
          </cell>
          <cell r="Q587">
            <v>109.2727</v>
          </cell>
          <cell r="R587">
            <v>112.550881</v>
          </cell>
          <cell r="S587">
            <v>115.92740743</v>
          </cell>
          <cell r="T587">
            <v>119.4052296529</v>
          </cell>
        </row>
        <row r="588">
          <cell r="K588" t="str">
            <v>IndiaConsultingGTIN LT Industry / Func Skills94NA</v>
          </cell>
          <cell r="L588" t="str">
            <v>Sr. Executive</v>
          </cell>
          <cell r="M588">
            <v>153.33333333333334</v>
          </cell>
          <cell r="N588">
            <v>100</v>
          </cell>
          <cell r="O588">
            <v>103</v>
          </cell>
          <cell r="P588">
            <v>106.09</v>
          </cell>
          <cell r="Q588">
            <v>109.2727</v>
          </cell>
          <cell r="R588">
            <v>112.550881</v>
          </cell>
          <cell r="S588">
            <v>115.92740743</v>
          </cell>
          <cell r="T588">
            <v>119.4052296529</v>
          </cell>
        </row>
        <row r="589">
          <cell r="K589" t="str">
            <v>IndiaConsultingGTIN LT Industry / Func Skills95NA</v>
          </cell>
          <cell r="L589" t="str">
            <v>Sr. Executive</v>
          </cell>
          <cell r="M589">
            <v>153.33333333333334</v>
          </cell>
          <cell r="N589">
            <v>100</v>
          </cell>
          <cell r="O589">
            <v>103</v>
          </cell>
          <cell r="P589">
            <v>106.09</v>
          </cell>
          <cell r="Q589">
            <v>109.2727</v>
          </cell>
          <cell r="R589">
            <v>112.550881</v>
          </cell>
          <cell r="S589">
            <v>115.92740743</v>
          </cell>
          <cell r="T589">
            <v>119.4052296529</v>
          </cell>
        </row>
        <row r="590">
          <cell r="K590" t="str">
            <v>IndiaConsultingGTIN LT Industry / Func Skills96NA</v>
          </cell>
          <cell r="L590" t="str">
            <v>Sr. Executive</v>
          </cell>
          <cell r="M590">
            <v>153.33333333333334</v>
          </cell>
          <cell r="N590">
            <v>100</v>
          </cell>
          <cell r="O590">
            <v>103</v>
          </cell>
          <cell r="P590">
            <v>106.09</v>
          </cell>
          <cell r="Q590">
            <v>109.2727</v>
          </cell>
          <cell r="R590">
            <v>112.550881</v>
          </cell>
          <cell r="S590">
            <v>115.92740743</v>
          </cell>
          <cell r="T590">
            <v>119.4052296529</v>
          </cell>
        </row>
        <row r="591">
          <cell r="K591" t="str">
            <v>IndiaConsultingGTIN LT Industry / Func Skills67NA</v>
          </cell>
          <cell r="L591" t="str">
            <v>Sr. Manager</v>
          </cell>
          <cell r="M591">
            <v>153.33333333333334</v>
          </cell>
          <cell r="N591">
            <v>100</v>
          </cell>
          <cell r="O591">
            <v>103</v>
          </cell>
          <cell r="P591">
            <v>106.09</v>
          </cell>
          <cell r="Q591">
            <v>109.2727</v>
          </cell>
          <cell r="R591">
            <v>112.550881</v>
          </cell>
          <cell r="S591">
            <v>115.92740743</v>
          </cell>
          <cell r="T591">
            <v>119.4052296529</v>
          </cell>
        </row>
        <row r="592">
          <cell r="K592" t="str">
            <v>IndiaConsultingGTIN LT Industry / Func Skills68NA</v>
          </cell>
          <cell r="L592" t="str">
            <v>Sr. Manager</v>
          </cell>
          <cell r="M592">
            <v>153.33333333333334</v>
          </cell>
          <cell r="N592">
            <v>100</v>
          </cell>
          <cell r="O592">
            <v>103</v>
          </cell>
          <cell r="P592">
            <v>106.09</v>
          </cell>
          <cell r="Q592">
            <v>109.2727</v>
          </cell>
          <cell r="R592">
            <v>112.550881</v>
          </cell>
          <cell r="S592">
            <v>115.92740743</v>
          </cell>
          <cell r="T592">
            <v>119.4052296529</v>
          </cell>
        </row>
        <row r="593">
          <cell r="K593" t="str">
            <v>IndiaConsultingGTIN LT Industry / Func Skills69NA</v>
          </cell>
          <cell r="L593" t="str">
            <v>Sr. Manager</v>
          </cell>
          <cell r="M593">
            <v>153.33333333333334</v>
          </cell>
          <cell r="N593">
            <v>100</v>
          </cell>
          <cell r="O593">
            <v>103</v>
          </cell>
          <cell r="P593">
            <v>106.09</v>
          </cell>
          <cell r="Q593">
            <v>109.2727</v>
          </cell>
          <cell r="R593">
            <v>112.550881</v>
          </cell>
          <cell r="S593">
            <v>115.92740743</v>
          </cell>
          <cell r="T593">
            <v>119.4052296529</v>
          </cell>
        </row>
        <row r="594">
          <cell r="K594" t="str">
            <v>IndiaConsultingGTIN LT Industry / Func Skills70NA</v>
          </cell>
          <cell r="L594" t="str">
            <v>Sr. Manager</v>
          </cell>
          <cell r="M594">
            <v>153.33333333333334</v>
          </cell>
          <cell r="N594">
            <v>100</v>
          </cell>
          <cell r="O594">
            <v>103</v>
          </cell>
          <cell r="P594">
            <v>106.09</v>
          </cell>
          <cell r="Q594">
            <v>109.2727</v>
          </cell>
          <cell r="R594">
            <v>112.550881</v>
          </cell>
          <cell r="S594">
            <v>115.92740743</v>
          </cell>
          <cell r="T594">
            <v>119.4052296529</v>
          </cell>
        </row>
        <row r="595">
          <cell r="K595" t="str">
            <v>IndiaConsultingGTIN LT Strat / Ops Skills34NA</v>
          </cell>
          <cell r="L595" t="str">
            <v>Analyst</v>
          </cell>
          <cell r="M595">
            <v>153.33333333333334</v>
          </cell>
          <cell r="N595">
            <v>100</v>
          </cell>
          <cell r="O595">
            <v>103</v>
          </cell>
          <cell r="P595">
            <v>106.09</v>
          </cell>
          <cell r="Q595">
            <v>109.2727</v>
          </cell>
          <cell r="R595">
            <v>112.550881</v>
          </cell>
          <cell r="S595">
            <v>115.92740743</v>
          </cell>
          <cell r="T595">
            <v>119.4052296529</v>
          </cell>
        </row>
        <row r="596">
          <cell r="K596" t="str">
            <v>IndiaConsultingGTIN LT Strat / Ops Skills35NA</v>
          </cell>
          <cell r="L596" t="str">
            <v>Analyst</v>
          </cell>
          <cell r="M596">
            <v>153.33333333333334</v>
          </cell>
          <cell r="N596">
            <v>100</v>
          </cell>
          <cell r="O596">
            <v>103</v>
          </cell>
          <cell r="P596">
            <v>106.09</v>
          </cell>
          <cell r="Q596">
            <v>109.2727</v>
          </cell>
          <cell r="R596">
            <v>112.550881</v>
          </cell>
          <cell r="S596">
            <v>115.92740743</v>
          </cell>
          <cell r="T596">
            <v>119.4052296529</v>
          </cell>
        </row>
        <row r="597">
          <cell r="K597" t="str">
            <v>IndiaConsultingGTIN LT Strat / Ops Skills55NA</v>
          </cell>
          <cell r="L597" t="str">
            <v>Consultant</v>
          </cell>
          <cell r="M597">
            <v>153.33333333333334</v>
          </cell>
          <cell r="N597">
            <v>100</v>
          </cell>
          <cell r="O597">
            <v>103</v>
          </cell>
          <cell r="P597">
            <v>106.09</v>
          </cell>
          <cell r="Q597">
            <v>109.2727</v>
          </cell>
          <cell r="R597">
            <v>112.550881</v>
          </cell>
          <cell r="S597">
            <v>115.92740743</v>
          </cell>
          <cell r="T597">
            <v>119.4052296529</v>
          </cell>
        </row>
        <row r="598">
          <cell r="K598" t="str">
            <v>IndiaConsultingGTIN LT Strat / Ops Skills56NA</v>
          </cell>
          <cell r="L598" t="str">
            <v>Consultant</v>
          </cell>
          <cell r="M598">
            <v>153.33333333333334</v>
          </cell>
          <cell r="N598">
            <v>100</v>
          </cell>
          <cell r="O598">
            <v>103</v>
          </cell>
          <cell r="P598">
            <v>106.09</v>
          </cell>
          <cell r="Q598">
            <v>109.2727</v>
          </cell>
          <cell r="R598">
            <v>112.550881</v>
          </cell>
          <cell r="S598">
            <v>115.92740743</v>
          </cell>
          <cell r="T598">
            <v>119.4052296529</v>
          </cell>
        </row>
        <row r="599">
          <cell r="K599" t="str">
            <v>IndiaConsultingGTIN LT Strat / Ops Skills57NA</v>
          </cell>
          <cell r="L599" t="str">
            <v>Consultant</v>
          </cell>
          <cell r="M599">
            <v>153.33333333333334</v>
          </cell>
          <cell r="N599">
            <v>100</v>
          </cell>
          <cell r="O599">
            <v>103</v>
          </cell>
          <cell r="P599">
            <v>106.09</v>
          </cell>
          <cell r="Q599">
            <v>109.2727</v>
          </cell>
          <cell r="R599">
            <v>112.550881</v>
          </cell>
          <cell r="S599">
            <v>115.92740743</v>
          </cell>
          <cell r="T599">
            <v>119.4052296529</v>
          </cell>
        </row>
        <row r="600">
          <cell r="K600" t="str">
            <v>IndiaConsultingGTIN LT Strat / Ops Skills63NA</v>
          </cell>
          <cell r="L600" t="str">
            <v>Manager</v>
          </cell>
          <cell r="M600">
            <v>153.33333333333334</v>
          </cell>
          <cell r="N600">
            <v>100</v>
          </cell>
          <cell r="O600">
            <v>103</v>
          </cell>
          <cell r="P600">
            <v>106.09</v>
          </cell>
          <cell r="Q600">
            <v>109.2727</v>
          </cell>
          <cell r="R600">
            <v>112.550881</v>
          </cell>
          <cell r="S600">
            <v>115.92740743</v>
          </cell>
          <cell r="T600">
            <v>119.4052296529</v>
          </cell>
        </row>
        <row r="601">
          <cell r="K601" t="str">
            <v>IndiaConsultingGTIN LT Strat / Ops Skills64NA</v>
          </cell>
          <cell r="L601" t="str">
            <v>Manager</v>
          </cell>
          <cell r="M601">
            <v>153.33333333333334</v>
          </cell>
          <cell r="N601">
            <v>100</v>
          </cell>
          <cell r="O601">
            <v>103</v>
          </cell>
          <cell r="P601">
            <v>106.09</v>
          </cell>
          <cell r="Q601">
            <v>109.2727</v>
          </cell>
          <cell r="R601">
            <v>112.550881</v>
          </cell>
          <cell r="S601">
            <v>115.92740743</v>
          </cell>
          <cell r="T601">
            <v>119.4052296529</v>
          </cell>
        </row>
        <row r="602">
          <cell r="K602" t="str">
            <v>IndiaConsultingGTIN LT Strat / Ops Skills65NA</v>
          </cell>
          <cell r="L602" t="str">
            <v>Manager</v>
          </cell>
          <cell r="M602">
            <v>153.33333333333334</v>
          </cell>
          <cell r="N602">
            <v>100</v>
          </cell>
          <cell r="O602">
            <v>103</v>
          </cell>
          <cell r="P602">
            <v>106.09</v>
          </cell>
          <cell r="Q602">
            <v>109.2727</v>
          </cell>
          <cell r="R602">
            <v>112.550881</v>
          </cell>
          <cell r="S602">
            <v>115.92740743</v>
          </cell>
          <cell r="T602">
            <v>119.4052296529</v>
          </cell>
        </row>
        <row r="603">
          <cell r="K603" t="str">
            <v>IndiaConsultingGTIN LT Strat / Ops Skills66NA</v>
          </cell>
          <cell r="L603" t="str">
            <v>Manager</v>
          </cell>
          <cell r="M603">
            <v>153.33333333333334</v>
          </cell>
          <cell r="N603">
            <v>100</v>
          </cell>
          <cell r="O603">
            <v>103</v>
          </cell>
          <cell r="P603">
            <v>106.09</v>
          </cell>
          <cell r="Q603">
            <v>109.2727</v>
          </cell>
          <cell r="R603">
            <v>112.550881</v>
          </cell>
          <cell r="S603">
            <v>115.92740743</v>
          </cell>
          <cell r="T603">
            <v>119.4052296529</v>
          </cell>
        </row>
        <row r="604">
          <cell r="K604" t="str">
            <v>IndiaConsultingGTIN LT Strat / Ops Skills80NA</v>
          </cell>
          <cell r="L604" t="str">
            <v>Sr. Executive</v>
          </cell>
          <cell r="M604">
            <v>153.33333333333334</v>
          </cell>
          <cell r="N604">
            <v>100</v>
          </cell>
          <cell r="O604">
            <v>103</v>
          </cell>
          <cell r="P604">
            <v>106.09</v>
          </cell>
          <cell r="Q604">
            <v>109.2727</v>
          </cell>
          <cell r="R604">
            <v>112.550881</v>
          </cell>
          <cell r="S604">
            <v>115.92740743</v>
          </cell>
          <cell r="T604">
            <v>119.4052296529</v>
          </cell>
        </row>
        <row r="605">
          <cell r="K605" t="str">
            <v>IndiaConsultingGTIN LT Strat / Ops Skills81NA</v>
          </cell>
          <cell r="L605" t="str">
            <v>Sr. Executive</v>
          </cell>
          <cell r="M605">
            <v>153.33333333333334</v>
          </cell>
          <cell r="N605">
            <v>100</v>
          </cell>
          <cell r="O605">
            <v>103</v>
          </cell>
          <cell r="P605">
            <v>106.09</v>
          </cell>
          <cell r="Q605">
            <v>109.2727</v>
          </cell>
          <cell r="R605">
            <v>112.550881</v>
          </cell>
          <cell r="S605">
            <v>115.92740743</v>
          </cell>
          <cell r="T605">
            <v>119.4052296529</v>
          </cell>
        </row>
        <row r="606">
          <cell r="K606" t="str">
            <v>IndiaConsultingGTIN LT Strat / Ops Skills82NA</v>
          </cell>
          <cell r="L606" t="str">
            <v>Sr. Executive</v>
          </cell>
          <cell r="M606">
            <v>153.33333333333334</v>
          </cell>
          <cell r="N606">
            <v>100</v>
          </cell>
          <cell r="O606">
            <v>103</v>
          </cell>
          <cell r="P606">
            <v>106.09</v>
          </cell>
          <cell r="Q606">
            <v>109.2727</v>
          </cell>
          <cell r="R606">
            <v>112.550881</v>
          </cell>
          <cell r="S606">
            <v>115.92740743</v>
          </cell>
          <cell r="T606">
            <v>119.4052296529</v>
          </cell>
        </row>
        <row r="607">
          <cell r="K607" t="str">
            <v>IndiaConsultingGTIN LT Strat / Ops Skills83NA</v>
          </cell>
          <cell r="L607" t="str">
            <v>Sr. Executive</v>
          </cell>
          <cell r="M607">
            <v>153.33333333333334</v>
          </cell>
          <cell r="N607">
            <v>100</v>
          </cell>
          <cell r="O607">
            <v>103</v>
          </cell>
          <cell r="P607">
            <v>106.09</v>
          </cell>
          <cell r="Q607">
            <v>109.2727</v>
          </cell>
          <cell r="R607">
            <v>112.550881</v>
          </cell>
          <cell r="S607">
            <v>115.92740743</v>
          </cell>
          <cell r="T607">
            <v>119.4052296529</v>
          </cell>
        </row>
        <row r="608">
          <cell r="K608" t="str">
            <v>IndiaConsultingGTIN LT Strat / Ops Skills84NA</v>
          </cell>
          <cell r="L608" t="str">
            <v>Sr. Executive</v>
          </cell>
          <cell r="M608">
            <v>153.33333333333334</v>
          </cell>
          <cell r="N608">
            <v>100</v>
          </cell>
          <cell r="O608">
            <v>103</v>
          </cell>
          <cell r="P608">
            <v>106.09</v>
          </cell>
          <cell r="Q608">
            <v>109.2727</v>
          </cell>
          <cell r="R608">
            <v>112.550881</v>
          </cell>
          <cell r="S608">
            <v>115.92740743</v>
          </cell>
          <cell r="T608">
            <v>119.4052296529</v>
          </cell>
        </row>
        <row r="609">
          <cell r="K609" t="str">
            <v>IndiaConsultingGTIN LT Strat / Ops Skills85NA</v>
          </cell>
          <cell r="L609" t="str">
            <v>Sr. Executive</v>
          </cell>
          <cell r="M609">
            <v>153.33333333333334</v>
          </cell>
          <cell r="N609">
            <v>100</v>
          </cell>
          <cell r="O609">
            <v>103</v>
          </cell>
          <cell r="P609">
            <v>106.09</v>
          </cell>
          <cell r="Q609">
            <v>109.2727</v>
          </cell>
          <cell r="R609">
            <v>112.550881</v>
          </cell>
          <cell r="S609">
            <v>115.92740743</v>
          </cell>
          <cell r="T609">
            <v>119.4052296529</v>
          </cell>
        </row>
        <row r="610">
          <cell r="K610" t="str">
            <v>IndiaConsultingGTIN LT Strat / Ops Skills86NA</v>
          </cell>
          <cell r="L610" t="str">
            <v>Sr. Executive</v>
          </cell>
          <cell r="M610">
            <v>153.33333333333334</v>
          </cell>
          <cell r="N610">
            <v>100</v>
          </cell>
          <cell r="O610">
            <v>103</v>
          </cell>
          <cell r="P610">
            <v>106.09</v>
          </cell>
          <cell r="Q610">
            <v>109.2727</v>
          </cell>
          <cell r="R610">
            <v>112.550881</v>
          </cell>
          <cell r="S610">
            <v>115.92740743</v>
          </cell>
          <cell r="T610">
            <v>119.4052296529</v>
          </cell>
        </row>
        <row r="611">
          <cell r="K611" t="str">
            <v>IndiaConsultingGTIN LT Strat / Ops Skills87NA</v>
          </cell>
          <cell r="L611" t="str">
            <v>Sr. Executive</v>
          </cell>
          <cell r="M611">
            <v>153.33333333333334</v>
          </cell>
          <cell r="N611">
            <v>100</v>
          </cell>
          <cell r="O611">
            <v>103</v>
          </cell>
          <cell r="P611">
            <v>106.09</v>
          </cell>
          <cell r="Q611">
            <v>109.2727</v>
          </cell>
          <cell r="R611">
            <v>112.550881</v>
          </cell>
          <cell r="S611">
            <v>115.92740743</v>
          </cell>
          <cell r="T611">
            <v>119.4052296529</v>
          </cell>
        </row>
        <row r="612">
          <cell r="K612" t="str">
            <v>IndiaConsultingGTIN LT Strat / Ops Skills88NA</v>
          </cell>
          <cell r="L612" t="str">
            <v>Sr. Executive</v>
          </cell>
          <cell r="M612">
            <v>153.33333333333334</v>
          </cell>
          <cell r="N612">
            <v>100</v>
          </cell>
          <cell r="O612">
            <v>103</v>
          </cell>
          <cell r="P612">
            <v>106.09</v>
          </cell>
          <cell r="Q612">
            <v>109.2727</v>
          </cell>
          <cell r="R612">
            <v>112.550881</v>
          </cell>
          <cell r="S612">
            <v>115.92740743</v>
          </cell>
          <cell r="T612">
            <v>119.4052296529</v>
          </cell>
        </row>
        <row r="613">
          <cell r="K613" t="str">
            <v>IndiaConsultingGTIN LT Strat / Ops Skills89NA</v>
          </cell>
          <cell r="L613" t="str">
            <v>Sr. Executive</v>
          </cell>
          <cell r="M613">
            <v>153.33333333333334</v>
          </cell>
          <cell r="N613">
            <v>100</v>
          </cell>
          <cell r="O613">
            <v>103</v>
          </cell>
          <cell r="P613">
            <v>106.09</v>
          </cell>
          <cell r="Q613">
            <v>109.2727</v>
          </cell>
          <cell r="R613">
            <v>112.550881</v>
          </cell>
          <cell r="S613">
            <v>115.92740743</v>
          </cell>
          <cell r="T613">
            <v>119.4052296529</v>
          </cell>
        </row>
        <row r="614">
          <cell r="K614" t="str">
            <v>IndiaConsultingGTIN LT Strat / Ops Skills90NA</v>
          </cell>
          <cell r="L614" t="str">
            <v>Sr. Executive</v>
          </cell>
          <cell r="M614">
            <v>153.33333333333334</v>
          </cell>
          <cell r="N614">
            <v>100</v>
          </cell>
          <cell r="O614">
            <v>103</v>
          </cell>
          <cell r="P614">
            <v>106.09</v>
          </cell>
          <cell r="Q614">
            <v>109.2727</v>
          </cell>
          <cell r="R614">
            <v>112.550881</v>
          </cell>
          <cell r="S614">
            <v>115.92740743</v>
          </cell>
          <cell r="T614">
            <v>119.4052296529</v>
          </cell>
        </row>
        <row r="615">
          <cell r="K615" t="str">
            <v>IndiaConsultingGTIN LT Strat / Ops Skills91NA</v>
          </cell>
          <cell r="L615" t="str">
            <v>Sr. Executive</v>
          </cell>
          <cell r="M615">
            <v>153.33333333333334</v>
          </cell>
          <cell r="N615">
            <v>100</v>
          </cell>
          <cell r="O615">
            <v>103</v>
          </cell>
          <cell r="P615">
            <v>106.09</v>
          </cell>
          <cell r="Q615">
            <v>109.2727</v>
          </cell>
          <cell r="R615">
            <v>112.550881</v>
          </cell>
          <cell r="S615">
            <v>115.92740743</v>
          </cell>
          <cell r="T615">
            <v>119.4052296529</v>
          </cell>
        </row>
        <row r="616">
          <cell r="K616" t="str">
            <v>IndiaConsultingGTIN LT Strat / Ops Skills92NA</v>
          </cell>
          <cell r="L616" t="str">
            <v>Sr. Executive</v>
          </cell>
          <cell r="M616">
            <v>153.33333333333334</v>
          </cell>
          <cell r="N616">
            <v>100</v>
          </cell>
          <cell r="O616">
            <v>103</v>
          </cell>
          <cell r="P616">
            <v>106.09</v>
          </cell>
          <cell r="Q616">
            <v>109.2727</v>
          </cell>
          <cell r="R616">
            <v>112.550881</v>
          </cell>
          <cell r="S616">
            <v>115.92740743</v>
          </cell>
          <cell r="T616">
            <v>119.4052296529</v>
          </cell>
        </row>
        <row r="617">
          <cell r="K617" t="str">
            <v>IndiaConsultingGTIN LT Strat / Ops Skills93NA</v>
          </cell>
          <cell r="L617" t="str">
            <v>Sr. Executive</v>
          </cell>
          <cell r="M617">
            <v>153.33333333333334</v>
          </cell>
          <cell r="N617">
            <v>100</v>
          </cell>
          <cell r="O617">
            <v>103</v>
          </cell>
          <cell r="P617">
            <v>106.09</v>
          </cell>
          <cell r="Q617">
            <v>109.2727</v>
          </cell>
          <cell r="R617">
            <v>112.550881</v>
          </cell>
          <cell r="S617">
            <v>115.92740743</v>
          </cell>
          <cell r="T617">
            <v>119.4052296529</v>
          </cell>
        </row>
        <row r="618">
          <cell r="K618" t="str">
            <v>IndiaConsultingGTIN LT Strat / Ops Skills94NA</v>
          </cell>
          <cell r="L618" t="str">
            <v>Sr. Executive</v>
          </cell>
          <cell r="M618">
            <v>153.33333333333334</v>
          </cell>
          <cell r="N618">
            <v>100</v>
          </cell>
          <cell r="O618">
            <v>103</v>
          </cell>
          <cell r="P618">
            <v>106.09</v>
          </cell>
          <cell r="Q618">
            <v>109.2727</v>
          </cell>
          <cell r="R618">
            <v>112.550881</v>
          </cell>
          <cell r="S618">
            <v>115.92740743</v>
          </cell>
          <cell r="T618">
            <v>119.4052296529</v>
          </cell>
        </row>
        <row r="619">
          <cell r="K619" t="str">
            <v>IndiaConsultingGTIN LT Strat / Ops Skills95NA</v>
          </cell>
          <cell r="L619" t="str">
            <v>Sr. Executive</v>
          </cell>
          <cell r="M619">
            <v>153.33333333333334</v>
          </cell>
          <cell r="N619">
            <v>100</v>
          </cell>
          <cell r="O619">
            <v>103</v>
          </cell>
          <cell r="P619">
            <v>106.09</v>
          </cell>
          <cell r="Q619">
            <v>109.2727</v>
          </cell>
          <cell r="R619">
            <v>112.550881</v>
          </cell>
          <cell r="S619">
            <v>115.92740743</v>
          </cell>
          <cell r="T619">
            <v>119.4052296529</v>
          </cell>
        </row>
        <row r="620">
          <cell r="K620" t="str">
            <v>IndiaConsultingGTIN LT Strat / Ops Skills96NA</v>
          </cell>
          <cell r="L620" t="str">
            <v>Sr. Executive</v>
          </cell>
          <cell r="M620">
            <v>153.33333333333334</v>
          </cell>
          <cell r="N620">
            <v>100</v>
          </cell>
          <cell r="O620">
            <v>103</v>
          </cell>
          <cell r="P620">
            <v>106.09</v>
          </cell>
          <cell r="Q620">
            <v>109.2727</v>
          </cell>
          <cell r="R620">
            <v>112.550881</v>
          </cell>
          <cell r="S620">
            <v>115.92740743</v>
          </cell>
          <cell r="T620">
            <v>119.4052296529</v>
          </cell>
        </row>
        <row r="621">
          <cell r="K621" t="str">
            <v>IndiaConsultingGTIN LT Strat / Ops Skills71NA</v>
          </cell>
          <cell r="L621" t="str">
            <v>Sr. Manager</v>
          </cell>
          <cell r="M621">
            <v>153.33333333333334</v>
          </cell>
          <cell r="N621">
            <v>100</v>
          </cell>
          <cell r="O621">
            <v>103</v>
          </cell>
          <cell r="P621">
            <v>106.09</v>
          </cell>
          <cell r="Q621">
            <v>109.2727</v>
          </cell>
          <cell r="R621">
            <v>112.550881</v>
          </cell>
          <cell r="S621">
            <v>115.92740743</v>
          </cell>
          <cell r="T621">
            <v>119.4052296529</v>
          </cell>
        </row>
        <row r="622">
          <cell r="K622" t="str">
            <v>IndiaConsultingGTIN LT Strat / Ops Skills72NA</v>
          </cell>
          <cell r="L622" t="str">
            <v>Sr. Manager</v>
          </cell>
          <cell r="M622">
            <v>153.33333333333334</v>
          </cell>
          <cell r="N622">
            <v>100</v>
          </cell>
          <cell r="O622">
            <v>103</v>
          </cell>
          <cell r="P622">
            <v>106.09</v>
          </cell>
          <cell r="Q622">
            <v>109.2727</v>
          </cell>
          <cell r="R622">
            <v>112.550881</v>
          </cell>
          <cell r="S622">
            <v>115.92740743</v>
          </cell>
          <cell r="T622">
            <v>119.4052296529</v>
          </cell>
        </row>
        <row r="623">
          <cell r="K623" t="str">
            <v>IndiaConsultingGTIN ST Analytics30NA</v>
          </cell>
          <cell r="L623" t="str">
            <v>Analyst</v>
          </cell>
          <cell r="M623">
            <v>153.33333333333334</v>
          </cell>
          <cell r="N623">
            <v>100</v>
          </cell>
          <cell r="O623">
            <v>103</v>
          </cell>
          <cell r="P623">
            <v>106.09</v>
          </cell>
          <cell r="Q623">
            <v>109.2727</v>
          </cell>
          <cell r="R623">
            <v>112.550881</v>
          </cell>
          <cell r="S623">
            <v>115.92740743</v>
          </cell>
          <cell r="T623">
            <v>119.4052296529</v>
          </cell>
        </row>
        <row r="624">
          <cell r="K624" t="str">
            <v>IndiaConsultingGTIN ST Analytics31NA</v>
          </cell>
          <cell r="L624" t="str">
            <v>Analyst</v>
          </cell>
          <cell r="M624">
            <v>153.33333333333334</v>
          </cell>
          <cell r="N624">
            <v>100</v>
          </cell>
          <cell r="O624">
            <v>103</v>
          </cell>
          <cell r="P624">
            <v>106.09</v>
          </cell>
          <cell r="Q624">
            <v>109.2727</v>
          </cell>
          <cell r="R624">
            <v>112.550881</v>
          </cell>
          <cell r="S624">
            <v>115.92740743</v>
          </cell>
          <cell r="T624">
            <v>119.4052296529</v>
          </cell>
        </row>
        <row r="625">
          <cell r="K625" t="str">
            <v>IndiaConsultingGTIN ST Analytics32NA</v>
          </cell>
          <cell r="L625" t="str">
            <v>Analyst</v>
          </cell>
          <cell r="M625">
            <v>153.33333333333334</v>
          </cell>
          <cell r="N625">
            <v>100</v>
          </cell>
          <cell r="O625">
            <v>103</v>
          </cell>
          <cell r="P625">
            <v>106.09</v>
          </cell>
          <cell r="Q625">
            <v>109.2727</v>
          </cell>
          <cell r="R625">
            <v>112.550881</v>
          </cell>
          <cell r="S625">
            <v>115.92740743</v>
          </cell>
          <cell r="T625">
            <v>119.4052296529</v>
          </cell>
        </row>
        <row r="626">
          <cell r="K626" t="str">
            <v>IndiaConsultingGTIN ST Analytics51NA</v>
          </cell>
          <cell r="L626" t="str">
            <v>Consultant</v>
          </cell>
          <cell r="M626">
            <v>153.33333333333334</v>
          </cell>
          <cell r="N626">
            <v>100</v>
          </cell>
          <cell r="O626">
            <v>103</v>
          </cell>
          <cell r="P626">
            <v>106.09</v>
          </cell>
          <cell r="Q626">
            <v>109.2727</v>
          </cell>
          <cell r="R626">
            <v>112.550881</v>
          </cell>
          <cell r="S626">
            <v>115.92740743</v>
          </cell>
          <cell r="T626">
            <v>119.4052296529</v>
          </cell>
        </row>
        <row r="627">
          <cell r="K627" t="str">
            <v>IndiaConsultingGTIN ST Analytics52NA</v>
          </cell>
          <cell r="L627" t="str">
            <v>Consultant</v>
          </cell>
          <cell r="M627">
            <v>153.33333333333334</v>
          </cell>
          <cell r="N627">
            <v>100</v>
          </cell>
          <cell r="O627">
            <v>103</v>
          </cell>
          <cell r="P627">
            <v>106.09</v>
          </cell>
          <cell r="Q627">
            <v>109.2727</v>
          </cell>
          <cell r="R627">
            <v>112.550881</v>
          </cell>
          <cell r="S627">
            <v>115.92740743</v>
          </cell>
          <cell r="T627">
            <v>119.4052296529</v>
          </cell>
        </row>
        <row r="628">
          <cell r="K628" t="str">
            <v>IndiaConsultingGTIN ST Analytics53NA</v>
          </cell>
          <cell r="L628" t="str">
            <v>Consultant</v>
          </cell>
          <cell r="M628">
            <v>153.33333333333334</v>
          </cell>
          <cell r="N628">
            <v>100</v>
          </cell>
          <cell r="O628">
            <v>103</v>
          </cell>
          <cell r="P628">
            <v>106.09</v>
          </cell>
          <cell r="Q628">
            <v>109.2727</v>
          </cell>
          <cell r="R628">
            <v>112.550881</v>
          </cell>
          <cell r="S628">
            <v>115.92740743</v>
          </cell>
          <cell r="T628">
            <v>119.4052296529</v>
          </cell>
        </row>
        <row r="629">
          <cell r="K629" t="str">
            <v>IndiaConsultingGTIN ST Analytics54NA</v>
          </cell>
          <cell r="L629" t="str">
            <v>Consultant</v>
          </cell>
          <cell r="M629">
            <v>153.33333333333334</v>
          </cell>
          <cell r="N629">
            <v>100</v>
          </cell>
          <cell r="O629">
            <v>103</v>
          </cell>
          <cell r="P629">
            <v>106.09</v>
          </cell>
          <cell r="Q629">
            <v>109.2727</v>
          </cell>
          <cell r="R629">
            <v>112.550881</v>
          </cell>
          <cell r="S629">
            <v>115.92740743</v>
          </cell>
          <cell r="T629">
            <v>119.4052296529</v>
          </cell>
        </row>
        <row r="630">
          <cell r="K630" t="str">
            <v>IndiaConsultingGTIN ST Analytics60NA</v>
          </cell>
          <cell r="L630" t="str">
            <v>Manager</v>
          </cell>
          <cell r="M630">
            <v>153.33333333333334</v>
          </cell>
          <cell r="N630">
            <v>100</v>
          </cell>
          <cell r="O630">
            <v>103</v>
          </cell>
          <cell r="P630">
            <v>106.09</v>
          </cell>
          <cell r="Q630">
            <v>109.2727</v>
          </cell>
          <cell r="R630">
            <v>112.550881</v>
          </cell>
          <cell r="S630">
            <v>115.92740743</v>
          </cell>
          <cell r="T630">
            <v>119.4052296529</v>
          </cell>
        </row>
        <row r="631">
          <cell r="K631" t="str">
            <v>IndiaConsultingGTIN ST Analytics61NA</v>
          </cell>
          <cell r="L631" t="str">
            <v>Manager</v>
          </cell>
          <cell r="M631">
            <v>153.33333333333334</v>
          </cell>
          <cell r="N631">
            <v>100</v>
          </cell>
          <cell r="O631">
            <v>103</v>
          </cell>
          <cell r="P631">
            <v>106.09</v>
          </cell>
          <cell r="Q631">
            <v>109.2727</v>
          </cell>
          <cell r="R631">
            <v>112.550881</v>
          </cell>
          <cell r="S631">
            <v>115.92740743</v>
          </cell>
          <cell r="T631">
            <v>119.4052296529</v>
          </cell>
        </row>
        <row r="632">
          <cell r="K632" t="str">
            <v>IndiaConsultingGTIN ST Analytics62NA</v>
          </cell>
          <cell r="L632" t="str">
            <v>Manager</v>
          </cell>
          <cell r="M632">
            <v>153.33333333333334</v>
          </cell>
          <cell r="N632">
            <v>100</v>
          </cell>
          <cell r="O632">
            <v>103</v>
          </cell>
          <cell r="P632">
            <v>106.09</v>
          </cell>
          <cell r="Q632">
            <v>109.2727</v>
          </cell>
          <cell r="R632">
            <v>112.550881</v>
          </cell>
          <cell r="S632">
            <v>115.92740743</v>
          </cell>
          <cell r="T632">
            <v>119.4052296529</v>
          </cell>
        </row>
        <row r="633">
          <cell r="K633" t="str">
            <v>IndiaConsultingGTIN ST Analytics63NA</v>
          </cell>
          <cell r="L633" t="str">
            <v>Manager</v>
          </cell>
          <cell r="M633">
            <v>153.33333333333334</v>
          </cell>
          <cell r="N633">
            <v>100</v>
          </cell>
          <cell r="O633">
            <v>103</v>
          </cell>
          <cell r="P633">
            <v>106.09</v>
          </cell>
          <cell r="Q633">
            <v>109.2727</v>
          </cell>
          <cell r="R633">
            <v>112.550881</v>
          </cell>
          <cell r="S633">
            <v>115.92740743</v>
          </cell>
          <cell r="T633">
            <v>119.4052296529</v>
          </cell>
        </row>
        <row r="634">
          <cell r="K634" t="str">
            <v>IndiaConsultingGTIN ST Analytics80NA</v>
          </cell>
          <cell r="L634" t="str">
            <v>Sr. Executive</v>
          </cell>
          <cell r="M634">
            <v>153.33333333333334</v>
          </cell>
          <cell r="N634">
            <v>100</v>
          </cell>
          <cell r="O634">
            <v>103</v>
          </cell>
          <cell r="P634">
            <v>106.09</v>
          </cell>
          <cell r="Q634">
            <v>109.2727</v>
          </cell>
          <cell r="R634">
            <v>112.550881</v>
          </cell>
          <cell r="S634">
            <v>115.92740743</v>
          </cell>
          <cell r="T634">
            <v>119.4052296529</v>
          </cell>
        </row>
        <row r="635">
          <cell r="K635" t="str">
            <v>IndiaConsultingGTIN ST Analytics81NA</v>
          </cell>
          <cell r="L635" t="str">
            <v>Sr. Executive</v>
          </cell>
          <cell r="M635">
            <v>153.33333333333334</v>
          </cell>
          <cell r="N635">
            <v>100</v>
          </cell>
          <cell r="O635">
            <v>103</v>
          </cell>
          <cell r="P635">
            <v>106.09</v>
          </cell>
          <cell r="Q635">
            <v>109.2727</v>
          </cell>
          <cell r="R635">
            <v>112.550881</v>
          </cell>
          <cell r="S635">
            <v>115.92740743</v>
          </cell>
          <cell r="T635">
            <v>119.4052296529</v>
          </cell>
        </row>
        <row r="636">
          <cell r="K636" t="str">
            <v>IndiaConsultingGTIN ST Analytics82NA</v>
          </cell>
          <cell r="L636" t="str">
            <v>Sr. Executive</v>
          </cell>
          <cell r="M636">
            <v>153.33333333333334</v>
          </cell>
          <cell r="N636">
            <v>100</v>
          </cell>
          <cell r="O636">
            <v>103</v>
          </cell>
          <cell r="P636">
            <v>106.09</v>
          </cell>
          <cell r="Q636">
            <v>109.2727</v>
          </cell>
          <cell r="R636">
            <v>112.550881</v>
          </cell>
          <cell r="S636">
            <v>115.92740743</v>
          </cell>
          <cell r="T636">
            <v>119.4052296529</v>
          </cell>
        </row>
        <row r="637">
          <cell r="K637" t="str">
            <v>IndiaConsultingGTIN ST Analytics83NA</v>
          </cell>
          <cell r="L637" t="str">
            <v>Sr. Executive</v>
          </cell>
          <cell r="M637">
            <v>153.33333333333334</v>
          </cell>
          <cell r="N637">
            <v>100</v>
          </cell>
          <cell r="O637">
            <v>103</v>
          </cell>
          <cell r="P637">
            <v>106.09</v>
          </cell>
          <cell r="Q637">
            <v>109.2727</v>
          </cell>
          <cell r="R637">
            <v>112.550881</v>
          </cell>
          <cell r="S637">
            <v>115.92740743</v>
          </cell>
          <cell r="T637">
            <v>119.4052296529</v>
          </cell>
        </row>
        <row r="638">
          <cell r="K638" t="str">
            <v>IndiaConsultingGTIN ST Analytics84NA</v>
          </cell>
          <cell r="L638" t="str">
            <v>Sr. Executive</v>
          </cell>
          <cell r="M638">
            <v>153.33333333333334</v>
          </cell>
          <cell r="N638">
            <v>100</v>
          </cell>
          <cell r="O638">
            <v>103</v>
          </cell>
          <cell r="P638">
            <v>106.09</v>
          </cell>
          <cell r="Q638">
            <v>109.2727</v>
          </cell>
          <cell r="R638">
            <v>112.550881</v>
          </cell>
          <cell r="S638">
            <v>115.92740743</v>
          </cell>
          <cell r="T638">
            <v>119.4052296529</v>
          </cell>
        </row>
        <row r="639">
          <cell r="K639" t="str">
            <v>IndiaConsultingGTIN ST Analytics85NA</v>
          </cell>
          <cell r="L639" t="str">
            <v>Sr. Executive</v>
          </cell>
          <cell r="M639">
            <v>153.33333333333334</v>
          </cell>
          <cell r="N639">
            <v>100</v>
          </cell>
          <cell r="O639">
            <v>103</v>
          </cell>
          <cell r="P639">
            <v>106.09</v>
          </cell>
          <cell r="Q639">
            <v>109.2727</v>
          </cell>
          <cell r="R639">
            <v>112.550881</v>
          </cell>
          <cell r="S639">
            <v>115.92740743</v>
          </cell>
          <cell r="T639">
            <v>119.4052296529</v>
          </cell>
        </row>
        <row r="640">
          <cell r="K640" t="str">
            <v>IndiaConsultingGTIN ST Analytics86NA</v>
          </cell>
          <cell r="L640" t="str">
            <v>Sr. Executive</v>
          </cell>
          <cell r="M640">
            <v>153.33333333333334</v>
          </cell>
          <cell r="N640">
            <v>100</v>
          </cell>
          <cell r="O640">
            <v>103</v>
          </cell>
          <cell r="P640">
            <v>106.09</v>
          </cell>
          <cell r="Q640">
            <v>109.2727</v>
          </cell>
          <cell r="R640">
            <v>112.550881</v>
          </cell>
          <cell r="S640">
            <v>115.92740743</v>
          </cell>
          <cell r="T640">
            <v>119.4052296529</v>
          </cell>
        </row>
        <row r="641">
          <cell r="K641" t="str">
            <v>IndiaConsultingGTIN ST Analytics87NA</v>
          </cell>
          <cell r="L641" t="str">
            <v>Sr. Executive</v>
          </cell>
          <cell r="M641">
            <v>153.33333333333334</v>
          </cell>
          <cell r="N641">
            <v>100</v>
          </cell>
          <cell r="O641">
            <v>103</v>
          </cell>
          <cell r="P641">
            <v>106.09</v>
          </cell>
          <cell r="Q641">
            <v>109.2727</v>
          </cell>
          <cell r="R641">
            <v>112.550881</v>
          </cell>
          <cell r="S641">
            <v>115.92740743</v>
          </cell>
          <cell r="T641">
            <v>119.4052296529</v>
          </cell>
        </row>
        <row r="642">
          <cell r="K642" t="str">
            <v>IndiaConsultingGTIN ST Analytics88NA</v>
          </cell>
          <cell r="L642" t="str">
            <v>Sr. Executive</v>
          </cell>
          <cell r="M642">
            <v>153.33333333333334</v>
          </cell>
          <cell r="N642">
            <v>100</v>
          </cell>
          <cell r="O642">
            <v>103</v>
          </cell>
          <cell r="P642">
            <v>106.09</v>
          </cell>
          <cell r="Q642">
            <v>109.2727</v>
          </cell>
          <cell r="R642">
            <v>112.550881</v>
          </cell>
          <cell r="S642">
            <v>115.92740743</v>
          </cell>
          <cell r="T642">
            <v>119.4052296529</v>
          </cell>
        </row>
        <row r="643">
          <cell r="K643" t="str">
            <v>IndiaConsultingGTIN ST Analytics89NA</v>
          </cell>
          <cell r="L643" t="str">
            <v>Sr. Executive</v>
          </cell>
          <cell r="M643">
            <v>153.33333333333334</v>
          </cell>
          <cell r="N643">
            <v>100</v>
          </cell>
          <cell r="O643">
            <v>103</v>
          </cell>
          <cell r="P643">
            <v>106.09</v>
          </cell>
          <cell r="Q643">
            <v>109.2727</v>
          </cell>
          <cell r="R643">
            <v>112.550881</v>
          </cell>
          <cell r="S643">
            <v>115.92740743</v>
          </cell>
          <cell r="T643">
            <v>119.4052296529</v>
          </cell>
        </row>
        <row r="644">
          <cell r="K644" t="str">
            <v>IndiaConsultingGTIN ST Analytics90NA</v>
          </cell>
          <cell r="L644" t="str">
            <v>Sr. Executive</v>
          </cell>
          <cell r="M644">
            <v>153.33333333333334</v>
          </cell>
          <cell r="N644">
            <v>100</v>
          </cell>
          <cell r="O644">
            <v>103</v>
          </cell>
          <cell r="P644">
            <v>106.09</v>
          </cell>
          <cell r="Q644">
            <v>109.2727</v>
          </cell>
          <cell r="R644">
            <v>112.550881</v>
          </cell>
          <cell r="S644">
            <v>115.92740743</v>
          </cell>
          <cell r="T644">
            <v>119.4052296529</v>
          </cell>
        </row>
        <row r="645">
          <cell r="K645" t="str">
            <v>IndiaConsultingGTIN ST Analytics91NA</v>
          </cell>
          <cell r="L645" t="str">
            <v>Sr. Executive</v>
          </cell>
          <cell r="M645">
            <v>153.33333333333334</v>
          </cell>
          <cell r="N645">
            <v>100</v>
          </cell>
          <cell r="O645">
            <v>103</v>
          </cell>
          <cell r="P645">
            <v>106.09</v>
          </cell>
          <cell r="Q645">
            <v>109.2727</v>
          </cell>
          <cell r="R645">
            <v>112.550881</v>
          </cell>
          <cell r="S645">
            <v>115.92740743</v>
          </cell>
          <cell r="T645">
            <v>119.4052296529</v>
          </cell>
        </row>
        <row r="646">
          <cell r="K646" t="str">
            <v>IndiaConsultingGTIN ST Analytics92NA</v>
          </cell>
          <cell r="L646" t="str">
            <v>Sr. Executive</v>
          </cell>
          <cell r="M646">
            <v>153.33333333333334</v>
          </cell>
          <cell r="N646">
            <v>100</v>
          </cell>
          <cell r="O646">
            <v>103</v>
          </cell>
          <cell r="P646">
            <v>106.09</v>
          </cell>
          <cell r="Q646">
            <v>109.2727</v>
          </cell>
          <cell r="R646">
            <v>112.550881</v>
          </cell>
          <cell r="S646">
            <v>115.92740743</v>
          </cell>
          <cell r="T646">
            <v>119.4052296529</v>
          </cell>
        </row>
        <row r="647">
          <cell r="K647" t="str">
            <v>IndiaConsultingGTIN ST Analytics93NA</v>
          </cell>
          <cell r="L647" t="str">
            <v>Sr. Executive</v>
          </cell>
          <cell r="M647">
            <v>153.33333333333334</v>
          </cell>
          <cell r="N647">
            <v>100</v>
          </cell>
          <cell r="O647">
            <v>103</v>
          </cell>
          <cell r="P647">
            <v>106.09</v>
          </cell>
          <cell r="Q647">
            <v>109.2727</v>
          </cell>
          <cell r="R647">
            <v>112.550881</v>
          </cell>
          <cell r="S647">
            <v>115.92740743</v>
          </cell>
          <cell r="T647">
            <v>119.4052296529</v>
          </cell>
        </row>
        <row r="648">
          <cell r="K648" t="str">
            <v>IndiaConsultingGTIN ST Analytics94NA</v>
          </cell>
          <cell r="L648" t="str">
            <v>Sr. Executive</v>
          </cell>
          <cell r="M648">
            <v>153.33333333333334</v>
          </cell>
          <cell r="N648">
            <v>100</v>
          </cell>
          <cell r="O648">
            <v>103</v>
          </cell>
          <cell r="P648">
            <v>106.09</v>
          </cell>
          <cell r="Q648">
            <v>109.2727</v>
          </cell>
          <cell r="R648">
            <v>112.550881</v>
          </cell>
          <cell r="S648">
            <v>115.92740743</v>
          </cell>
          <cell r="T648">
            <v>119.4052296529</v>
          </cell>
        </row>
        <row r="649">
          <cell r="K649" t="str">
            <v>IndiaConsultingGTIN ST Analytics95NA</v>
          </cell>
          <cell r="L649" t="str">
            <v>Sr. Executive</v>
          </cell>
          <cell r="M649">
            <v>153.33333333333334</v>
          </cell>
          <cell r="N649">
            <v>100</v>
          </cell>
          <cell r="O649">
            <v>103</v>
          </cell>
          <cell r="P649">
            <v>106.09</v>
          </cell>
          <cell r="Q649">
            <v>109.2727</v>
          </cell>
          <cell r="R649">
            <v>112.550881</v>
          </cell>
          <cell r="S649">
            <v>115.92740743</v>
          </cell>
          <cell r="T649">
            <v>119.4052296529</v>
          </cell>
        </row>
        <row r="650">
          <cell r="K650" t="str">
            <v>IndiaConsultingGTIN ST Analytics96NA</v>
          </cell>
          <cell r="L650" t="str">
            <v>Sr. Executive</v>
          </cell>
          <cell r="M650">
            <v>153.33333333333334</v>
          </cell>
          <cell r="N650">
            <v>100</v>
          </cell>
          <cell r="O650">
            <v>103</v>
          </cell>
          <cell r="P650">
            <v>106.09</v>
          </cell>
          <cell r="Q650">
            <v>109.2727</v>
          </cell>
          <cell r="R650">
            <v>112.550881</v>
          </cell>
          <cell r="S650">
            <v>115.92740743</v>
          </cell>
          <cell r="T650">
            <v>119.4052296529</v>
          </cell>
        </row>
        <row r="651">
          <cell r="K651" t="str">
            <v>IndiaConsultingGTIN ST Analytics67NA</v>
          </cell>
          <cell r="L651" t="str">
            <v>Sr. Manager</v>
          </cell>
          <cell r="M651">
            <v>153.33333333333334</v>
          </cell>
          <cell r="N651">
            <v>100</v>
          </cell>
          <cell r="O651">
            <v>103</v>
          </cell>
          <cell r="P651">
            <v>106.09</v>
          </cell>
          <cell r="Q651">
            <v>109.2727</v>
          </cell>
          <cell r="R651">
            <v>112.550881</v>
          </cell>
          <cell r="S651">
            <v>115.92740743</v>
          </cell>
          <cell r="T651">
            <v>119.4052296529</v>
          </cell>
        </row>
        <row r="652">
          <cell r="K652" t="str">
            <v>IndiaConsultingGTIN ST Analytics68NA</v>
          </cell>
          <cell r="L652" t="str">
            <v>Sr. Manager</v>
          </cell>
          <cell r="M652">
            <v>153.33333333333334</v>
          </cell>
          <cell r="N652">
            <v>100</v>
          </cell>
          <cell r="O652">
            <v>103</v>
          </cell>
          <cell r="P652">
            <v>106.09</v>
          </cell>
          <cell r="Q652">
            <v>109.2727</v>
          </cell>
          <cell r="R652">
            <v>112.550881</v>
          </cell>
          <cell r="S652">
            <v>115.92740743</v>
          </cell>
          <cell r="T652">
            <v>119.4052296529</v>
          </cell>
        </row>
        <row r="653">
          <cell r="K653" t="str">
            <v>IndiaConsultingGTIN ST Analytics71NA</v>
          </cell>
          <cell r="L653" t="str">
            <v>Sr. Manager</v>
          </cell>
          <cell r="M653">
            <v>153.33333333333334</v>
          </cell>
          <cell r="N653">
            <v>100</v>
          </cell>
          <cell r="O653">
            <v>103</v>
          </cell>
          <cell r="P653">
            <v>106.09</v>
          </cell>
          <cell r="Q653">
            <v>109.2727</v>
          </cell>
          <cell r="R653">
            <v>112.550881</v>
          </cell>
          <cell r="S653">
            <v>115.92740743</v>
          </cell>
          <cell r="T653">
            <v>119.4052296529</v>
          </cell>
        </row>
        <row r="654">
          <cell r="K654" t="str">
            <v>IndiaConsultingGTIN ST Industry / Func Skills30NA</v>
          </cell>
          <cell r="L654" t="str">
            <v>Analyst</v>
          </cell>
          <cell r="M654">
            <v>153.33333333333334</v>
          </cell>
          <cell r="N654">
            <v>100</v>
          </cell>
          <cell r="O654">
            <v>103</v>
          </cell>
          <cell r="P654">
            <v>106.09</v>
          </cell>
          <cell r="Q654">
            <v>109.2727</v>
          </cell>
          <cell r="R654">
            <v>112.550881</v>
          </cell>
          <cell r="S654">
            <v>115.92740743</v>
          </cell>
          <cell r="T654">
            <v>119.4052296529</v>
          </cell>
        </row>
        <row r="655">
          <cell r="K655" t="str">
            <v>IndiaConsultingGTIN ST Industry / Func Skills31NA</v>
          </cell>
          <cell r="L655" t="str">
            <v>Analyst</v>
          </cell>
          <cell r="M655">
            <v>153.33333333333334</v>
          </cell>
          <cell r="N655">
            <v>100</v>
          </cell>
          <cell r="O655">
            <v>103</v>
          </cell>
          <cell r="P655">
            <v>106.09</v>
          </cell>
          <cell r="Q655">
            <v>109.2727</v>
          </cell>
          <cell r="R655">
            <v>112.550881</v>
          </cell>
          <cell r="S655">
            <v>115.92740743</v>
          </cell>
          <cell r="T655">
            <v>119.4052296529</v>
          </cell>
        </row>
        <row r="656">
          <cell r="K656" t="str">
            <v>IndiaConsultingGTIN ST Industry / Func Skills32NA</v>
          </cell>
          <cell r="L656" t="str">
            <v>Analyst</v>
          </cell>
          <cell r="M656">
            <v>153.33333333333334</v>
          </cell>
          <cell r="N656">
            <v>100</v>
          </cell>
          <cell r="O656">
            <v>103</v>
          </cell>
          <cell r="P656">
            <v>106.09</v>
          </cell>
          <cell r="Q656">
            <v>109.2727</v>
          </cell>
          <cell r="R656">
            <v>112.550881</v>
          </cell>
          <cell r="S656">
            <v>115.92740743</v>
          </cell>
          <cell r="T656">
            <v>119.4052296529</v>
          </cell>
        </row>
        <row r="657">
          <cell r="K657" t="str">
            <v>IndiaConsultingGTIN ST Industry / Func Skills52NA</v>
          </cell>
          <cell r="L657" t="str">
            <v>Consultant</v>
          </cell>
          <cell r="M657">
            <v>153.33333333333334</v>
          </cell>
          <cell r="N657">
            <v>100</v>
          </cell>
          <cell r="O657">
            <v>103</v>
          </cell>
          <cell r="P657">
            <v>106.09</v>
          </cell>
          <cell r="Q657">
            <v>109.2727</v>
          </cell>
          <cell r="R657">
            <v>112.550881</v>
          </cell>
          <cell r="S657">
            <v>115.92740743</v>
          </cell>
          <cell r="T657">
            <v>119.4052296529</v>
          </cell>
        </row>
        <row r="658">
          <cell r="K658" t="str">
            <v>IndiaConsultingGTIN ST Industry / Func Skills53NA</v>
          </cell>
          <cell r="L658" t="str">
            <v>Consultant</v>
          </cell>
          <cell r="M658">
            <v>153.33333333333334</v>
          </cell>
          <cell r="N658">
            <v>100</v>
          </cell>
          <cell r="O658">
            <v>103</v>
          </cell>
          <cell r="P658">
            <v>106.09</v>
          </cell>
          <cell r="Q658">
            <v>109.2727</v>
          </cell>
          <cell r="R658">
            <v>112.550881</v>
          </cell>
          <cell r="S658">
            <v>115.92740743</v>
          </cell>
          <cell r="T658">
            <v>119.4052296529</v>
          </cell>
        </row>
        <row r="659">
          <cell r="K659" t="str">
            <v>IndiaConsultingGTIN ST Industry / Func Skills54NA</v>
          </cell>
          <cell r="L659" t="str">
            <v>Consultant</v>
          </cell>
          <cell r="M659">
            <v>153.33333333333334</v>
          </cell>
          <cell r="N659">
            <v>100</v>
          </cell>
          <cell r="O659">
            <v>103</v>
          </cell>
          <cell r="P659">
            <v>106.09</v>
          </cell>
          <cell r="Q659">
            <v>109.2727</v>
          </cell>
          <cell r="R659">
            <v>112.550881</v>
          </cell>
          <cell r="S659">
            <v>115.92740743</v>
          </cell>
          <cell r="T659">
            <v>119.4052296529</v>
          </cell>
        </row>
        <row r="660">
          <cell r="K660" t="str">
            <v>IndiaConsultingGTIN ST Industry / Func Skills55NA</v>
          </cell>
          <cell r="L660" t="str">
            <v>Consultant</v>
          </cell>
          <cell r="M660">
            <v>153.33333333333334</v>
          </cell>
          <cell r="N660">
            <v>100</v>
          </cell>
          <cell r="O660">
            <v>103</v>
          </cell>
          <cell r="P660">
            <v>106.09</v>
          </cell>
          <cell r="Q660">
            <v>109.2727</v>
          </cell>
          <cell r="R660">
            <v>112.550881</v>
          </cell>
          <cell r="S660">
            <v>115.92740743</v>
          </cell>
          <cell r="T660">
            <v>119.4052296529</v>
          </cell>
        </row>
        <row r="661">
          <cell r="K661" t="str">
            <v>IndiaConsultingGTIN ST Industry / Func Skills60NA</v>
          </cell>
          <cell r="L661" t="str">
            <v>Manager</v>
          </cell>
          <cell r="M661">
            <v>153.33333333333334</v>
          </cell>
          <cell r="N661">
            <v>100</v>
          </cell>
          <cell r="O661">
            <v>103</v>
          </cell>
          <cell r="P661">
            <v>106.09</v>
          </cell>
          <cell r="Q661">
            <v>109.2727</v>
          </cell>
          <cell r="R661">
            <v>112.550881</v>
          </cell>
          <cell r="S661">
            <v>115.92740743</v>
          </cell>
          <cell r="T661">
            <v>119.4052296529</v>
          </cell>
        </row>
        <row r="662">
          <cell r="K662" t="str">
            <v>IndiaConsultingGTIN ST Industry / Func Skills61NA</v>
          </cell>
          <cell r="L662" t="str">
            <v>Manager</v>
          </cell>
          <cell r="M662">
            <v>153.33333333333334</v>
          </cell>
          <cell r="N662">
            <v>100</v>
          </cell>
          <cell r="O662">
            <v>103</v>
          </cell>
          <cell r="P662">
            <v>106.09</v>
          </cell>
          <cell r="Q662">
            <v>109.2727</v>
          </cell>
          <cell r="R662">
            <v>112.550881</v>
          </cell>
          <cell r="S662">
            <v>115.92740743</v>
          </cell>
          <cell r="T662">
            <v>119.4052296529</v>
          </cell>
        </row>
        <row r="663">
          <cell r="K663" t="str">
            <v>IndiaConsultingGTIN ST Industry / Func Skills62NA</v>
          </cell>
          <cell r="L663" t="str">
            <v>Manager</v>
          </cell>
          <cell r="M663">
            <v>153.33333333333334</v>
          </cell>
          <cell r="N663">
            <v>100</v>
          </cell>
          <cell r="O663">
            <v>103</v>
          </cell>
          <cell r="P663">
            <v>106.09</v>
          </cell>
          <cell r="Q663">
            <v>109.2727</v>
          </cell>
          <cell r="R663">
            <v>112.550881</v>
          </cell>
          <cell r="S663">
            <v>115.92740743</v>
          </cell>
          <cell r="T663">
            <v>119.4052296529</v>
          </cell>
        </row>
        <row r="664">
          <cell r="K664" t="str">
            <v>IndiaConsultingGTIN ST Industry / Func Skills80NA</v>
          </cell>
          <cell r="L664" t="str">
            <v>Sr. Executive</v>
          </cell>
          <cell r="M664">
            <v>153.33333333333334</v>
          </cell>
          <cell r="N664">
            <v>100</v>
          </cell>
          <cell r="O664">
            <v>103</v>
          </cell>
          <cell r="P664">
            <v>106.09</v>
          </cell>
          <cell r="Q664">
            <v>109.2727</v>
          </cell>
          <cell r="R664">
            <v>112.550881</v>
          </cell>
          <cell r="S664">
            <v>115.92740743</v>
          </cell>
          <cell r="T664">
            <v>119.4052296529</v>
          </cell>
        </row>
        <row r="665">
          <cell r="K665" t="str">
            <v>IndiaConsultingGTIN ST Industry / Func Skills81NA</v>
          </cell>
          <cell r="L665" t="str">
            <v>Sr. Executive</v>
          </cell>
          <cell r="M665">
            <v>153.33333333333334</v>
          </cell>
          <cell r="N665">
            <v>100</v>
          </cell>
          <cell r="O665">
            <v>103</v>
          </cell>
          <cell r="P665">
            <v>106.09</v>
          </cell>
          <cell r="Q665">
            <v>109.2727</v>
          </cell>
          <cell r="R665">
            <v>112.550881</v>
          </cell>
          <cell r="S665">
            <v>115.92740743</v>
          </cell>
          <cell r="T665">
            <v>119.4052296529</v>
          </cell>
        </row>
        <row r="666">
          <cell r="K666" t="str">
            <v>IndiaConsultingGTIN ST Industry / Func Skills82NA</v>
          </cell>
          <cell r="L666" t="str">
            <v>Sr. Executive</v>
          </cell>
          <cell r="M666">
            <v>153.33333333333334</v>
          </cell>
          <cell r="N666">
            <v>100</v>
          </cell>
          <cell r="O666">
            <v>103</v>
          </cell>
          <cell r="P666">
            <v>106.09</v>
          </cell>
          <cell r="Q666">
            <v>109.2727</v>
          </cell>
          <cell r="R666">
            <v>112.550881</v>
          </cell>
          <cell r="S666">
            <v>115.92740743</v>
          </cell>
          <cell r="T666">
            <v>119.4052296529</v>
          </cell>
        </row>
        <row r="667">
          <cell r="K667" t="str">
            <v>IndiaConsultingGTIN ST Industry / Func Skills83NA</v>
          </cell>
          <cell r="L667" t="str">
            <v>Sr. Executive</v>
          </cell>
          <cell r="M667">
            <v>153.33333333333334</v>
          </cell>
          <cell r="N667">
            <v>100</v>
          </cell>
          <cell r="O667">
            <v>103</v>
          </cell>
          <cell r="P667">
            <v>106.09</v>
          </cell>
          <cell r="Q667">
            <v>109.2727</v>
          </cell>
          <cell r="R667">
            <v>112.550881</v>
          </cell>
          <cell r="S667">
            <v>115.92740743</v>
          </cell>
          <cell r="T667">
            <v>119.4052296529</v>
          </cell>
        </row>
        <row r="668">
          <cell r="K668" t="str">
            <v>IndiaConsultingGTIN ST Industry / Func Skills84NA</v>
          </cell>
          <cell r="L668" t="str">
            <v>Sr. Executive</v>
          </cell>
          <cell r="M668">
            <v>153.33333333333334</v>
          </cell>
          <cell r="N668">
            <v>100</v>
          </cell>
          <cell r="O668">
            <v>103</v>
          </cell>
          <cell r="P668">
            <v>106.09</v>
          </cell>
          <cell r="Q668">
            <v>109.2727</v>
          </cell>
          <cell r="R668">
            <v>112.550881</v>
          </cell>
          <cell r="S668">
            <v>115.92740743</v>
          </cell>
          <cell r="T668">
            <v>119.4052296529</v>
          </cell>
        </row>
        <row r="669">
          <cell r="K669" t="str">
            <v>IndiaConsultingGTIN ST Industry / Func Skills85NA</v>
          </cell>
          <cell r="L669" t="str">
            <v>Sr. Executive</v>
          </cell>
          <cell r="M669">
            <v>153.33333333333334</v>
          </cell>
          <cell r="N669">
            <v>100</v>
          </cell>
          <cell r="O669">
            <v>103</v>
          </cell>
          <cell r="P669">
            <v>106.09</v>
          </cell>
          <cell r="Q669">
            <v>109.2727</v>
          </cell>
          <cell r="R669">
            <v>112.550881</v>
          </cell>
          <cell r="S669">
            <v>115.92740743</v>
          </cell>
          <cell r="T669">
            <v>119.4052296529</v>
          </cell>
        </row>
        <row r="670">
          <cell r="K670" t="str">
            <v>IndiaConsultingGTIN ST Industry / Func Skills86NA</v>
          </cell>
          <cell r="L670" t="str">
            <v>Sr. Executive</v>
          </cell>
          <cell r="M670">
            <v>153.33333333333334</v>
          </cell>
          <cell r="N670">
            <v>100</v>
          </cell>
          <cell r="O670">
            <v>103</v>
          </cell>
          <cell r="P670">
            <v>106.09</v>
          </cell>
          <cell r="Q670">
            <v>109.2727</v>
          </cell>
          <cell r="R670">
            <v>112.550881</v>
          </cell>
          <cell r="S670">
            <v>115.92740743</v>
          </cell>
          <cell r="T670">
            <v>119.4052296529</v>
          </cell>
        </row>
        <row r="671">
          <cell r="K671" t="str">
            <v>IndiaConsultingGTIN ST Industry / Func Skills87NA</v>
          </cell>
          <cell r="L671" t="str">
            <v>Sr. Executive</v>
          </cell>
          <cell r="M671">
            <v>153.33333333333334</v>
          </cell>
          <cell r="N671">
            <v>100</v>
          </cell>
          <cell r="O671">
            <v>103</v>
          </cell>
          <cell r="P671">
            <v>106.09</v>
          </cell>
          <cell r="Q671">
            <v>109.2727</v>
          </cell>
          <cell r="R671">
            <v>112.550881</v>
          </cell>
          <cell r="S671">
            <v>115.92740743</v>
          </cell>
          <cell r="T671">
            <v>119.4052296529</v>
          </cell>
        </row>
        <row r="672">
          <cell r="K672" t="str">
            <v>IndiaConsultingGTIN ST Industry / Func Skills88NA</v>
          </cell>
          <cell r="L672" t="str">
            <v>Sr. Executive</v>
          </cell>
          <cell r="M672">
            <v>153.33333333333334</v>
          </cell>
          <cell r="N672">
            <v>100</v>
          </cell>
          <cell r="O672">
            <v>103</v>
          </cell>
          <cell r="P672">
            <v>106.09</v>
          </cell>
          <cell r="Q672">
            <v>109.2727</v>
          </cell>
          <cell r="R672">
            <v>112.550881</v>
          </cell>
          <cell r="S672">
            <v>115.92740743</v>
          </cell>
          <cell r="T672">
            <v>119.4052296529</v>
          </cell>
        </row>
        <row r="673">
          <cell r="K673" t="str">
            <v>IndiaConsultingGTIN ST Industry / Func Skills89NA</v>
          </cell>
          <cell r="L673" t="str">
            <v>Sr. Executive</v>
          </cell>
          <cell r="M673">
            <v>153.33333333333334</v>
          </cell>
          <cell r="N673">
            <v>100</v>
          </cell>
          <cell r="O673">
            <v>103</v>
          </cell>
          <cell r="P673">
            <v>106.09</v>
          </cell>
          <cell r="Q673">
            <v>109.2727</v>
          </cell>
          <cell r="R673">
            <v>112.550881</v>
          </cell>
          <cell r="S673">
            <v>115.92740743</v>
          </cell>
          <cell r="T673">
            <v>119.4052296529</v>
          </cell>
        </row>
        <row r="674">
          <cell r="K674" t="str">
            <v>IndiaConsultingGTIN ST Industry / Func Skills90NA</v>
          </cell>
          <cell r="L674" t="str">
            <v>Sr. Executive</v>
          </cell>
          <cell r="M674">
            <v>153.33333333333334</v>
          </cell>
          <cell r="N674">
            <v>100</v>
          </cell>
          <cell r="O674">
            <v>103</v>
          </cell>
          <cell r="P674">
            <v>106.09</v>
          </cell>
          <cell r="Q674">
            <v>109.2727</v>
          </cell>
          <cell r="R674">
            <v>112.550881</v>
          </cell>
          <cell r="S674">
            <v>115.92740743</v>
          </cell>
          <cell r="T674">
            <v>119.4052296529</v>
          </cell>
        </row>
        <row r="675">
          <cell r="K675" t="str">
            <v>IndiaConsultingGTIN ST Industry / Func Skills91NA</v>
          </cell>
          <cell r="L675" t="str">
            <v>Sr. Executive</v>
          </cell>
          <cell r="M675">
            <v>153.33333333333334</v>
          </cell>
          <cell r="N675">
            <v>100</v>
          </cell>
          <cell r="O675">
            <v>103</v>
          </cell>
          <cell r="P675">
            <v>106.09</v>
          </cell>
          <cell r="Q675">
            <v>109.2727</v>
          </cell>
          <cell r="R675">
            <v>112.550881</v>
          </cell>
          <cell r="S675">
            <v>115.92740743</v>
          </cell>
          <cell r="T675">
            <v>119.4052296529</v>
          </cell>
        </row>
        <row r="676">
          <cell r="K676" t="str">
            <v>IndiaConsultingGTIN ST Industry / Func Skills92NA</v>
          </cell>
          <cell r="L676" t="str">
            <v>Sr. Executive</v>
          </cell>
          <cell r="M676">
            <v>153.33333333333334</v>
          </cell>
          <cell r="N676">
            <v>100</v>
          </cell>
          <cell r="O676">
            <v>103</v>
          </cell>
          <cell r="P676">
            <v>106.09</v>
          </cell>
          <cell r="Q676">
            <v>109.2727</v>
          </cell>
          <cell r="R676">
            <v>112.550881</v>
          </cell>
          <cell r="S676">
            <v>115.92740743</v>
          </cell>
          <cell r="T676">
            <v>119.4052296529</v>
          </cell>
        </row>
        <row r="677">
          <cell r="K677" t="str">
            <v>IndiaConsultingGTIN ST Industry / Func Skills93NA</v>
          </cell>
          <cell r="L677" t="str">
            <v>Sr. Executive</v>
          </cell>
          <cell r="M677">
            <v>153.33333333333334</v>
          </cell>
          <cell r="N677">
            <v>100</v>
          </cell>
          <cell r="O677">
            <v>103</v>
          </cell>
          <cell r="P677">
            <v>106.09</v>
          </cell>
          <cell r="Q677">
            <v>109.2727</v>
          </cell>
          <cell r="R677">
            <v>112.550881</v>
          </cell>
          <cell r="S677">
            <v>115.92740743</v>
          </cell>
          <cell r="T677">
            <v>119.4052296529</v>
          </cell>
        </row>
        <row r="678">
          <cell r="K678" t="str">
            <v>IndiaConsultingGTIN ST Industry / Func Skills94NA</v>
          </cell>
          <cell r="L678" t="str">
            <v>Sr. Executive</v>
          </cell>
          <cell r="M678">
            <v>153.33333333333334</v>
          </cell>
          <cell r="N678">
            <v>100</v>
          </cell>
          <cell r="O678">
            <v>103</v>
          </cell>
          <cell r="P678">
            <v>106.09</v>
          </cell>
          <cell r="Q678">
            <v>109.2727</v>
          </cell>
          <cell r="R678">
            <v>112.550881</v>
          </cell>
          <cell r="S678">
            <v>115.92740743</v>
          </cell>
          <cell r="T678">
            <v>119.4052296529</v>
          </cell>
        </row>
        <row r="679">
          <cell r="K679" t="str">
            <v>IndiaConsultingGTIN ST Industry / Func Skills95NA</v>
          </cell>
          <cell r="L679" t="str">
            <v>Sr. Executive</v>
          </cell>
          <cell r="M679">
            <v>153.33333333333334</v>
          </cell>
          <cell r="N679">
            <v>100</v>
          </cell>
          <cell r="O679">
            <v>103</v>
          </cell>
          <cell r="P679">
            <v>106.09</v>
          </cell>
          <cell r="Q679">
            <v>109.2727</v>
          </cell>
          <cell r="R679">
            <v>112.550881</v>
          </cell>
          <cell r="S679">
            <v>115.92740743</v>
          </cell>
          <cell r="T679">
            <v>119.4052296529</v>
          </cell>
        </row>
        <row r="680">
          <cell r="K680" t="str">
            <v>IndiaConsultingGTIN ST Industry / Func Skills96NA</v>
          </cell>
          <cell r="L680" t="str">
            <v>Sr. Executive</v>
          </cell>
          <cell r="M680">
            <v>153.33333333333334</v>
          </cell>
          <cell r="N680">
            <v>100</v>
          </cell>
          <cell r="O680">
            <v>103</v>
          </cell>
          <cell r="P680">
            <v>106.09</v>
          </cell>
          <cell r="Q680">
            <v>109.2727</v>
          </cell>
          <cell r="R680">
            <v>112.550881</v>
          </cell>
          <cell r="S680">
            <v>115.92740743</v>
          </cell>
          <cell r="T680">
            <v>119.4052296529</v>
          </cell>
        </row>
        <row r="681">
          <cell r="K681" t="str">
            <v>IndiaConsultingGTIN ST Industry / Func Skills67NA</v>
          </cell>
          <cell r="L681" t="str">
            <v>Sr. Manager</v>
          </cell>
          <cell r="M681">
            <v>153.33333333333334</v>
          </cell>
          <cell r="N681">
            <v>100</v>
          </cell>
          <cell r="O681">
            <v>103</v>
          </cell>
          <cell r="P681">
            <v>106.09</v>
          </cell>
          <cell r="Q681">
            <v>109.2727</v>
          </cell>
          <cell r="R681">
            <v>112.550881</v>
          </cell>
          <cell r="S681">
            <v>115.92740743</v>
          </cell>
          <cell r="T681">
            <v>119.4052296529</v>
          </cell>
        </row>
        <row r="682">
          <cell r="K682" t="str">
            <v>IndiaConsultingGTIN ST Industry / Func Skills68NA</v>
          </cell>
          <cell r="L682" t="str">
            <v>Sr. Manager</v>
          </cell>
          <cell r="M682">
            <v>153.33333333333334</v>
          </cell>
          <cell r="N682">
            <v>100</v>
          </cell>
          <cell r="O682">
            <v>103</v>
          </cell>
          <cell r="P682">
            <v>106.09</v>
          </cell>
          <cell r="Q682">
            <v>109.2727</v>
          </cell>
          <cell r="R682">
            <v>112.550881</v>
          </cell>
          <cell r="S682">
            <v>115.92740743</v>
          </cell>
          <cell r="T682">
            <v>119.4052296529</v>
          </cell>
        </row>
        <row r="683">
          <cell r="K683" t="str">
            <v>IndiaConsultingGTIN ST Industry / Func Skills69NA</v>
          </cell>
          <cell r="L683" t="str">
            <v>Sr. Manager</v>
          </cell>
          <cell r="M683">
            <v>153.33333333333334</v>
          </cell>
          <cell r="N683">
            <v>100</v>
          </cell>
          <cell r="O683">
            <v>103</v>
          </cell>
          <cell r="P683">
            <v>106.09</v>
          </cell>
          <cell r="Q683">
            <v>109.2727</v>
          </cell>
          <cell r="R683">
            <v>112.550881</v>
          </cell>
          <cell r="S683">
            <v>115.92740743</v>
          </cell>
          <cell r="T683">
            <v>119.4052296529</v>
          </cell>
        </row>
        <row r="684">
          <cell r="K684" t="str">
            <v>IndiaConsultingGTIN ST Industry / Func Skills70NA</v>
          </cell>
          <cell r="L684" t="str">
            <v>Sr. Manager</v>
          </cell>
          <cell r="M684">
            <v>153.33333333333334</v>
          </cell>
          <cell r="N684">
            <v>100</v>
          </cell>
          <cell r="O684">
            <v>103</v>
          </cell>
          <cell r="P684">
            <v>106.09</v>
          </cell>
          <cell r="Q684">
            <v>109.2727</v>
          </cell>
          <cell r="R684">
            <v>112.550881</v>
          </cell>
          <cell r="S684">
            <v>115.92740743</v>
          </cell>
          <cell r="T684">
            <v>119.4052296529</v>
          </cell>
        </row>
        <row r="685">
          <cell r="K685" t="str">
            <v>IndiaConsultingGTIN ST Strat / Ops Skills34NA</v>
          </cell>
          <cell r="L685" t="str">
            <v>Analyst</v>
          </cell>
          <cell r="M685">
            <v>153.33333333333334</v>
          </cell>
          <cell r="N685">
            <v>100</v>
          </cell>
          <cell r="O685">
            <v>103</v>
          </cell>
          <cell r="P685">
            <v>106.09</v>
          </cell>
          <cell r="Q685">
            <v>109.2727</v>
          </cell>
          <cell r="R685">
            <v>112.550881</v>
          </cell>
          <cell r="S685">
            <v>115.92740743</v>
          </cell>
          <cell r="T685">
            <v>119.4052296529</v>
          </cell>
        </row>
        <row r="686">
          <cell r="K686" t="str">
            <v>IndiaConsultingGTIN ST Strat / Ops Skills35NA</v>
          </cell>
          <cell r="L686" t="str">
            <v>Analyst</v>
          </cell>
          <cell r="M686">
            <v>153.33333333333334</v>
          </cell>
          <cell r="N686">
            <v>100</v>
          </cell>
          <cell r="O686">
            <v>103</v>
          </cell>
          <cell r="P686">
            <v>106.09</v>
          </cell>
          <cell r="Q686">
            <v>109.2727</v>
          </cell>
          <cell r="R686">
            <v>112.550881</v>
          </cell>
          <cell r="S686">
            <v>115.92740743</v>
          </cell>
          <cell r="T686">
            <v>119.4052296529</v>
          </cell>
        </row>
        <row r="687">
          <cell r="K687" t="str">
            <v>IndiaConsultingGTIN ST Strat / Ops Skills55NA</v>
          </cell>
          <cell r="L687" t="str">
            <v>Consultant</v>
          </cell>
          <cell r="M687">
            <v>153.33333333333334</v>
          </cell>
          <cell r="N687">
            <v>100</v>
          </cell>
          <cell r="O687">
            <v>103</v>
          </cell>
          <cell r="P687">
            <v>106.09</v>
          </cell>
          <cell r="Q687">
            <v>109.2727</v>
          </cell>
          <cell r="R687">
            <v>112.550881</v>
          </cell>
          <cell r="S687">
            <v>115.92740743</v>
          </cell>
          <cell r="T687">
            <v>119.4052296529</v>
          </cell>
        </row>
        <row r="688">
          <cell r="K688" t="str">
            <v>IndiaConsultingGTIN ST Strat / Ops Skills56NA</v>
          </cell>
          <cell r="L688" t="str">
            <v>Consultant</v>
          </cell>
          <cell r="M688">
            <v>153.33333333333334</v>
          </cell>
          <cell r="N688">
            <v>100</v>
          </cell>
          <cell r="O688">
            <v>103</v>
          </cell>
          <cell r="P688">
            <v>106.09</v>
          </cell>
          <cell r="Q688">
            <v>109.2727</v>
          </cell>
          <cell r="R688">
            <v>112.550881</v>
          </cell>
          <cell r="S688">
            <v>115.92740743</v>
          </cell>
          <cell r="T688">
            <v>119.4052296529</v>
          </cell>
        </row>
        <row r="689">
          <cell r="K689" t="str">
            <v>IndiaConsultingGTIN ST Strat / Ops Skills57NA</v>
          </cell>
          <cell r="L689" t="str">
            <v>Consultant</v>
          </cell>
          <cell r="M689">
            <v>153.33333333333334</v>
          </cell>
          <cell r="N689">
            <v>100</v>
          </cell>
          <cell r="O689">
            <v>103</v>
          </cell>
          <cell r="P689">
            <v>106.09</v>
          </cell>
          <cell r="Q689">
            <v>109.2727</v>
          </cell>
          <cell r="R689">
            <v>112.550881</v>
          </cell>
          <cell r="S689">
            <v>115.92740743</v>
          </cell>
          <cell r="T689">
            <v>119.4052296529</v>
          </cell>
        </row>
        <row r="690">
          <cell r="K690" t="str">
            <v>IndiaConsultingGTIN ST Strat / Ops Skills63NA</v>
          </cell>
          <cell r="L690" t="str">
            <v>Manager</v>
          </cell>
          <cell r="M690">
            <v>153.33333333333334</v>
          </cell>
          <cell r="N690">
            <v>100</v>
          </cell>
          <cell r="O690">
            <v>103</v>
          </cell>
          <cell r="P690">
            <v>106.09</v>
          </cell>
          <cell r="Q690">
            <v>109.2727</v>
          </cell>
          <cell r="R690">
            <v>112.550881</v>
          </cell>
          <cell r="S690">
            <v>115.92740743</v>
          </cell>
          <cell r="T690">
            <v>119.4052296529</v>
          </cell>
        </row>
        <row r="691">
          <cell r="K691" t="str">
            <v>IndiaConsultingGTIN ST Strat / Ops Skills64NA</v>
          </cell>
          <cell r="L691" t="str">
            <v>Manager</v>
          </cell>
          <cell r="M691">
            <v>153.33333333333334</v>
          </cell>
          <cell r="N691">
            <v>100</v>
          </cell>
          <cell r="O691">
            <v>103</v>
          </cell>
          <cell r="P691">
            <v>106.09</v>
          </cell>
          <cell r="Q691">
            <v>109.2727</v>
          </cell>
          <cell r="R691">
            <v>112.550881</v>
          </cell>
          <cell r="S691">
            <v>115.92740743</v>
          </cell>
          <cell r="T691">
            <v>119.4052296529</v>
          </cell>
        </row>
        <row r="692">
          <cell r="K692" t="str">
            <v>IndiaConsultingGTIN ST Strat / Ops Skills65NA</v>
          </cell>
          <cell r="L692" t="str">
            <v>Manager</v>
          </cell>
          <cell r="M692">
            <v>153.33333333333334</v>
          </cell>
          <cell r="N692">
            <v>100</v>
          </cell>
          <cell r="O692">
            <v>103</v>
          </cell>
          <cell r="P692">
            <v>106.09</v>
          </cell>
          <cell r="Q692">
            <v>109.2727</v>
          </cell>
          <cell r="R692">
            <v>112.550881</v>
          </cell>
          <cell r="S692">
            <v>115.92740743</v>
          </cell>
          <cell r="T692">
            <v>119.4052296529</v>
          </cell>
        </row>
        <row r="693">
          <cell r="K693" t="str">
            <v>IndiaConsultingGTIN ST Strat / Ops Skills66NA</v>
          </cell>
          <cell r="L693" t="str">
            <v>Manager</v>
          </cell>
          <cell r="M693">
            <v>153.33333333333334</v>
          </cell>
          <cell r="N693">
            <v>100</v>
          </cell>
          <cell r="O693">
            <v>103</v>
          </cell>
          <cell r="P693">
            <v>106.09</v>
          </cell>
          <cell r="Q693">
            <v>109.2727</v>
          </cell>
          <cell r="R693">
            <v>112.550881</v>
          </cell>
          <cell r="S693">
            <v>115.92740743</v>
          </cell>
          <cell r="T693">
            <v>119.4052296529</v>
          </cell>
        </row>
        <row r="694">
          <cell r="K694" t="str">
            <v>IndiaConsultingGTIN ST Strat / Ops Skills80NA</v>
          </cell>
          <cell r="L694" t="str">
            <v>Sr. Executive</v>
          </cell>
          <cell r="M694">
            <v>153.33333333333334</v>
          </cell>
          <cell r="N694">
            <v>100</v>
          </cell>
          <cell r="O694">
            <v>103</v>
          </cell>
          <cell r="P694">
            <v>106.09</v>
          </cell>
          <cell r="Q694">
            <v>109.2727</v>
          </cell>
          <cell r="R694">
            <v>112.550881</v>
          </cell>
          <cell r="S694">
            <v>115.92740743</v>
          </cell>
          <cell r="T694">
            <v>119.4052296529</v>
          </cell>
        </row>
        <row r="695">
          <cell r="K695" t="str">
            <v>IndiaConsultingGTIN ST Strat / Ops Skills81NA</v>
          </cell>
          <cell r="L695" t="str">
            <v>Sr. Executive</v>
          </cell>
          <cell r="M695">
            <v>153.33333333333334</v>
          </cell>
          <cell r="N695">
            <v>100</v>
          </cell>
          <cell r="O695">
            <v>103</v>
          </cell>
          <cell r="P695">
            <v>106.09</v>
          </cell>
          <cell r="Q695">
            <v>109.2727</v>
          </cell>
          <cell r="R695">
            <v>112.550881</v>
          </cell>
          <cell r="S695">
            <v>115.92740743</v>
          </cell>
          <cell r="T695">
            <v>119.4052296529</v>
          </cell>
        </row>
        <row r="696">
          <cell r="K696" t="str">
            <v>IndiaConsultingGTIN ST Strat / Ops Skills82NA</v>
          </cell>
          <cell r="L696" t="str">
            <v>Sr. Executive</v>
          </cell>
          <cell r="M696">
            <v>153.33333333333334</v>
          </cell>
          <cell r="N696">
            <v>100</v>
          </cell>
          <cell r="O696">
            <v>103</v>
          </cell>
          <cell r="P696">
            <v>106.09</v>
          </cell>
          <cell r="Q696">
            <v>109.2727</v>
          </cell>
          <cell r="R696">
            <v>112.550881</v>
          </cell>
          <cell r="S696">
            <v>115.92740743</v>
          </cell>
          <cell r="T696">
            <v>119.4052296529</v>
          </cell>
        </row>
        <row r="697">
          <cell r="K697" t="str">
            <v>IndiaConsultingGTIN ST Strat / Ops Skills83NA</v>
          </cell>
          <cell r="L697" t="str">
            <v>Sr. Executive</v>
          </cell>
          <cell r="M697">
            <v>153.33333333333334</v>
          </cell>
          <cell r="N697">
            <v>100</v>
          </cell>
          <cell r="O697">
            <v>103</v>
          </cell>
          <cell r="P697">
            <v>106.09</v>
          </cell>
          <cell r="Q697">
            <v>109.2727</v>
          </cell>
          <cell r="R697">
            <v>112.550881</v>
          </cell>
          <cell r="S697">
            <v>115.92740743</v>
          </cell>
          <cell r="T697">
            <v>119.4052296529</v>
          </cell>
        </row>
        <row r="698">
          <cell r="K698" t="str">
            <v>IndiaConsultingGTIN ST Strat / Ops Skills84NA</v>
          </cell>
          <cell r="L698" t="str">
            <v>Sr. Executive</v>
          </cell>
          <cell r="M698">
            <v>153.33333333333334</v>
          </cell>
          <cell r="N698">
            <v>100</v>
          </cell>
          <cell r="O698">
            <v>103</v>
          </cell>
          <cell r="P698">
            <v>106.09</v>
          </cell>
          <cell r="Q698">
            <v>109.2727</v>
          </cell>
          <cell r="R698">
            <v>112.550881</v>
          </cell>
          <cell r="S698">
            <v>115.92740743</v>
          </cell>
          <cell r="T698">
            <v>119.4052296529</v>
          </cell>
        </row>
        <row r="699">
          <cell r="K699" t="str">
            <v>IndiaConsultingGTIN ST Strat / Ops Skills85NA</v>
          </cell>
          <cell r="L699" t="str">
            <v>Sr. Executive</v>
          </cell>
          <cell r="M699">
            <v>153.33333333333334</v>
          </cell>
          <cell r="N699">
            <v>100</v>
          </cell>
          <cell r="O699">
            <v>103</v>
          </cell>
          <cell r="P699">
            <v>106.09</v>
          </cell>
          <cell r="Q699">
            <v>109.2727</v>
          </cell>
          <cell r="R699">
            <v>112.550881</v>
          </cell>
          <cell r="S699">
            <v>115.92740743</v>
          </cell>
          <cell r="T699">
            <v>119.4052296529</v>
          </cell>
        </row>
        <row r="700">
          <cell r="K700" t="str">
            <v>IndiaConsultingGTIN ST Strat / Ops Skills86NA</v>
          </cell>
          <cell r="L700" t="str">
            <v>Sr. Executive</v>
          </cell>
          <cell r="M700">
            <v>153.33333333333334</v>
          </cell>
          <cell r="N700">
            <v>100</v>
          </cell>
          <cell r="O700">
            <v>103</v>
          </cell>
          <cell r="P700">
            <v>106.09</v>
          </cell>
          <cell r="Q700">
            <v>109.2727</v>
          </cell>
          <cell r="R700">
            <v>112.550881</v>
          </cell>
          <cell r="S700">
            <v>115.92740743</v>
          </cell>
          <cell r="T700">
            <v>119.4052296529</v>
          </cell>
        </row>
        <row r="701">
          <cell r="K701" t="str">
            <v>IndiaConsultingGTIN ST Strat / Ops Skills87NA</v>
          </cell>
          <cell r="L701" t="str">
            <v>Sr. Executive</v>
          </cell>
          <cell r="M701">
            <v>153.33333333333334</v>
          </cell>
          <cell r="N701">
            <v>100</v>
          </cell>
          <cell r="O701">
            <v>103</v>
          </cell>
          <cell r="P701">
            <v>106.09</v>
          </cell>
          <cell r="Q701">
            <v>109.2727</v>
          </cell>
          <cell r="R701">
            <v>112.550881</v>
          </cell>
          <cell r="S701">
            <v>115.92740743</v>
          </cell>
          <cell r="T701">
            <v>119.4052296529</v>
          </cell>
        </row>
        <row r="702">
          <cell r="K702" t="str">
            <v>IndiaConsultingGTIN ST Strat / Ops Skills88NA</v>
          </cell>
          <cell r="L702" t="str">
            <v>Sr. Executive</v>
          </cell>
          <cell r="M702">
            <v>153.33333333333334</v>
          </cell>
          <cell r="N702">
            <v>100</v>
          </cell>
          <cell r="O702">
            <v>103</v>
          </cell>
          <cell r="P702">
            <v>106.09</v>
          </cell>
          <cell r="Q702">
            <v>109.2727</v>
          </cell>
          <cell r="R702">
            <v>112.550881</v>
          </cell>
          <cell r="S702">
            <v>115.92740743</v>
          </cell>
          <cell r="T702">
            <v>119.4052296529</v>
          </cell>
        </row>
        <row r="703">
          <cell r="K703" t="str">
            <v>IndiaConsultingGTIN ST Strat / Ops Skills89NA</v>
          </cell>
          <cell r="L703" t="str">
            <v>Sr. Executive</v>
          </cell>
          <cell r="M703">
            <v>153.33333333333334</v>
          </cell>
          <cell r="N703">
            <v>100</v>
          </cell>
          <cell r="O703">
            <v>103</v>
          </cell>
          <cell r="P703">
            <v>106.09</v>
          </cell>
          <cell r="Q703">
            <v>109.2727</v>
          </cell>
          <cell r="R703">
            <v>112.550881</v>
          </cell>
          <cell r="S703">
            <v>115.92740743</v>
          </cell>
          <cell r="T703">
            <v>119.4052296529</v>
          </cell>
        </row>
        <row r="704">
          <cell r="K704" t="str">
            <v>IndiaConsultingGTIN ST Strat / Ops Skills90NA</v>
          </cell>
          <cell r="L704" t="str">
            <v>Sr. Executive</v>
          </cell>
          <cell r="M704">
            <v>153.33333333333334</v>
          </cell>
          <cell r="N704">
            <v>100</v>
          </cell>
          <cell r="O704">
            <v>103</v>
          </cell>
          <cell r="P704">
            <v>106.09</v>
          </cell>
          <cell r="Q704">
            <v>109.2727</v>
          </cell>
          <cell r="R704">
            <v>112.550881</v>
          </cell>
          <cell r="S704">
            <v>115.92740743</v>
          </cell>
          <cell r="T704">
            <v>119.4052296529</v>
          </cell>
        </row>
        <row r="705">
          <cell r="K705" t="str">
            <v>IndiaConsultingGTIN ST Strat / Ops Skills91NA</v>
          </cell>
          <cell r="L705" t="str">
            <v>Sr. Executive</v>
          </cell>
          <cell r="M705">
            <v>153.33333333333334</v>
          </cell>
          <cell r="N705">
            <v>100</v>
          </cell>
          <cell r="O705">
            <v>103</v>
          </cell>
          <cell r="P705">
            <v>106.09</v>
          </cell>
          <cell r="Q705">
            <v>109.2727</v>
          </cell>
          <cell r="R705">
            <v>112.550881</v>
          </cell>
          <cell r="S705">
            <v>115.92740743</v>
          </cell>
          <cell r="T705">
            <v>119.4052296529</v>
          </cell>
        </row>
        <row r="706">
          <cell r="K706" t="str">
            <v>IndiaConsultingGTIN ST Strat / Ops Skills92NA</v>
          </cell>
          <cell r="L706" t="str">
            <v>Sr. Executive</v>
          </cell>
          <cell r="M706">
            <v>153.33333333333334</v>
          </cell>
          <cell r="N706">
            <v>100</v>
          </cell>
          <cell r="O706">
            <v>103</v>
          </cell>
          <cell r="P706">
            <v>106.09</v>
          </cell>
          <cell r="Q706">
            <v>109.2727</v>
          </cell>
          <cell r="R706">
            <v>112.550881</v>
          </cell>
          <cell r="S706">
            <v>115.92740743</v>
          </cell>
          <cell r="T706">
            <v>119.4052296529</v>
          </cell>
        </row>
        <row r="707">
          <cell r="K707" t="str">
            <v>IndiaConsultingGTIN ST Strat / Ops Skills93NA</v>
          </cell>
          <cell r="L707" t="str">
            <v>Sr. Executive</v>
          </cell>
          <cell r="M707">
            <v>153.33333333333334</v>
          </cell>
          <cell r="N707">
            <v>100</v>
          </cell>
          <cell r="O707">
            <v>103</v>
          </cell>
          <cell r="P707">
            <v>106.09</v>
          </cell>
          <cell r="Q707">
            <v>109.2727</v>
          </cell>
          <cell r="R707">
            <v>112.550881</v>
          </cell>
          <cell r="S707">
            <v>115.92740743</v>
          </cell>
          <cell r="T707">
            <v>119.4052296529</v>
          </cell>
        </row>
        <row r="708">
          <cell r="K708" t="str">
            <v>IndiaConsultingGTIN ST Strat / Ops Skills94NA</v>
          </cell>
          <cell r="L708" t="str">
            <v>Sr. Executive</v>
          </cell>
          <cell r="M708">
            <v>153.33333333333334</v>
          </cell>
          <cell r="N708">
            <v>100</v>
          </cell>
          <cell r="O708">
            <v>103</v>
          </cell>
          <cell r="P708">
            <v>106.09</v>
          </cell>
          <cell r="Q708">
            <v>109.2727</v>
          </cell>
          <cell r="R708">
            <v>112.550881</v>
          </cell>
          <cell r="S708">
            <v>115.92740743</v>
          </cell>
          <cell r="T708">
            <v>119.4052296529</v>
          </cell>
        </row>
        <row r="709">
          <cell r="K709" t="str">
            <v>IndiaConsultingGTIN ST Strat / Ops Skills95NA</v>
          </cell>
          <cell r="L709" t="str">
            <v>Sr. Executive</v>
          </cell>
          <cell r="M709">
            <v>153.33333333333334</v>
          </cell>
          <cell r="N709">
            <v>100</v>
          </cell>
          <cell r="O709">
            <v>103</v>
          </cell>
          <cell r="P709">
            <v>106.09</v>
          </cell>
          <cell r="Q709">
            <v>109.2727</v>
          </cell>
          <cell r="R709">
            <v>112.550881</v>
          </cell>
          <cell r="S709">
            <v>115.92740743</v>
          </cell>
          <cell r="T709">
            <v>119.4052296529</v>
          </cell>
        </row>
        <row r="710">
          <cell r="K710" t="str">
            <v>IndiaConsultingGTIN ST Strat / Ops Skills96NA</v>
          </cell>
          <cell r="L710" t="str">
            <v>Sr. Executive</v>
          </cell>
          <cell r="M710">
            <v>153.33333333333334</v>
          </cell>
          <cell r="N710">
            <v>100</v>
          </cell>
          <cell r="O710">
            <v>103</v>
          </cell>
          <cell r="P710">
            <v>106.09</v>
          </cell>
          <cell r="Q710">
            <v>109.2727</v>
          </cell>
          <cell r="R710">
            <v>112.550881</v>
          </cell>
          <cell r="S710">
            <v>115.92740743</v>
          </cell>
          <cell r="T710">
            <v>119.4052296529</v>
          </cell>
        </row>
        <row r="711">
          <cell r="K711" t="str">
            <v>IndiaConsultingGTIN ST Strat / Ops Skills71NA</v>
          </cell>
          <cell r="L711" t="str">
            <v>Sr. Manager</v>
          </cell>
          <cell r="M711">
            <v>153.33333333333334</v>
          </cell>
          <cell r="N711">
            <v>100</v>
          </cell>
          <cell r="O711">
            <v>103</v>
          </cell>
          <cell r="P711">
            <v>106.09</v>
          </cell>
          <cell r="Q711">
            <v>109.2727</v>
          </cell>
          <cell r="R711">
            <v>112.550881</v>
          </cell>
          <cell r="S711">
            <v>115.92740743</v>
          </cell>
          <cell r="T711">
            <v>119.4052296529</v>
          </cell>
        </row>
        <row r="712">
          <cell r="K712" t="str">
            <v>IndiaConsultingGTIN ST Strat / Ops Skills72NA</v>
          </cell>
          <cell r="L712" t="str">
            <v>Sr. Manager</v>
          </cell>
          <cell r="M712">
            <v>153.33333333333334</v>
          </cell>
          <cell r="N712">
            <v>100</v>
          </cell>
          <cell r="O712">
            <v>103</v>
          </cell>
          <cell r="P712">
            <v>106.09</v>
          </cell>
          <cell r="Q712">
            <v>109.2727</v>
          </cell>
          <cell r="R712">
            <v>112.550881</v>
          </cell>
          <cell r="S712">
            <v>115.92740743</v>
          </cell>
          <cell r="T712">
            <v>119.4052296529</v>
          </cell>
        </row>
      </sheetData>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Britt Carlsen" id="{B0F38BA5-9EFB-40D4-B589-6AB6BED6364B}" userId="S::CarlsenB@CalACES.org::74ef3845-6f9f-430e-942e-3bc0a2aeb2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E11" dT="2020-05-15T16:46:05.64" personId="{B0F38BA5-9EFB-40D4-B589-6AB6BED6364B}" id="{DDA94F35-AA13-4981-8FA4-22302C74555B}">
    <text>El Dorado County has not opted in to GA/GR</text>
  </threadedComment>
  <threadedComment ref="AE38" dT="2020-05-15T16:46:05.64" personId="{B0F38BA5-9EFB-40D4-B589-6AB6BED6364B}" id="{EB29A56D-0E3C-4A5A-8689-953397530348}">
    <text>San Bernardino County has not opted in to GA/GR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2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1.vml"/><Relationship Id="rId7" Type="http://schemas.openxmlformats.org/officeDocument/2006/relationships/ctrlProp" Target="../ctrlProps/ctrlProp11.xml"/><Relationship Id="rId2" Type="http://schemas.openxmlformats.org/officeDocument/2006/relationships/drawing" Target="../drawings/drawing5.xml"/><Relationship Id="rId1" Type="http://schemas.openxmlformats.org/officeDocument/2006/relationships/printerSettings" Target="../printerSettings/printerSettings25.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2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7.xml"/><Relationship Id="rId1" Type="http://schemas.openxmlformats.org/officeDocument/2006/relationships/vmlDrawing" Target="../drawings/vmlDrawing22.v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7"/>
  <sheetViews>
    <sheetView showGridLines="0" tabSelected="1" zoomScale="90" zoomScaleNormal="90" workbookViewId="0">
      <selection sqref="A1:K1"/>
    </sheetView>
  </sheetViews>
  <sheetFormatPr defaultColWidth="9.1796875" defaultRowHeight="12.5"/>
  <cols>
    <col min="1" max="2" width="15.453125" style="1" customWidth="1"/>
    <col min="3" max="11" width="15.7265625" style="1" customWidth="1"/>
    <col min="12" max="12" width="2.7265625" style="1" customWidth="1"/>
    <col min="13" max="16384" width="9.1796875" style="1"/>
  </cols>
  <sheetData>
    <row r="1" spans="1:14" ht="15" customHeight="1">
      <c r="A1" s="919"/>
      <c r="B1" s="919"/>
      <c r="C1" s="919"/>
      <c r="D1" s="919"/>
      <c r="E1" s="919"/>
      <c r="F1" s="919"/>
      <c r="G1" s="919"/>
      <c r="H1" s="919"/>
      <c r="I1" s="919"/>
      <c r="J1" s="919"/>
      <c r="K1" s="919"/>
    </row>
    <row r="2" spans="1:14" ht="33.75" customHeight="1">
      <c r="A2" s="920" t="s">
        <v>45</v>
      </c>
      <c r="B2" s="920"/>
      <c r="C2" s="920"/>
      <c r="D2" s="920"/>
      <c r="E2" s="920"/>
      <c r="F2" s="920"/>
      <c r="G2" s="920"/>
      <c r="H2" s="920"/>
      <c r="I2" s="920"/>
      <c r="J2" s="921"/>
      <c r="K2" s="26"/>
    </row>
    <row r="3" spans="1:14" ht="42" customHeight="1">
      <c r="A3" s="25" t="s">
        <v>44</v>
      </c>
      <c r="B3" s="25" t="s">
        <v>88</v>
      </c>
      <c r="C3" s="25" t="s">
        <v>43</v>
      </c>
      <c r="D3" s="25" t="s">
        <v>87</v>
      </c>
      <c r="E3" s="25" t="s">
        <v>86</v>
      </c>
      <c r="F3" s="25" t="s">
        <v>42</v>
      </c>
      <c r="G3" s="25" t="s">
        <v>85</v>
      </c>
      <c r="H3" s="25" t="s">
        <v>84</v>
      </c>
      <c r="I3" s="25" t="s">
        <v>83</v>
      </c>
      <c r="J3" s="24" t="s">
        <v>291</v>
      </c>
      <c r="K3" s="24" t="s">
        <v>41</v>
      </c>
    </row>
    <row r="4" spans="1:14" s="46" customFormat="1" ht="13">
      <c r="A4" s="23" t="s">
        <v>171</v>
      </c>
      <c r="B4" s="19">
        <f>'4th Q Co Share Calculations'!BI7</f>
        <v>3849</v>
      </c>
      <c r="C4" s="19">
        <f>'4th Q Co Share Calculations'!BJ7</f>
        <v>86829</v>
      </c>
      <c r="D4" s="19">
        <f>'4th Q Co Share Calculations'!BK7</f>
        <v>31</v>
      </c>
      <c r="E4" s="19">
        <f>'4th Q Co Share Calculations'!BL7</f>
        <v>3593</v>
      </c>
      <c r="F4" s="19">
        <f>'4th Q Co Share Calculations'!BM7</f>
        <v>1662</v>
      </c>
      <c r="G4" s="19">
        <f>'4th Q Co Share Calculations'!BN7</f>
        <v>1</v>
      </c>
      <c r="H4" s="19">
        <f>'4th Q Co Share Calculations'!BO7</f>
        <v>10</v>
      </c>
      <c r="I4" s="19">
        <f>'4th Q Co Share Calculations'!BP7</f>
        <v>15</v>
      </c>
      <c r="J4" s="19">
        <f>'4th Q Co Share Calculations'!BQ7</f>
        <v>24561</v>
      </c>
      <c r="K4" s="18">
        <f>SUM(B4:J4)</f>
        <v>120551</v>
      </c>
    </row>
    <row r="5" spans="1:14" ht="13">
      <c r="A5" s="23" t="s">
        <v>40</v>
      </c>
      <c r="B5" s="19">
        <f>'4th Q Co Share Calculations'!BI8</f>
        <v>0</v>
      </c>
      <c r="C5" s="19">
        <f>'4th Q Co Share Calculations'!BJ8</f>
        <v>124</v>
      </c>
      <c r="D5" s="19">
        <f>'4th Q Co Share Calculations'!BK8</f>
        <v>0</v>
      </c>
      <c r="E5" s="19">
        <f>'4th Q Co Share Calculations'!BL8</f>
        <v>0</v>
      </c>
      <c r="F5" s="19">
        <f>'4th Q Co Share Calculations'!BM8</f>
        <v>2</v>
      </c>
      <c r="G5" s="19">
        <f>'4th Q Co Share Calculations'!BN8</f>
        <v>0</v>
      </c>
      <c r="H5" s="19">
        <f>'4th Q Co Share Calculations'!BO8</f>
        <v>0</v>
      </c>
      <c r="I5" s="19">
        <f>'4th Q Co Share Calculations'!BP8</f>
        <v>0</v>
      </c>
      <c r="J5" s="19">
        <f>'4th Q Co Share Calculations'!BQ8</f>
        <v>0</v>
      </c>
      <c r="K5" s="18">
        <f t="shared" ref="K5:K61" si="0">SUM(B5:J5)</f>
        <v>126</v>
      </c>
      <c r="M5" s="14"/>
      <c r="N5" s="12"/>
    </row>
    <row r="6" spans="1:14" ht="13">
      <c r="A6" s="23" t="s">
        <v>39</v>
      </c>
      <c r="B6" s="19">
        <f>'4th Q Co Share Calculations'!BI9</f>
        <v>74</v>
      </c>
      <c r="C6" s="19">
        <f>'4th Q Co Share Calculations'!BJ9</f>
        <v>2494</v>
      </c>
      <c r="D6" s="19">
        <f>'4th Q Co Share Calculations'!BK9</f>
        <v>1</v>
      </c>
      <c r="E6" s="19">
        <f>'4th Q Co Share Calculations'!BL9</f>
        <v>70</v>
      </c>
      <c r="F6" s="19">
        <f>'4th Q Co Share Calculations'!BM9</f>
        <v>53</v>
      </c>
      <c r="G6" s="19">
        <f>'4th Q Co Share Calculations'!BN9</f>
        <v>1</v>
      </c>
      <c r="H6" s="19">
        <f>'4th Q Co Share Calculations'!BO9</f>
        <v>0</v>
      </c>
      <c r="I6" s="19">
        <f>'4th Q Co Share Calculations'!BP9</f>
        <v>0</v>
      </c>
      <c r="J6" s="19">
        <f>'4th Q Co Share Calculations'!BQ9</f>
        <v>247</v>
      </c>
      <c r="K6" s="18">
        <f t="shared" si="0"/>
        <v>2940</v>
      </c>
      <c r="M6" s="14"/>
      <c r="N6" s="12"/>
    </row>
    <row r="7" spans="1:14" ht="13">
      <c r="A7" s="23" t="s">
        <v>38</v>
      </c>
      <c r="B7" s="19">
        <f>'4th Q Co Share Calculations'!BI10</f>
        <v>782</v>
      </c>
      <c r="C7" s="19">
        <f>'4th Q Co Share Calculations'!BJ10</f>
        <v>25105</v>
      </c>
      <c r="D7" s="19">
        <f>'4th Q Co Share Calculations'!BK10</f>
        <v>6</v>
      </c>
      <c r="E7" s="19">
        <f>'4th Q Co Share Calculations'!BL10</f>
        <v>730</v>
      </c>
      <c r="F7" s="19">
        <f>'4th Q Co Share Calculations'!BM10</f>
        <v>538</v>
      </c>
      <c r="G7" s="19">
        <f>'4th Q Co Share Calculations'!BN10</f>
        <v>0</v>
      </c>
      <c r="H7" s="19">
        <f>'4th Q Co Share Calculations'!BO10</f>
        <v>2</v>
      </c>
      <c r="I7" s="19">
        <f>'4th Q Co Share Calculations'!BP10</f>
        <v>3</v>
      </c>
      <c r="J7" s="19">
        <f>'4th Q Co Share Calculations'!BQ10</f>
        <v>4823</v>
      </c>
      <c r="K7" s="18">
        <f t="shared" si="0"/>
        <v>31989</v>
      </c>
      <c r="M7" s="14"/>
      <c r="N7" s="12"/>
    </row>
    <row r="8" spans="1:14" ht="13">
      <c r="A8" s="23" t="s">
        <v>37</v>
      </c>
      <c r="B8" s="19">
        <f>'4th Q Co Share Calculations'!BI11</f>
        <v>124</v>
      </c>
      <c r="C8" s="19">
        <f>'4th Q Co Share Calculations'!BJ11</f>
        <v>3965</v>
      </c>
      <c r="D8" s="19">
        <f>'4th Q Co Share Calculations'!BK11</f>
        <v>1</v>
      </c>
      <c r="E8" s="19">
        <f>'4th Q Co Share Calculations'!BL11</f>
        <v>116</v>
      </c>
      <c r="F8" s="19">
        <f>'4th Q Co Share Calculations'!BM11</f>
        <v>85</v>
      </c>
      <c r="G8" s="19">
        <f>'4th Q Co Share Calculations'!BN11</f>
        <v>0</v>
      </c>
      <c r="H8" s="19">
        <f>'4th Q Co Share Calculations'!BO11</f>
        <v>0</v>
      </c>
      <c r="I8" s="19">
        <f>'4th Q Co Share Calculations'!BP11</f>
        <v>0</v>
      </c>
      <c r="J8" s="19">
        <f>'4th Q Co Share Calculations'!BQ11</f>
        <v>496</v>
      </c>
      <c r="K8" s="18">
        <f t="shared" si="0"/>
        <v>4787</v>
      </c>
      <c r="M8" s="14"/>
      <c r="N8" s="12"/>
    </row>
    <row r="9" spans="1:14" ht="13">
      <c r="A9" s="23" t="s">
        <v>36</v>
      </c>
      <c r="B9" s="19">
        <f>'4th Q Co Share Calculations'!BI12</f>
        <v>74</v>
      </c>
      <c r="C9" s="19">
        <f>'4th Q Co Share Calculations'!BJ12</f>
        <v>2388</v>
      </c>
      <c r="D9" s="19">
        <f>'4th Q Co Share Calculations'!BK12</f>
        <v>1</v>
      </c>
      <c r="E9" s="19">
        <f>'4th Q Co Share Calculations'!BL12</f>
        <v>70</v>
      </c>
      <c r="F9" s="19">
        <f>'4th Q Co Share Calculations'!BM12</f>
        <v>53</v>
      </c>
      <c r="G9" s="19">
        <f>'4th Q Co Share Calculations'!BN12</f>
        <v>0</v>
      </c>
      <c r="H9" s="19">
        <f>'4th Q Co Share Calculations'!BO12</f>
        <v>0</v>
      </c>
      <c r="I9" s="19">
        <f>'4th Q Co Share Calculations'!BP12</f>
        <v>0</v>
      </c>
      <c r="J9" s="19">
        <f>'4th Q Co Share Calculations'!BQ12</f>
        <v>280</v>
      </c>
      <c r="K9" s="18">
        <f t="shared" si="0"/>
        <v>2866</v>
      </c>
      <c r="M9" s="14"/>
      <c r="N9" s="12"/>
    </row>
    <row r="10" spans="1:14" ht="13">
      <c r="A10" s="23" t="s">
        <v>170</v>
      </c>
      <c r="B10" s="19">
        <f>'4th Q Co Share Calculations'!BI13</f>
        <v>2359</v>
      </c>
      <c r="C10" s="19">
        <f>'4th Q Co Share Calculations'!BJ13</f>
        <v>53518</v>
      </c>
      <c r="D10" s="19">
        <f>'4th Q Co Share Calculations'!BK13</f>
        <v>19</v>
      </c>
      <c r="E10" s="19">
        <f>'4th Q Co Share Calculations'!BL13</f>
        <v>2202</v>
      </c>
      <c r="F10" s="19">
        <f>'4th Q Co Share Calculations'!BM13</f>
        <v>1024</v>
      </c>
      <c r="G10" s="19">
        <f>'4th Q Co Share Calculations'!BN13</f>
        <v>1</v>
      </c>
      <c r="H10" s="19">
        <f>'4th Q Co Share Calculations'!BO13</f>
        <v>6</v>
      </c>
      <c r="I10" s="19">
        <f>'4th Q Co Share Calculations'!BP13</f>
        <v>9</v>
      </c>
      <c r="J10" s="19">
        <f>'4th Q Co Share Calculations'!BQ13</f>
        <v>15106</v>
      </c>
      <c r="K10" s="18">
        <f t="shared" si="0"/>
        <v>74244</v>
      </c>
      <c r="M10" s="14"/>
      <c r="N10" s="12"/>
    </row>
    <row r="11" spans="1:14" ht="13">
      <c r="A11" s="23" t="s">
        <v>35</v>
      </c>
      <c r="B11" s="19">
        <f>'4th Q Co Share Calculations'!BI14</f>
        <v>112</v>
      </c>
      <c r="C11" s="19">
        <f>'4th Q Co Share Calculations'!BJ14</f>
        <v>3743</v>
      </c>
      <c r="D11" s="19">
        <f>'4th Q Co Share Calculations'!BK14</f>
        <v>1</v>
      </c>
      <c r="E11" s="19">
        <f>'4th Q Co Share Calculations'!BL14</f>
        <v>104</v>
      </c>
      <c r="F11" s="19">
        <f>'4th Q Co Share Calculations'!BM14</f>
        <v>79</v>
      </c>
      <c r="G11" s="19">
        <f>'4th Q Co Share Calculations'!BN14</f>
        <v>0</v>
      </c>
      <c r="H11" s="19">
        <f>'4th Q Co Share Calculations'!BO14</f>
        <v>0</v>
      </c>
      <c r="I11" s="19">
        <f>'4th Q Co Share Calculations'!BP14</f>
        <v>0</v>
      </c>
      <c r="J11" s="19">
        <f>'4th Q Co Share Calculations'!BQ14</f>
        <v>374</v>
      </c>
      <c r="K11" s="18">
        <f t="shared" si="0"/>
        <v>4413</v>
      </c>
      <c r="M11" s="14"/>
      <c r="N11" s="12"/>
    </row>
    <row r="12" spans="1:14" ht="13">
      <c r="A12" s="23" t="s">
        <v>34</v>
      </c>
      <c r="B12" s="19">
        <f>'4th Q Co Share Calculations'!BI15</f>
        <v>360</v>
      </c>
      <c r="C12" s="19">
        <f>'4th Q Co Share Calculations'!BJ15</f>
        <v>11389</v>
      </c>
      <c r="D12" s="19">
        <f>'4th Q Co Share Calculations'!BK15</f>
        <v>3</v>
      </c>
      <c r="E12" s="19">
        <f>'4th Q Co Share Calculations'!BL15</f>
        <v>336</v>
      </c>
      <c r="F12" s="19">
        <f>'4th Q Co Share Calculations'!BM15</f>
        <v>247</v>
      </c>
      <c r="G12" s="19">
        <f>'4th Q Co Share Calculations'!BN15</f>
        <v>0</v>
      </c>
      <c r="H12" s="19">
        <f>'4th Q Co Share Calculations'!BO15</f>
        <v>1</v>
      </c>
      <c r="I12" s="19">
        <f>'4th Q Co Share Calculations'!BP15</f>
        <v>1</v>
      </c>
      <c r="J12" s="19">
        <f>'4th Q Co Share Calculations'!BQ15</f>
        <v>1117</v>
      </c>
      <c r="K12" s="18">
        <f t="shared" si="0"/>
        <v>13454</v>
      </c>
      <c r="M12" s="14"/>
      <c r="N12" s="12"/>
    </row>
    <row r="13" spans="1:14" ht="13">
      <c r="A13" s="23" t="s">
        <v>169</v>
      </c>
      <c r="B13" s="19">
        <f>'4th Q Co Share Calculations'!BI16</f>
        <v>5078</v>
      </c>
      <c r="C13" s="19">
        <f>'4th Q Co Share Calculations'!BJ16</f>
        <v>75850</v>
      </c>
      <c r="D13" s="19">
        <f>'4th Q Co Share Calculations'!BK16</f>
        <v>41</v>
      </c>
      <c r="E13" s="19">
        <f>'4th Q Co Share Calculations'!BL16</f>
        <v>4741</v>
      </c>
      <c r="F13" s="19">
        <f>'4th Q Co Share Calculations'!BM16</f>
        <v>1567</v>
      </c>
      <c r="G13" s="19">
        <f>'4th Q Co Share Calculations'!BN16</f>
        <v>2</v>
      </c>
      <c r="H13" s="19">
        <f>'4th Q Co Share Calculations'!BO16</f>
        <v>14</v>
      </c>
      <c r="I13" s="19">
        <f>'4th Q Co Share Calculations'!BP16</f>
        <v>20</v>
      </c>
      <c r="J13" s="19">
        <f>'4th Q Co Share Calculations'!BQ16</f>
        <v>26042</v>
      </c>
      <c r="K13" s="18">
        <f t="shared" si="0"/>
        <v>113355</v>
      </c>
      <c r="M13" s="14"/>
      <c r="N13" s="12"/>
    </row>
    <row r="14" spans="1:14" ht="13">
      <c r="A14" s="23" t="s">
        <v>33</v>
      </c>
      <c r="B14" s="19">
        <f>'4th Q Co Share Calculations'!BI17</f>
        <v>112</v>
      </c>
      <c r="C14" s="19">
        <f>'4th Q Co Share Calculations'!BJ17</f>
        <v>3513</v>
      </c>
      <c r="D14" s="19">
        <f>'4th Q Co Share Calculations'!BK17</f>
        <v>1</v>
      </c>
      <c r="E14" s="19">
        <f>'4th Q Co Share Calculations'!BL17</f>
        <v>104</v>
      </c>
      <c r="F14" s="19">
        <f>'4th Q Co Share Calculations'!BM17</f>
        <v>76</v>
      </c>
      <c r="G14" s="19">
        <f>'4th Q Co Share Calculations'!BN17</f>
        <v>0</v>
      </c>
      <c r="H14" s="19">
        <f>'4th Q Co Share Calculations'!BO17</f>
        <v>0</v>
      </c>
      <c r="I14" s="19">
        <f>'4th Q Co Share Calculations'!BP17</f>
        <v>0</v>
      </c>
      <c r="J14" s="19">
        <f>'4th Q Co Share Calculations'!BQ17</f>
        <v>429</v>
      </c>
      <c r="K14" s="18">
        <f t="shared" si="0"/>
        <v>4235</v>
      </c>
      <c r="M14" s="14"/>
      <c r="N14" s="12"/>
    </row>
    <row r="15" spans="1:14" ht="13">
      <c r="A15" s="23" t="s">
        <v>32</v>
      </c>
      <c r="B15" s="19">
        <f>'4th Q Co Share Calculations'!BI18</f>
        <v>534</v>
      </c>
      <c r="C15" s="19">
        <f>'4th Q Co Share Calculations'!BJ18</f>
        <v>17035</v>
      </c>
      <c r="D15" s="19">
        <f>'4th Q Co Share Calculations'!BK18</f>
        <v>4</v>
      </c>
      <c r="E15" s="19">
        <f>'4th Q Co Share Calculations'!BL18</f>
        <v>498</v>
      </c>
      <c r="F15" s="19">
        <f>'4th Q Co Share Calculations'!BM18</f>
        <v>365</v>
      </c>
      <c r="G15" s="19">
        <f>'4th Q Co Share Calculations'!BN18</f>
        <v>0</v>
      </c>
      <c r="H15" s="19">
        <f>'4th Q Co Share Calculations'!BO18</f>
        <v>1</v>
      </c>
      <c r="I15" s="19">
        <f>'4th Q Co Share Calculations'!BP18</f>
        <v>2</v>
      </c>
      <c r="J15" s="19">
        <f>'4th Q Co Share Calculations'!BQ18</f>
        <v>2838</v>
      </c>
      <c r="K15" s="18">
        <f t="shared" si="0"/>
        <v>21277</v>
      </c>
      <c r="M15" s="14"/>
      <c r="N15" s="12"/>
    </row>
    <row r="16" spans="1:14" ht="13">
      <c r="A16" s="23" t="s">
        <v>31</v>
      </c>
      <c r="B16" s="19">
        <f>'4th Q Co Share Calculations'!BI19</f>
        <v>956</v>
      </c>
      <c r="C16" s="19">
        <f>'4th Q Co Share Calculations'!BJ19</f>
        <v>30628</v>
      </c>
      <c r="D16" s="19">
        <f>'4th Q Co Share Calculations'!BK19</f>
        <v>8</v>
      </c>
      <c r="E16" s="19">
        <f>'4th Q Co Share Calculations'!BL19</f>
        <v>893</v>
      </c>
      <c r="F16" s="19">
        <f>'4th Q Co Share Calculations'!BM19</f>
        <v>651</v>
      </c>
      <c r="G16" s="19">
        <f>'4th Q Co Share Calculations'!BN19</f>
        <v>0</v>
      </c>
      <c r="H16" s="19">
        <f>'4th Q Co Share Calculations'!BO19</f>
        <v>3</v>
      </c>
      <c r="I16" s="19">
        <f>'4th Q Co Share Calculations'!BP19</f>
        <v>4</v>
      </c>
      <c r="J16" s="19">
        <f>'4th Q Co Share Calculations'!BQ19</f>
        <v>3345</v>
      </c>
      <c r="K16" s="18">
        <f t="shared" si="0"/>
        <v>36488</v>
      </c>
      <c r="M16" s="14"/>
      <c r="N16" s="12"/>
    </row>
    <row r="17" spans="1:14" ht="13">
      <c r="A17" s="23" t="s">
        <v>30</v>
      </c>
      <c r="B17" s="19">
        <f>'4th Q Co Share Calculations'!BI20</f>
        <v>62</v>
      </c>
      <c r="C17" s="19">
        <f>'4th Q Co Share Calculations'!BJ20</f>
        <v>1779</v>
      </c>
      <c r="D17" s="19">
        <f>'4th Q Co Share Calculations'!BK20</f>
        <v>0</v>
      </c>
      <c r="E17" s="19">
        <f>'4th Q Co Share Calculations'!BL20</f>
        <v>58</v>
      </c>
      <c r="F17" s="19">
        <f>'4th Q Co Share Calculations'!BM20</f>
        <v>39</v>
      </c>
      <c r="G17" s="19">
        <f>'4th Q Co Share Calculations'!BN20</f>
        <v>0</v>
      </c>
      <c r="H17" s="19">
        <f>'4th Q Co Share Calculations'!BO20</f>
        <v>0</v>
      </c>
      <c r="I17" s="19">
        <f>'4th Q Co Share Calculations'!BP20</f>
        <v>0</v>
      </c>
      <c r="J17" s="19">
        <f>'4th Q Co Share Calculations'!BQ20</f>
        <v>375</v>
      </c>
      <c r="K17" s="18">
        <f t="shared" si="0"/>
        <v>2313</v>
      </c>
      <c r="M17" s="14"/>
      <c r="N17" s="12"/>
    </row>
    <row r="18" spans="1:14" ht="13">
      <c r="A18" s="23" t="s">
        <v>29</v>
      </c>
      <c r="B18" s="19">
        <f>'4th Q Co Share Calculations'!BI21</f>
        <v>4134</v>
      </c>
      <c r="C18" s="19">
        <f>'4th Q Co Share Calculations'!BJ21</f>
        <v>131194</v>
      </c>
      <c r="D18" s="19">
        <f>'4th Q Co Share Calculations'!BK21</f>
        <v>33</v>
      </c>
      <c r="E18" s="19">
        <f>'4th Q Co Share Calculations'!BL21</f>
        <v>3860</v>
      </c>
      <c r="F18" s="19">
        <f>'4th Q Co Share Calculations'!BM21</f>
        <v>2818</v>
      </c>
      <c r="G18" s="19">
        <f>'4th Q Co Share Calculations'!BN21</f>
        <v>1</v>
      </c>
      <c r="H18" s="19">
        <f>'4th Q Co Share Calculations'!BO21</f>
        <v>11</v>
      </c>
      <c r="I18" s="19">
        <f>'4th Q Co Share Calculations'!BP21</f>
        <v>16</v>
      </c>
      <c r="J18" s="19">
        <f>'4th Q Co Share Calculations'!BQ21</f>
        <v>18531</v>
      </c>
      <c r="K18" s="18">
        <f t="shared" si="0"/>
        <v>160598</v>
      </c>
      <c r="M18" s="14"/>
      <c r="N18" s="12"/>
    </row>
    <row r="19" spans="1:14" ht="13">
      <c r="A19" s="23" t="s">
        <v>28</v>
      </c>
      <c r="B19" s="19">
        <f>'4th Q Co Share Calculations'!BI22</f>
        <v>596</v>
      </c>
      <c r="C19" s="19">
        <f>'4th Q Co Share Calculations'!BJ22</f>
        <v>18920</v>
      </c>
      <c r="D19" s="19">
        <f>'4th Q Co Share Calculations'!BK22</f>
        <v>5</v>
      </c>
      <c r="E19" s="19">
        <f>'4th Q Co Share Calculations'!BL22</f>
        <v>556</v>
      </c>
      <c r="F19" s="19">
        <f>'4th Q Co Share Calculations'!BM22</f>
        <v>405</v>
      </c>
      <c r="G19" s="19">
        <f>'4th Q Co Share Calculations'!BN22</f>
        <v>1</v>
      </c>
      <c r="H19" s="19">
        <f>'4th Q Co Share Calculations'!BO22</f>
        <v>2</v>
      </c>
      <c r="I19" s="19">
        <f>'4th Q Co Share Calculations'!BP22</f>
        <v>2</v>
      </c>
      <c r="J19" s="19">
        <f>'4th Q Co Share Calculations'!BQ22</f>
        <v>2256</v>
      </c>
      <c r="K19" s="18">
        <f t="shared" si="0"/>
        <v>22743</v>
      </c>
      <c r="M19" s="14"/>
      <c r="N19" s="12"/>
    </row>
    <row r="20" spans="1:14" ht="13">
      <c r="A20" s="23" t="s">
        <v>27</v>
      </c>
      <c r="B20" s="19">
        <f>'4th Q Co Share Calculations'!BI23</f>
        <v>323</v>
      </c>
      <c r="C20" s="19">
        <f>'4th Q Co Share Calculations'!BJ23</f>
        <v>10106</v>
      </c>
      <c r="D20" s="19">
        <f>'4th Q Co Share Calculations'!BK23</f>
        <v>3</v>
      </c>
      <c r="E20" s="19">
        <f>'4th Q Co Share Calculations'!BL23</f>
        <v>301</v>
      </c>
      <c r="F20" s="19">
        <f>'4th Q Co Share Calculations'!BM23</f>
        <v>218</v>
      </c>
      <c r="G20" s="19">
        <f>'4th Q Co Share Calculations'!BN23</f>
        <v>0</v>
      </c>
      <c r="H20" s="19">
        <f>'4th Q Co Share Calculations'!BO23</f>
        <v>1</v>
      </c>
      <c r="I20" s="19">
        <f>'4th Q Co Share Calculations'!BP23</f>
        <v>1</v>
      </c>
      <c r="J20" s="19">
        <f>'4th Q Co Share Calculations'!BQ23</f>
        <v>1028</v>
      </c>
      <c r="K20" s="18">
        <f t="shared" si="0"/>
        <v>11981</v>
      </c>
      <c r="M20" s="14"/>
      <c r="N20" s="12"/>
    </row>
    <row r="21" spans="1:14" ht="13">
      <c r="A21" s="23" t="s">
        <v>26</v>
      </c>
      <c r="B21" s="19">
        <f>'4th Q Co Share Calculations'!BI24</f>
        <v>74</v>
      </c>
      <c r="C21" s="19">
        <f>'4th Q Co Share Calculations'!BJ24</f>
        <v>2407</v>
      </c>
      <c r="D21" s="19">
        <f>'4th Q Co Share Calculations'!BK24</f>
        <v>1</v>
      </c>
      <c r="E21" s="19">
        <f>'4th Q Co Share Calculations'!BL24</f>
        <v>70</v>
      </c>
      <c r="F21" s="19">
        <f>'4th Q Co Share Calculations'!BM24</f>
        <v>51</v>
      </c>
      <c r="G21" s="19">
        <f>'4th Q Co Share Calculations'!BN24</f>
        <v>0</v>
      </c>
      <c r="H21" s="19">
        <f>'4th Q Co Share Calculations'!BO24</f>
        <v>0</v>
      </c>
      <c r="I21" s="19">
        <f>'4th Q Co Share Calculations'!BP24</f>
        <v>0</v>
      </c>
      <c r="J21" s="19">
        <f>'4th Q Co Share Calculations'!BQ24</f>
        <v>527</v>
      </c>
      <c r="K21" s="18">
        <f t="shared" si="0"/>
        <v>3130</v>
      </c>
      <c r="M21" s="14"/>
      <c r="N21" s="12"/>
    </row>
    <row r="22" spans="1:14" ht="13">
      <c r="A22" s="23" t="s">
        <v>25</v>
      </c>
      <c r="B22" s="19">
        <f>'4th Q Co Share Calculations'!BI25</f>
        <v>35940</v>
      </c>
      <c r="C22" s="19">
        <f ca="1">'4th Q Co Share Calculations'!BJ25</f>
        <v>820311</v>
      </c>
      <c r="D22" s="19">
        <f>'4th Q Co Share Calculations'!BK25</f>
        <v>289</v>
      </c>
      <c r="E22" s="19">
        <f>'4th Q Co Share Calculations'!BL25</f>
        <v>33557</v>
      </c>
      <c r="F22" s="19">
        <f ca="1">'4th Q Co Share Calculations'!BM25</f>
        <v>17168</v>
      </c>
      <c r="G22" s="19">
        <f>'4th Q Co Share Calculations'!BN25</f>
        <v>11</v>
      </c>
      <c r="H22" s="19">
        <f>'4th Q Co Share Calculations'!BO25</f>
        <v>96</v>
      </c>
      <c r="I22" s="19">
        <f>'4th Q Co Share Calculations'!BP25</f>
        <v>139</v>
      </c>
      <c r="J22" s="19">
        <f ca="1">'4th Q Co Share Calculations'!BQ25</f>
        <v>500489</v>
      </c>
      <c r="K22" s="18">
        <f t="shared" ca="1" si="0"/>
        <v>1408000</v>
      </c>
      <c r="M22" s="14"/>
      <c r="N22" s="12"/>
    </row>
    <row r="23" spans="1:14" ht="13">
      <c r="A23" s="23" t="s">
        <v>24</v>
      </c>
      <c r="B23" s="19">
        <f>'4th Q Co Share Calculations'!BI26</f>
        <v>720</v>
      </c>
      <c r="C23" s="19">
        <f>'4th Q Co Share Calculations'!BJ26</f>
        <v>22885</v>
      </c>
      <c r="D23" s="19">
        <f>'4th Q Co Share Calculations'!BK26</f>
        <v>6</v>
      </c>
      <c r="E23" s="19">
        <f>'4th Q Co Share Calculations'!BL26</f>
        <v>672</v>
      </c>
      <c r="F23" s="19">
        <f>'4th Q Co Share Calculations'!BM26</f>
        <v>492</v>
      </c>
      <c r="G23" s="19">
        <f>'4th Q Co Share Calculations'!BN26</f>
        <v>0</v>
      </c>
      <c r="H23" s="19">
        <f>'4th Q Co Share Calculations'!BO26</f>
        <v>2</v>
      </c>
      <c r="I23" s="19">
        <f>'4th Q Co Share Calculations'!BP26</f>
        <v>3</v>
      </c>
      <c r="J23" s="19">
        <f>'4th Q Co Share Calculations'!BQ26</f>
        <v>2840</v>
      </c>
      <c r="K23" s="18">
        <f t="shared" si="0"/>
        <v>27620</v>
      </c>
      <c r="M23" s="14"/>
      <c r="N23" s="12"/>
    </row>
    <row r="24" spans="1:14" ht="13">
      <c r="A24" s="23" t="s">
        <v>23</v>
      </c>
      <c r="B24" s="19">
        <f>'4th Q Co Share Calculations'!BI27</f>
        <v>422</v>
      </c>
      <c r="C24" s="19">
        <f>'4th Q Co Share Calculations'!BJ27</f>
        <v>12887</v>
      </c>
      <c r="D24" s="19">
        <f>'4th Q Co Share Calculations'!BK27</f>
        <v>3</v>
      </c>
      <c r="E24" s="19">
        <f>'4th Q Co Share Calculations'!BL27</f>
        <v>394</v>
      </c>
      <c r="F24" s="19">
        <f>'4th Q Co Share Calculations'!BM27</f>
        <v>288</v>
      </c>
      <c r="G24" s="19">
        <f>'4th Q Co Share Calculations'!BN27</f>
        <v>0</v>
      </c>
      <c r="H24" s="19">
        <f>'4th Q Co Share Calculations'!BO27</f>
        <v>1</v>
      </c>
      <c r="I24" s="19">
        <f>'4th Q Co Share Calculations'!BP27</f>
        <v>2</v>
      </c>
      <c r="J24" s="19">
        <f>'4th Q Co Share Calculations'!BQ27</f>
        <v>4350</v>
      </c>
      <c r="K24" s="18">
        <f t="shared" si="0"/>
        <v>18347</v>
      </c>
      <c r="M24" s="14"/>
      <c r="N24" s="12"/>
    </row>
    <row r="25" spans="1:14" ht="13">
      <c r="A25" s="23" t="s">
        <v>22</v>
      </c>
      <c r="B25" s="19">
        <f>'4th Q Co Share Calculations'!BI28</f>
        <v>50</v>
      </c>
      <c r="C25" s="19">
        <f>'4th Q Co Share Calculations'!BJ28</f>
        <v>1557</v>
      </c>
      <c r="D25" s="19">
        <f>'4th Q Co Share Calculations'!BK28</f>
        <v>0</v>
      </c>
      <c r="E25" s="19">
        <f>'4th Q Co Share Calculations'!BL28</f>
        <v>46</v>
      </c>
      <c r="F25" s="19">
        <f>'4th Q Co Share Calculations'!BM28</f>
        <v>33</v>
      </c>
      <c r="G25" s="19">
        <f>'4th Q Co Share Calculations'!BN28</f>
        <v>0</v>
      </c>
      <c r="H25" s="19">
        <f>'4th Q Co Share Calculations'!BO28</f>
        <v>0</v>
      </c>
      <c r="I25" s="19">
        <f>'4th Q Co Share Calculations'!BP28</f>
        <v>0</v>
      </c>
      <c r="J25" s="19">
        <f>'4th Q Co Share Calculations'!BQ28</f>
        <v>303</v>
      </c>
      <c r="K25" s="18">
        <f t="shared" si="0"/>
        <v>1989</v>
      </c>
      <c r="M25" s="14"/>
      <c r="N25" s="12"/>
    </row>
    <row r="26" spans="1:14" ht="13">
      <c r="A26" s="23" t="s">
        <v>21</v>
      </c>
      <c r="B26" s="19">
        <f>'4th Q Co Share Calculations'!BI29</f>
        <v>397</v>
      </c>
      <c r="C26" s="19">
        <f>'4th Q Co Share Calculations'!BJ29</f>
        <v>12162</v>
      </c>
      <c r="D26" s="19">
        <f>'4th Q Co Share Calculations'!BK29</f>
        <v>3</v>
      </c>
      <c r="E26" s="19">
        <f>'4th Q Co Share Calculations'!BL29</f>
        <v>371</v>
      </c>
      <c r="F26" s="19">
        <f>'4th Q Co Share Calculations'!BM29</f>
        <v>267</v>
      </c>
      <c r="G26" s="19">
        <f>'4th Q Co Share Calculations'!BN29</f>
        <v>0</v>
      </c>
      <c r="H26" s="19">
        <f>'4th Q Co Share Calculations'!BO29</f>
        <v>1</v>
      </c>
      <c r="I26" s="19">
        <f>'4th Q Co Share Calculations'!BP29</f>
        <v>2</v>
      </c>
      <c r="J26" s="19">
        <f>'4th Q Co Share Calculations'!BQ29</f>
        <v>1501</v>
      </c>
      <c r="K26" s="18">
        <f t="shared" si="0"/>
        <v>14704</v>
      </c>
      <c r="M26" s="14"/>
      <c r="N26" s="12"/>
    </row>
    <row r="27" spans="1:14" ht="13">
      <c r="A27" s="23" t="s">
        <v>20</v>
      </c>
      <c r="B27" s="19">
        <f>'4th Q Co Share Calculations'!BI30</f>
        <v>1378</v>
      </c>
      <c r="C27" s="19">
        <f>'4th Q Co Share Calculations'!BJ30</f>
        <v>43726</v>
      </c>
      <c r="D27" s="19">
        <f>'4th Q Co Share Calculations'!BK30</f>
        <v>12</v>
      </c>
      <c r="E27" s="19">
        <f>'4th Q Co Share Calculations'!BL30</f>
        <v>1287</v>
      </c>
      <c r="F27" s="19">
        <f>'4th Q Co Share Calculations'!BM30</f>
        <v>938</v>
      </c>
      <c r="G27" s="19">
        <f>'4th Q Co Share Calculations'!BN30</f>
        <v>0</v>
      </c>
      <c r="H27" s="19">
        <f>'4th Q Co Share Calculations'!BO30</f>
        <v>4</v>
      </c>
      <c r="I27" s="19">
        <f>'4th Q Co Share Calculations'!BP30</f>
        <v>5</v>
      </c>
      <c r="J27" s="19">
        <f>'4th Q Co Share Calculations'!BQ30</f>
        <v>4726</v>
      </c>
      <c r="K27" s="18">
        <f t="shared" si="0"/>
        <v>52076</v>
      </c>
      <c r="M27" s="14"/>
      <c r="N27" s="12"/>
    </row>
    <row r="28" spans="1:14" ht="13">
      <c r="A28" s="23" t="s">
        <v>19</v>
      </c>
      <c r="B28" s="19">
        <f>'4th Q Co Share Calculations'!BI31</f>
        <v>25</v>
      </c>
      <c r="C28" s="19">
        <f>'4th Q Co Share Calculations'!BJ31</f>
        <v>954</v>
      </c>
      <c r="D28" s="19">
        <f>'4th Q Co Share Calculations'!BK31</f>
        <v>0</v>
      </c>
      <c r="E28" s="19">
        <f>'4th Q Co Share Calculations'!BL31</f>
        <v>23</v>
      </c>
      <c r="F28" s="19">
        <f>'4th Q Co Share Calculations'!BM31</f>
        <v>20</v>
      </c>
      <c r="G28" s="19">
        <f>'4th Q Co Share Calculations'!BN31</f>
        <v>0</v>
      </c>
      <c r="H28" s="19">
        <f>'4th Q Co Share Calculations'!BO31</f>
        <v>0</v>
      </c>
      <c r="I28" s="19">
        <f>'4th Q Co Share Calculations'!BP31</f>
        <v>0</v>
      </c>
      <c r="J28" s="19">
        <f>'4th Q Co Share Calculations'!BQ31</f>
        <v>232</v>
      </c>
      <c r="K28" s="18">
        <f t="shared" si="0"/>
        <v>1254</v>
      </c>
      <c r="M28" s="14"/>
      <c r="N28" s="12"/>
    </row>
    <row r="29" spans="1:14" ht="13">
      <c r="A29" s="23" t="s">
        <v>18</v>
      </c>
      <c r="B29" s="19">
        <f>'4th Q Co Share Calculations'!BI32</f>
        <v>37</v>
      </c>
      <c r="C29" s="19">
        <f>'4th Q Co Share Calculations'!BJ32</f>
        <v>1036</v>
      </c>
      <c r="D29" s="19">
        <f>'4th Q Co Share Calculations'!BK32</f>
        <v>0</v>
      </c>
      <c r="E29" s="19">
        <f>'4th Q Co Share Calculations'!BL32</f>
        <v>35</v>
      </c>
      <c r="F29" s="19">
        <f>'4th Q Co Share Calculations'!BM32</f>
        <v>23</v>
      </c>
      <c r="G29" s="19">
        <f>'4th Q Co Share Calculations'!BN32</f>
        <v>0</v>
      </c>
      <c r="H29" s="19">
        <f>'4th Q Co Share Calculations'!BO32</f>
        <v>0</v>
      </c>
      <c r="I29" s="19">
        <f>'4th Q Co Share Calculations'!BP32</f>
        <v>0</v>
      </c>
      <c r="J29" s="19">
        <f>'4th Q Co Share Calculations'!BQ32</f>
        <v>127</v>
      </c>
      <c r="K29" s="18">
        <f t="shared" si="0"/>
        <v>1258</v>
      </c>
      <c r="M29" s="14"/>
      <c r="N29" s="12"/>
    </row>
    <row r="30" spans="1:14" ht="13">
      <c r="A30" s="23" t="s">
        <v>17</v>
      </c>
      <c r="B30" s="19">
        <f>'4th Q Co Share Calculations'!BI33</f>
        <v>1726</v>
      </c>
      <c r="C30" s="19">
        <f>'4th Q Co Share Calculations'!BJ33</f>
        <v>53217</v>
      </c>
      <c r="D30" s="19">
        <f>'4th Q Co Share Calculations'!BK33</f>
        <v>14</v>
      </c>
      <c r="E30" s="19">
        <f>'4th Q Co Share Calculations'!BL33</f>
        <v>1611</v>
      </c>
      <c r="F30" s="19">
        <f>'4th Q Co Share Calculations'!BM33</f>
        <v>1176</v>
      </c>
      <c r="G30" s="19">
        <f>'4th Q Co Share Calculations'!BN33</f>
        <v>1</v>
      </c>
      <c r="H30" s="19">
        <f>'4th Q Co Share Calculations'!BO33</f>
        <v>5</v>
      </c>
      <c r="I30" s="19">
        <f>'4th Q Co Share Calculations'!BP33</f>
        <v>7</v>
      </c>
      <c r="J30" s="19">
        <f>'4th Q Co Share Calculations'!BQ33</f>
        <v>7584</v>
      </c>
      <c r="K30" s="18">
        <f t="shared" si="0"/>
        <v>65341</v>
      </c>
      <c r="M30" s="14"/>
      <c r="N30" s="12"/>
    </row>
    <row r="31" spans="1:14" ht="13">
      <c r="A31" s="23" t="s">
        <v>16</v>
      </c>
      <c r="B31" s="19">
        <f>'4th Q Co Share Calculations'!BI34</f>
        <v>273</v>
      </c>
      <c r="C31" s="19">
        <f>'4th Q Co Share Calculations'!BJ34</f>
        <v>8495</v>
      </c>
      <c r="D31" s="19">
        <f>'4th Q Co Share Calculations'!BK34</f>
        <v>2</v>
      </c>
      <c r="E31" s="19">
        <f>'4th Q Co Share Calculations'!BL34</f>
        <v>255</v>
      </c>
      <c r="F31" s="19">
        <f>'4th Q Co Share Calculations'!BM34</f>
        <v>189</v>
      </c>
      <c r="G31" s="19">
        <f>'4th Q Co Share Calculations'!BN34</f>
        <v>0</v>
      </c>
      <c r="H31" s="19">
        <f>'4th Q Co Share Calculations'!BO34</f>
        <v>1</v>
      </c>
      <c r="I31" s="19">
        <f>'4th Q Co Share Calculations'!BP34</f>
        <v>1</v>
      </c>
      <c r="J31" s="19">
        <f>'4th Q Co Share Calculations'!BQ34</f>
        <v>945</v>
      </c>
      <c r="K31" s="18">
        <f t="shared" si="0"/>
        <v>10161</v>
      </c>
      <c r="M31" s="14"/>
      <c r="N31" s="12"/>
    </row>
    <row r="32" spans="1:14" ht="13">
      <c r="A32" s="23" t="s">
        <v>15</v>
      </c>
      <c r="B32" s="19">
        <f>'4th Q Co Share Calculations'!BI35</f>
        <v>236</v>
      </c>
      <c r="C32" s="19">
        <f>'4th Q Co Share Calculations'!BJ35</f>
        <v>7372</v>
      </c>
      <c r="D32" s="19">
        <f>'4th Q Co Share Calculations'!BK35</f>
        <v>2</v>
      </c>
      <c r="E32" s="19">
        <f>'4th Q Co Share Calculations'!BL35</f>
        <v>220</v>
      </c>
      <c r="F32" s="19">
        <f>'4th Q Co Share Calculations'!BM35</f>
        <v>161</v>
      </c>
      <c r="G32" s="19">
        <f>'4th Q Co Share Calculations'!BN35</f>
        <v>0</v>
      </c>
      <c r="H32" s="19">
        <f>'4th Q Co Share Calculations'!BO35</f>
        <v>1</v>
      </c>
      <c r="I32" s="19">
        <f>'4th Q Co Share Calculations'!BP35</f>
        <v>1</v>
      </c>
      <c r="J32" s="19">
        <f>'4th Q Co Share Calculations'!BQ35</f>
        <v>1118</v>
      </c>
      <c r="K32" s="18">
        <f t="shared" si="0"/>
        <v>9111</v>
      </c>
      <c r="M32" s="14"/>
      <c r="N32" s="12"/>
    </row>
    <row r="33" spans="1:14" ht="13">
      <c r="A33" s="23" t="s">
        <v>168</v>
      </c>
      <c r="B33" s="19">
        <f>'4th Q Co Share Calculations'!BI36</f>
        <v>8181</v>
      </c>
      <c r="C33" s="19">
        <f>'4th Q Co Share Calculations'!BJ36</f>
        <v>121717</v>
      </c>
      <c r="D33" s="19">
        <f>'4th Q Co Share Calculations'!BK36</f>
        <v>66</v>
      </c>
      <c r="E33" s="19">
        <f>'4th Q Co Share Calculations'!BL36</f>
        <v>7639</v>
      </c>
      <c r="F33" s="19">
        <f>'4th Q Co Share Calculations'!BM36</f>
        <v>2567</v>
      </c>
      <c r="G33" s="19">
        <f>'4th Q Co Share Calculations'!BN36</f>
        <v>2</v>
      </c>
      <c r="H33" s="19">
        <f>'4th Q Co Share Calculations'!BO36</f>
        <v>22</v>
      </c>
      <c r="I33" s="19">
        <f>'4th Q Co Share Calculations'!BP36</f>
        <v>32</v>
      </c>
      <c r="J33" s="19">
        <f>'4th Q Co Share Calculations'!BQ36</f>
        <v>42377</v>
      </c>
      <c r="K33" s="18">
        <f t="shared" si="0"/>
        <v>182603</v>
      </c>
      <c r="M33" s="14"/>
      <c r="N33" s="12"/>
    </row>
    <row r="34" spans="1:14" ht="13">
      <c r="A34" s="23" t="s">
        <v>167</v>
      </c>
      <c r="B34" s="19">
        <f>'4th Q Co Share Calculations'!BI37</f>
        <v>559</v>
      </c>
      <c r="C34" s="19">
        <f>'4th Q Co Share Calculations'!BJ37</f>
        <v>11608</v>
      </c>
      <c r="D34" s="19">
        <f>'4th Q Co Share Calculations'!BK37</f>
        <v>4</v>
      </c>
      <c r="E34" s="19">
        <f>'4th Q Co Share Calculations'!BL37</f>
        <v>522</v>
      </c>
      <c r="F34" s="19">
        <f>'4th Q Co Share Calculations'!BM37</f>
        <v>226</v>
      </c>
      <c r="G34" s="19">
        <f>'4th Q Co Share Calculations'!BN37</f>
        <v>1</v>
      </c>
      <c r="H34" s="19">
        <f>'4th Q Co Share Calculations'!BO37</f>
        <v>1</v>
      </c>
      <c r="I34" s="19">
        <f>'4th Q Co Share Calculations'!BP37</f>
        <v>2</v>
      </c>
      <c r="J34" s="19">
        <f>'4th Q Co Share Calculations'!BQ37</f>
        <v>3407</v>
      </c>
      <c r="K34" s="18">
        <f t="shared" si="0"/>
        <v>16330</v>
      </c>
      <c r="M34" s="14"/>
      <c r="N34" s="12"/>
    </row>
    <row r="35" spans="1:14" ht="13">
      <c r="A35" s="23" t="s">
        <v>14</v>
      </c>
      <c r="B35" s="19">
        <f>'4th Q Co Share Calculations'!BI38</f>
        <v>62</v>
      </c>
      <c r="C35" s="19">
        <f>'4th Q Co Share Calculations'!BJ38</f>
        <v>1903</v>
      </c>
      <c r="D35" s="19">
        <f>'4th Q Co Share Calculations'!BK38</f>
        <v>0</v>
      </c>
      <c r="E35" s="19">
        <f>'4th Q Co Share Calculations'!BL38</f>
        <v>58</v>
      </c>
      <c r="F35" s="19">
        <f>'4th Q Co Share Calculations'!BM38</f>
        <v>41</v>
      </c>
      <c r="G35" s="19">
        <f>'4th Q Co Share Calculations'!BN38</f>
        <v>0</v>
      </c>
      <c r="H35" s="19">
        <f>'4th Q Co Share Calculations'!BO38</f>
        <v>0</v>
      </c>
      <c r="I35" s="19">
        <f>'4th Q Co Share Calculations'!BP38</f>
        <v>0</v>
      </c>
      <c r="J35" s="19">
        <f>'4th Q Co Share Calculations'!BQ38</f>
        <v>332</v>
      </c>
      <c r="K35" s="18">
        <f t="shared" si="0"/>
        <v>2396</v>
      </c>
      <c r="M35" s="14"/>
      <c r="N35" s="12"/>
    </row>
    <row r="36" spans="1:14" ht="13">
      <c r="A36" s="23" t="s">
        <v>13</v>
      </c>
      <c r="B36" s="19">
        <f>'4th Q Co Share Calculations'!BI39</f>
        <v>7921</v>
      </c>
      <c r="C36" s="19">
        <f>'4th Q Co Share Calculations'!BJ39</f>
        <v>248979</v>
      </c>
      <c r="D36" s="19">
        <f>'4th Q Co Share Calculations'!BK39</f>
        <v>64</v>
      </c>
      <c r="E36" s="19">
        <f>'4th Q Co Share Calculations'!BL39</f>
        <v>7395</v>
      </c>
      <c r="F36" s="19">
        <f>'4th Q Co Share Calculations'!BM39</f>
        <v>5404</v>
      </c>
      <c r="G36" s="19">
        <f>'4th Q Co Share Calculations'!BN39</f>
        <v>2</v>
      </c>
      <c r="H36" s="19">
        <f>'4th Q Co Share Calculations'!BO39</f>
        <v>21</v>
      </c>
      <c r="I36" s="19">
        <f>'4th Q Co Share Calculations'!BP39</f>
        <v>31</v>
      </c>
      <c r="J36" s="19">
        <f>'4th Q Co Share Calculations'!BQ39</f>
        <v>25160</v>
      </c>
      <c r="K36" s="18">
        <f t="shared" si="0"/>
        <v>294977</v>
      </c>
      <c r="M36" s="14"/>
      <c r="N36" s="12"/>
    </row>
    <row r="37" spans="1:14" ht="13">
      <c r="A37" s="23" t="s">
        <v>166</v>
      </c>
      <c r="B37" s="19">
        <f>'4th Q Co Share Calculations'!BI40</f>
        <v>5202</v>
      </c>
      <c r="C37" s="19">
        <f>'4th Q Co Share Calculations'!BJ40</f>
        <v>104420</v>
      </c>
      <c r="D37" s="19">
        <f>'4th Q Co Share Calculations'!BK40</f>
        <v>42</v>
      </c>
      <c r="E37" s="19">
        <f>'4th Q Co Share Calculations'!BL40</f>
        <v>4857</v>
      </c>
      <c r="F37" s="19">
        <f>'4th Q Co Share Calculations'!BM40</f>
        <v>2023</v>
      </c>
      <c r="G37" s="19">
        <f>'4th Q Co Share Calculations'!BN40</f>
        <v>2</v>
      </c>
      <c r="H37" s="19">
        <f>'4th Q Co Share Calculations'!BO40</f>
        <v>14</v>
      </c>
      <c r="I37" s="19">
        <f>'4th Q Co Share Calculations'!BP40</f>
        <v>21</v>
      </c>
      <c r="J37" s="19">
        <f>'4th Q Co Share Calculations'!BQ40</f>
        <v>30945</v>
      </c>
      <c r="K37" s="18">
        <f t="shared" si="0"/>
        <v>147526</v>
      </c>
      <c r="M37" s="14"/>
      <c r="N37" s="12"/>
    </row>
    <row r="38" spans="1:14" ht="13">
      <c r="A38" s="23" t="s">
        <v>12</v>
      </c>
      <c r="B38" s="19">
        <f>'4th Q Co Share Calculations'!BI41</f>
        <v>174</v>
      </c>
      <c r="C38" s="19">
        <f>'4th Q Co Share Calculations'!BJ41</f>
        <v>5345</v>
      </c>
      <c r="D38" s="19">
        <f>'4th Q Co Share Calculations'!BK41</f>
        <v>1</v>
      </c>
      <c r="E38" s="19">
        <f>'4th Q Co Share Calculations'!BL41</f>
        <v>162</v>
      </c>
      <c r="F38" s="19">
        <f>'4th Q Co Share Calculations'!BM41</f>
        <v>118</v>
      </c>
      <c r="G38" s="19">
        <f>'4th Q Co Share Calculations'!BN41</f>
        <v>0</v>
      </c>
      <c r="H38" s="19">
        <f>'4th Q Co Share Calculations'!BO41</f>
        <v>0</v>
      </c>
      <c r="I38" s="19">
        <f>'4th Q Co Share Calculations'!BP41</f>
        <v>1</v>
      </c>
      <c r="J38" s="19">
        <f>'4th Q Co Share Calculations'!BQ41</f>
        <v>996</v>
      </c>
      <c r="K38" s="18">
        <f t="shared" si="0"/>
        <v>6797</v>
      </c>
      <c r="M38" s="14"/>
      <c r="N38" s="12"/>
    </row>
    <row r="39" spans="1:14" ht="13">
      <c r="A39" s="23" t="s">
        <v>11</v>
      </c>
      <c r="B39" s="19">
        <f>'4th Q Co Share Calculations'!BI42</f>
        <v>8728</v>
      </c>
      <c r="C39" s="19">
        <f>'4th Q Co Share Calculations'!BJ42</f>
        <v>278641</v>
      </c>
      <c r="D39" s="19">
        <f>'4th Q Co Share Calculations'!BK42</f>
        <v>70</v>
      </c>
      <c r="E39" s="19">
        <f>'4th Q Co Share Calculations'!BL42</f>
        <v>8149</v>
      </c>
      <c r="F39" s="19">
        <f>'4th Q Co Share Calculations'!BM42</f>
        <v>5953</v>
      </c>
      <c r="G39" s="19">
        <f>'4th Q Co Share Calculations'!BN42</f>
        <v>3</v>
      </c>
      <c r="H39" s="19">
        <f>'4th Q Co Share Calculations'!BO42</f>
        <v>23</v>
      </c>
      <c r="I39" s="19">
        <f>'4th Q Co Share Calculations'!BP42</f>
        <v>34</v>
      </c>
      <c r="J39" s="19">
        <f>'4th Q Co Share Calculations'!BQ42</f>
        <v>27073</v>
      </c>
      <c r="K39" s="18">
        <f t="shared" si="0"/>
        <v>328674</v>
      </c>
      <c r="M39" s="14"/>
      <c r="N39" s="12"/>
    </row>
    <row r="40" spans="1:14" ht="13">
      <c r="A40" s="286" t="s">
        <v>165</v>
      </c>
      <c r="B40" s="19">
        <f>'4th Q Co Share Calculations'!BI43</f>
        <v>8281</v>
      </c>
      <c r="C40" s="19">
        <f>'4th Q Co Share Calculations'!BJ43</f>
        <v>145949</v>
      </c>
      <c r="D40" s="19">
        <f>'4th Q Co Share Calculations'!BK43</f>
        <v>66</v>
      </c>
      <c r="E40" s="19">
        <f>'4th Q Co Share Calculations'!BL43</f>
        <v>7731</v>
      </c>
      <c r="F40" s="19">
        <f>'4th Q Co Share Calculations'!BM43</f>
        <v>2933</v>
      </c>
      <c r="G40" s="19">
        <f>'4th Q Co Share Calculations'!BN43</f>
        <v>2</v>
      </c>
      <c r="H40" s="19">
        <f>'4th Q Co Share Calculations'!BO43</f>
        <v>23</v>
      </c>
      <c r="I40" s="19">
        <f>'4th Q Co Share Calculations'!BP43</f>
        <v>32</v>
      </c>
      <c r="J40" s="19">
        <f>'4th Q Co Share Calculations'!BQ43</f>
        <v>46308</v>
      </c>
      <c r="K40" s="18">
        <f t="shared" si="0"/>
        <v>211325</v>
      </c>
      <c r="M40" s="14"/>
      <c r="N40" s="12"/>
    </row>
    <row r="41" spans="1:14" ht="13">
      <c r="A41" s="286" t="s">
        <v>164</v>
      </c>
      <c r="B41" s="19">
        <f>'4th Q Co Share Calculations'!BI44</f>
        <v>1775</v>
      </c>
      <c r="C41" s="19">
        <f>'4th Q Co Share Calculations'!BJ44</f>
        <v>59139</v>
      </c>
      <c r="D41" s="19">
        <f>'4th Q Co Share Calculations'!BK44</f>
        <v>14</v>
      </c>
      <c r="E41" s="19">
        <f>'4th Q Co Share Calculations'!BL44</f>
        <v>1658</v>
      </c>
      <c r="F41" s="19">
        <f>'4th Q Co Share Calculations'!BM44</f>
        <v>1060</v>
      </c>
      <c r="G41" s="19">
        <f>'4th Q Co Share Calculations'!BN44</f>
        <v>1</v>
      </c>
      <c r="H41" s="19">
        <f>'4th Q Co Share Calculations'!BO44</f>
        <v>5</v>
      </c>
      <c r="I41" s="19">
        <f>'4th Q Co Share Calculations'!BP44</f>
        <v>7</v>
      </c>
      <c r="J41" s="19">
        <f>'4th Q Co Share Calculations'!BQ44</f>
        <v>14307</v>
      </c>
      <c r="K41" s="18">
        <f t="shared" si="0"/>
        <v>77966</v>
      </c>
      <c r="M41" s="14"/>
      <c r="N41" s="12"/>
    </row>
    <row r="42" spans="1:14" ht="13">
      <c r="A42" s="23" t="s">
        <v>10</v>
      </c>
      <c r="B42" s="19">
        <f>'4th Q Co Share Calculations'!BI45</f>
        <v>2842</v>
      </c>
      <c r="C42" s="19">
        <f>'4th Q Co Share Calculations'!BJ45</f>
        <v>89693</v>
      </c>
      <c r="D42" s="19">
        <f>'4th Q Co Share Calculations'!BK45</f>
        <v>23</v>
      </c>
      <c r="E42" s="19">
        <f>'4th Q Co Share Calculations'!BL45</f>
        <v>2654</v>
      </c>
      <c r="F42" s="19">
        <f>'4th Q Co Share Calculations'!BM45</f>
        <v>1934</v>
      </c>
      <c r="G42" s="19">
        <f>'4th Q Co Share Calculations'!BN45</f>
        <v>1</v>
      </c>
      <c r="H42" s="19">
        <f>'4th Q Co Share Calculations'!BO45</f>
        <v>8</v>
      </c>
      <c r="I42" s="19">
        <f>'4th Q Co Share Calculations'!BP45</f>
        <v>11</v>
      </c>
      <c r="J42" s="19">
        <f>'4th Q Co Share Calculations'!BQ45</f>
        <v>13508</v>
      </c>
      <c r="K42" s="18">
        <f t="shared" si="0"/>
        <v>110674</v>
      </c>
      <c r="M42" s="14"/>
      <c r="N42" s="12"/>
    </row>
    <row r="43" spans="1:14" ht="13">
      <c r="A43" s="23" t="s">
        <v>163</v>
      </c>
      <c r="B43" s="19">
        <f>'4th Q Co Share Calculations'!BI46</f>
        <v>559</v>
      </c>
      <c r="C43" s="19">
        <f>'4th Q Co Share Calculations'!BJ46</f>
        <v>18506</v>
      </c>
      <c r="D43" s="19">
        <f>'4th Q Co Share Calculations'!BK46</f>
        <v>4</v>
      </c>
      <c r="E43" s="19">
        <f>'4th Q Co Share Calculations'!BL46</f>
        <v>522</v>
      </c>
      <c r="F43" s="19">
        <f>'4th Q Co Share Calculations'!BM46</f>
        <v>331</v>
      </c>
      <c r="G43" s="19">
        <f>'4th Q Co Share Calculations'!BN46</f>
        <v>0</v>
      </c>
      <c r="H43" s="19">
        <f>'4th Q Co Share Calculations'!BO46</f>
        <v>1</v>
      </c>
      <c r="I43" s="19">
        <f>'4th Q Co Share Calculations'!BP46</f>
        <v>2</v>
      </c>
      <c r="J43" s="19">
        <f>'4th Q Co Share Calculations'!BQ46</f>
        <v>4480</v>
      </c>
      <c r="K43" s="18">
        <f t="shared" si="0"/>
        <v>24405</v>
      </c>
      <c r="M43" s="14"/>
      <c r="N43" s="12"/>
    </row>
    <row r="44" spans="1:14" ht="13">
      <c r="A44" s="23" t="s">
        <v>162</v>
      </c>
      <c r="B44" s="19">
        <f>'4th Q Co Share Calculations'!BI47</f>
        <v>1279</v>
      </c>
      <c r="C44" s="19">
        <f>'4th Q Co Share Calculations'!BJ47</f>
        <v>20581</v>
      </c>
      <c r="D44" s="19">
        <f>'4th Q Co Share Calculations'!BK47</f>
        <v>10</v>
      </c>
      <c r="E44" s="19">
        <f>'4th Q Co Share Calculations'!BL47</f>
        <v>1194</v>
      </c>
      <c r="F44" s="19">
        <f>'4th Q Co Share Calculations'!BM47</f>
        <v>429</v>
      </c>
      <c r="G44" s="19">
        <f>'4th Q Co Share Calculations'!BN47</f>
        <v>0</v>
      </c>
      <c r="H44" s="19">
        <f>'4th Q Co Share Calculations'!BO47</f>
        <v>3</v>
      </c>
      <c r="I44" s="19">
        <f>'4th Q Co Share Calculations'!BP47</f>
        <v>5</v>
      </c>
      <c r="J44" s="19">
        <f>'4th Q Co Share Calculations'!BQ47</f>
        <v>6908</v>
      </c>
      <c r="K44" s="18">
        <f t="shared" si="0"/>
        <v>30409</v>
      </c>
      <c r="M44" s="14"/>
      <c r="N44" s="12"/>
    </row>
    <row r="45" spans="1:14" ht="13">
      <c r="A45" s="23" t="s">
        <v>161</v>
      </c>
      <c r="B45" s="19">
        <f>'4th Q Co Share Calculations'!BI48</f>
        <v>1390</v>
      </c>
      <c r="C45" s="19">
        <f>'4th Q Co Share Calculations'!BJ48</f>
        <v>30427</v>
      </c>
      <c r="D45" s="19">
        <f>'4th Q Co Share Calculations'!BK48</f>
        <v>11</v>
      </c>
      <c r="E45" s="19">
        <f>'4th Q Co Share Calculations'!BL48</f>
        <v>1298</v>
      </c>
      <c r="F45" s="19">
        <f>'4th Q Co Share Calculations'!BM48</f>
        <v>585</v>
      </c>
      <c r="G45" s="19">
        <f>'4th Q Co Share Calculations'!BN48</f>
        <v>0</v>
      </c>
      <c r="H45" s="19">
        <f>'4th Q Co Share Calculations'!BO48</f>
        <v>4</v>
      </c>
      <c r="I45" s="19">
        <f>'4th Q Co Share Calculations'!BP48</f>
        <v>5</v>
      </c>
      <c r="J45" s="19">
        <f>'4th Q Co Share Calculations'!BQ48</f>
        <v>8722</v>
      </c>
      <c r="K45" s="18">
        <f t="shared" si="0"/>
        <v>42442</v>
      </c>
      <c r="M45" s="14"/>
      <c r="N45" s="12"/>
    </row>
    <row r="46" spans="1:14" ht="13">
      <c r="A46" s="23" t="s">
        <v>160</v>
      </c>
      <c r="B46" s="19">
        <f>'4th Q Co Share Calculations'!BI49</f>
        <v>3625</v>
      </c>
      <c r="C46" s="19">
        <f>'4th Q Co Share Calculations'!BJ49</f>
        <v>96153</v>
      </c>
      <c r="D46" s="19">
        <f>'4th Q Co Share Calculations'!BK49</f>
        <v>29</v>
      </c>
      <c r="E46" s="19">
        <f>'4th Q Co Share Calculations'!BL49</f>
        <v>3385</v>
      </c>
      <c r="F46" s="19">
        <f>'4th Q Co Share Calculations'!BM49</f>
        <v>1789</v>
      </c>
      <c r="G46" s="19">
        <f>'4th Q Co Share Calculations'!BN49</f>
        <v>1</v>
      </c>
      <c r="H46" s="19">
        <f>'4th Q Co Share Calculations'!BO49</f>
        <v>10</v>
      </c>
      <c r="I46" s="19">
        <f>'4th Q Co Share Calculations'!BP49</f>
        <v>14</v>
      </c>
      <c r="J46" s="19">
        <f>'4th Q Co Share Calculations'!BQ49</f>
        <v>25422</v>
      </c>
      <c r="K46" s="18">
        <f t="shared" si="0"/>
        <v>130428</v>
      </c>
      <c r="M46" s="14"/>
      <c r="N46" s="12"/>
    </row>
    <row r="47" spans="1:14" ht="13">
      <c r="A47" s="23" t="s">
        <v>159</v>
      </c>
      <c r="B47" s="19">
        <f>'4th Q Co Share Calculations'!BI50</f>
        <v>757</v>
      </c>
      <c r="C47" s="19">
        <f>'4th Q Co Share Calculations'!BJ50</f>
        <v>18527</v>
      </c>
      <c r="D47" s="19">
        <f>'4th Q Co Share Calculations'!BK50</f>
        <v>6</v>
      </c>
      <c r="E47" s="19">
        <f>'4th Q Co Share Calculations'!BL50</f>
        <v>707</v>
      </c>
      <c r="F47" s="19">
        <f>'4th Q Co Share Calculations'!BM50</f>
        <v>347</v>
      </c>
      <c r="G47" s="19">
        <f>'4th Q Co Share Calculations'!BN50</f>
        <v>0</v>
      </c>
      <c r="H47" s="19">
        <f>'4th Q Co Share Calculations'!BO50</f>
        <v>2</v>
      </c>
      <c r="I47" s="19">
        <f>'4th Q Co Share Calculations'!BP50</f>
        <v>3</v>
      </c>
      <c r="J47" s="19">
        <f>'4th Q Co Share Calculations'!BQ50</f>
        <v>5037</v>
      </c>
      <c r="K47" s="18">
        <f t="shared" si="0"/>
        <v>25386</v>
      </c>
      <c r="M47" s="14"/>
      <c r="N47" s="12"/>
    </row>
    <row r="48" spans="1:14" ht="13">
      <c r="A48" s="20" t="s">
        <v>9</v>
      </c>
      <c r="B48" s="19">
        <f>'4th Q Co Share Calculations'!BI51</f>
        <v>583</v>
      </c>
      <c r="C48" s="19">
        <f>'4th Q Co Share Calculations'!BJ51</f>
        <v>18558</v>
      </c>
      <c r="D48" s="19">
        <f>'4th Q Co Share Calculations'!BK51</f>
        <v>5</v>
      </c>
      <c r="E48" s="19">
        <f>'4th Q Co Share Calculations'!BL51</f>
        <v>545</v>
      </c>
      <c r="F48" s="19">
        <f>'4th Q Co Share Calculations'!BM51</f>
        <v>397</v>
      </c>
      <c r="G48" s="19">
        <f>'4th Q Co Share Calculations'!BN51</f>
        <v>0</v>
      </c>
      <c r="H48" s="19">
        <f>'4th Q Co Share Calculations'!BO51</f>
        <v>2</v>
      </c>
      <c r="I48" s="19">
        <f>'4th Q Co Share Calculations'!BP51</f>
        <v>2</v>
      </c>
      <c r="J48" s="19">
        <f>'4th Q Co Share Calculations'!BQ51</f>
        <v>3392</v>
      </c>
      <c r="K48" s="18">
        <f t="shared" si="0"/>
        <v>23484</v>
      </c>
      <c r="M48" s="14"/>
      <c r="N48" s="12"/>
    </row>
    <row r="49" spans="1:14" ht="13">
      <c r="A49" s="20" t="s">
        <v>8</v>
      </c>
      <c r="B49" s="19">
        <f>'4th Q Co Share Calculations'!BI52</f>
        <v>12</v>
      </c>
      <c r="C49" s="19">
        <f>'4th Q Co Share Calculations'!BJ52</f>
        <v>240</v>
      </c>
      <c r="D49" s="19">
        <f>'4th Q Co Share Calculations'!BK52</f>
        <v>0</v>
      </c>
      <c r="E49" s="19">
        <f>'4th Q Co Share Calculations'!BL52</f>
        <v>12</v>
      </c>
      <c r="F49" s="19">
        <f>'4th Q Co Share Calculations'!BM52</f>
        <v>5</v>
      </c>
      <c r="G49" s="19">
        <f>'4th Q Co Share Calculations'!BN52</f>
        <v>0</v>
      </c>
      <c r="H49" s="19">
        <f>'4th Q Co Share Calculations'!BO52</f>
        <v>0</v>
      </c>
      <c r="I49" s="19">
        <f>'4th Q Co Share Calculations'!BP52</f>
        <v>0</v>
      </c>
      <c r="J49" s="19">
        <f>'4th Q Co Share Calculations'!BQ52</f>
        <v>55</v>
      </c>
      <c r="K49" s="18">
        <f t="shared" si="0"/>
        <v>324</v>
      </c>
      <c r="M49" s="14"/>
      <c r="N49" s="12"/>
    </row>
    <row r="50" spans="1:14" ht="13">
      <c r="A50" s="20" t="s">
        <v>7</v>
      </c>
      <c r="B50" s="19">
        <f>'4th Q Co Share Calculations'!BI53</f>
        <v>174</v>
      </c>
      <c r="C50" s="19">
        <f>'4th Q Co Share Calculations'!BJ53</f>
        <v>5469</v>
      </c>
      <c r="D50" s="19">
        <f>'4th Q Co Share Calculations'!BK53</f>
        <v>1</v>
      </c>
      <c r="E50" s="19">
        <f>'4th Q Co Share Calculations'!BL53</f>
        <v>162</v>
      </c>
      <c r="F50" s="19">
        <f>'4th Q Co Share Calculations'!BM53</f>
        <v>118</v>
      </c>
      <c r="G50" s="19">
        <f>'4th Q Co Share Calculations'!BN53</f>
        <v>0</v>
      </c>
      <c r="H50" s="19">
        <f>'4th Q Co Share Calculations'!BO53</f>
        <v>0</v>
      </c>
      <c r="I50" s="19">
        <f>'4th Q Co Share Calculations'!BP53</f>
        <v>1</v>
      </c>
      <c r="J50" s="19">
        <f>'4th Q Co Share Calculations'!BQ53</f>
        <v>737</v>
      </c>
      <c r="K50" s="18">
        <f t="shared" si="0"/>
        <v>6662</v>
      </c>
      <c r="M50" s="14"/>
      <c r="N50" s="12"/>
    </row>
    <row r="51" spans="1:14" ht="13">
      <c r="A51" s="307" t="s">
        <v>158</v>
      </c>
      <c r="B51" s="19">
        <f>'4th Q Co Share Calculations'!BI54</f>
        <v>1130</v>
      </c>
      <c r="C51" s="19">
        <f>'4th Q Co Share Calculations'!BJ54</f>
        <v>25961</v>
      </c>
      <c r="D51" s="19">
        <f>'4th Q Co Share Calculations'!BK54</f>
        <v>10</v>
      </c>
      <c r="E51" s="19">
        <f>'4th Q Co Share Calculations'!BL54</f>
        <v>1055</v>
      </c>
      <c r="F51" s="19">
        <f>'4th Q Co Share Calculations'!BM54</f>
        <v>492</v>
      </c>
      <c r="G51" s="19">
        <f>'4th Q Co Share Calculations'!BN54</f>
        <v>0</v>
      </c>
      <c r="H51" s="19">
        <f>'4th Q Co Share Calculations'!BO54</f>
        <v>3</v>
      </c>
      <c r="I51" s="19">
        <f>'4th Q Co Share Calculations'!BP54</f>
        <v>4</v>
      </c>
      <c r="J51" s="19">
        <f>'4th Q Co Share Calculations'!BQ54</f>
        <v>7252</v>
      </c>
      <c r="K51" s="18">
        <f t="shared" si="0"/>
        <v>35907</v>
      </c>
      <c r="M51" s="14"/>
      <c r="N51" s="12"/>
    </row>
    <row r="52" spans="1:14" ht="13">
      <c r="A52" s="307" t="s">
        <v>157</v>
      </c>
      <c r="B52" s="19">
        <f>'4th Q Co Share Calculations'!BI55</f>
        <v>1142</v>
      </c>
      <c r="C52" s="19">
        <f>'4th Q Co Share Calculations'!BJ55</f>
        <v>20923</v>
      </c>
      <c r="D52" s="19">
        <f>'4th Q Co Share Calculations'!BK55</f>
        <v>9</v>
      </c>
      <c r="E52" s="19">
        <f>'4th Q Co Share Calculations'!BL55</f>
        <v>1066</v>
      </c>
      <c r="F52" s="19">
        <f>'4th Q Co Share Calculations'!BM55</f>
        <v>420</v>
      </c>
      <c r="G52" s="19">
        <f>'4th Q Co Share Calculations'!BN55</f>
        <v>0</v>
      </c>
      <c r="H52" s="19">
        <f>'4th Q Co Share Calculations'!BO55</f>
        <v>3</v>
      </c>
      <c r="I52" s="19">
        <f>'4th Q Co Share Calculations'!BP55</f>
        <v>5</v>
      </c>
      <c r="J52" s="19">
        <f>'4th Q Co Share Calculations'!BQ55</f>
        <v>6538</v>
      </c>
      <c r="K52" s="18">
        <f t="shared" si="0"/>
        <v>30106</v>
      </c>
      <c r="M52" s="14"/>
      <c r="N52" s="12"/>
    </row>
    <row r="53" spans="1:14" ht="13">
      <c r="A53" s="21" t="s">
        <v>6</v>
      </c>
      <c r="B53" s="19">
        <f>'4th Q Co Share Calculations'!BI56</f>
        <v>2346</v>
      </c>
      <c r="C53" s="19">
        <f>'4th Q Co Share Calculations'!BJ56</f>
        <v>73886</v>
      </c>
      <c r="D53" s="19">
        <f>'4th Q Co Share Calculations'!BK56</f>
        <v>19</v>
      </c>
      <c r="E53" s="19">
        <f>'4th Q Co Share Calculations'!BL56</f>
        <v>2191</v>
      </c>
      <c r="F53" s="19">
        <f>'4th Q Co Share Calculations'!BM56</f>
        <v>1601</v>
      </c>
      <c r="G53" s="19">
        <f>'4th Q Co Share Calculations'!BN56</f>
        <v>1</v>
      </c>
      <c r="H53" s="19">
        <f>'4th Q Co Share Calculations'!BO56</f>
        <v>7</v>
      </c>
      <c r="I53" s="19">
        <f>'4th Q Co Share Calculations'!BP56</f>
        <v>9</v>
      </c>
      <c r="J53" s="19">
        <f>'4th Q Co Share Calculations'!BQ56</f>
        <v>8137</v>
      </c>
      <c r="K53" s="18">
        <f t="shared" si="0"/>
        <v>88197</v>
      </c>
      <c r="M53" s="14"/>
      <c r="N53" s="12"/>
    </row>
    <row r="54" spans="1:14" ht="13">
      <c r="A54" s="20" t="s">
        <v>5</v>
      </c>
      <c r="B54" s="19">
        <f>'4th Q Co Share Calculations'!BI57</f>
        <v>385</v>
      </c>
      <c r="C54" s="19">
        <f>'4th Q Co Share Calculations'!BJ57</f>
        <v>11993</v>
      </c>
      <c r="D54" s="19">
        <f>'4th Q Co Share Calculations'!BK57</f>
        <v>3</v>
      </c>
      <c r="E54" s="19">
        <f>'4th Q Co Share Calculations'!BL57</f>
        <v>359</v>
      </c>
      <c r="F54" s="19">
        <f>'4th Q Co Share Calculations'!BM57</f>
        <v>261</v>
      </c>
      <c r="G54" s="19">
        <f>'4th Q Co Share Calculations'!BN57</f>
        <v>0</v>
      </c>
      <c r="H54" s="19">
        <f>'4th Q Co Share Calculations'!BO57</f>
        <v>1</v>
      </c>
      <c r="I54" s="19">
        <f>'4th Q Co Share Calculations'!BP57</f>
        <v>1</v>
      </c>
      <c r="J54" s="19">
        <f>'4th Q Co Share Calculations'!BQ57</f>
        <v>1259</v>
      </c>
      <c r="K54" s="18">
        <f t="shared" si="0"/>
        <v>14262</v>
      </c>
      <c r="M54" s="14"/>
      <c r="N54" s="12"/>
    </row>
    <row r="55" spans="1:14" ht="13">
      <c r="A55" s="20" t="s">
        <v>4</v>
      </c>
      <c r="B55" s="19">
        <f>'4th Q Co Share Calculations'!BI58</f>
        <v>248</v>
      </c>
      <c r="C55" s="19">
        <f>'4th Q Co Share Calculations'!BJ58</f>
        <v>8052</v>
      </c>
      <c r="D55" s="19">
        <f>'4th Q Co Share Calculations'!BK58</f>
        <v>2</v>
      </c>
      <c r="E55" s="19">
        <f>'4th Q Co Share Calculations'!BL58</f>
        <v>232</v>
      </c>
      <c r="F55" s="19">
        <f>'4th Q Co Share Calculations'!BM58</f>
        <v>173</v>
      </c>
      <c r="G55" s="19">
        <f>'4th Q Co Share Calculations'!BN58</f>
        <v>0</v>
      </c>
      <c r="H55" s="19">
        <f>'4th Q Co Share Calculations'!BO58</f>
        <v>1</v>
      </c>
      <c r="I55" s="19">
        <f>'4th Q Co Share Calculations'!BP58</f>
        <v>1</v>
      </c>
      <c r="J55" s="19">
        <f>'4th Q Co Share Calculations'!BQ58</f>
        <v>909</v>
      </c>
      <c r="K55" s="18">
        <f t="shared" si="0"/>
        <v>9618</v>
      </c>
      <c r="M55" s="14"/>
      <c r="N55" s="12"/>
    </row>
    <row r="56" spans="1:14" ht="13">
      <c r="A56" s="20" t="s">
        <v>3</v>
      </c>
      <c r="B56" s="19">
        <f>'4th Q Co Share Calculations'!BI59</f>
        <v>50</v>
      </c>
      <c r="C56" s="19">
        <f>'4th Q Co Share Calculations'!BJ59</f>
        <v>1436</v>
      </c>
      <c r="D56" s="19">
        <f>'4th Q Co Share Calculations'!BK59</f>
        <v>0</v>
      </c>
      <c r="E56" s="19">
        <f>'4th Q Co Share Calculations'!BL59</f>
        <v>46</v>
      </c>
      <c r="F56" s="19">
        <f>'4th Q Co Share Calculations'!BM59</f>
        <v>31</v>
      </c>
      <c r="G56" s="19">
        <f>'4th Q Co Share Calculations'!BN59</f>
        <v>0</v>
      </c>
      <c r="H56" s="19">
        <f>'4th Q Co Share Calculations'!BO59</f>
        <v>0</v>
      </c>
      <c r="I56" s="19">
        <f>'4th Q Co Share Calculations'!BP59</f>
        <v>0</v>
      </c>
      <c r="J56" s="19">
        <f>'4th Q Co Share Calculations'!BQ59</f>
        <v>197</v>
      </c>
      <c r="K56" s="18">
        <f t="shared" si="0"/>
        <v>1760</v>
      </c>
      <c r="M56" s="14"/>
      <c r="N56" s="12"/>
    </row>
    <row r="57" spans="1:14" ht="13">
      <c r="A57" s="307" t="s">
        <v>156</v>
      </c>
      <c r="B57" s="19">
        <f>'4th Q Co Share Calculations'!BI60</f>
        <v>2719</v>
      </c>
      <c r="C57" s="19">
        <f>'4th Q Co Share Calculations'!BJ60</f>
        <v>39659</v>
      </c>
      <c r="D57" s="19">
        <f>'4th Q Co Share Calculations'!BK60</f>
        <v>22</v>
      </c>
      <c r="E57" s="19">
        <f>'4th Q Co Share Calculations'!BL60</f>
        <v>2538</v>
      </c>
      <c r="F57" s="19">
        <f>'4th Q Co Share Calculations'!BM60</f>
        <v>825</v>
      </c>
      <c r="G57" s="19">
        <f>'4th Q Co Share Calculations'!BN60</f>
        <v>1</v>
      </c>
      <c r="H57" s="19">
        <f>'4th Q Co Share Calculations'!BO60</f>
        <v>8</v>
      </c>
      <c r="I57" s="19">
        <f>'4th Q Co Share Calculations'!BP60</f>
        <v>11</v>
      </c>
      <c r="J57" s="19">
        <f>'4th Q Co Share Calculations'!BQ60</f>
        <v>13798</v>
      </c>
      <c r="K57" s="18">
        <f t="shared" si="0"/>
        <v>59581</v>
      </c>
      <c r="M57" s="14"/>
      <c r="N57" s="12"/>
    </row>
    <row r="58" spans="1:14" ht="13">
      <c r="A58" s="20" t="s">
        <v>2</v>
      </c>
      <c r="B58" s="19">
        <f>'4th Q Co Share Calculations'!BI61</f>
        <v>124</v>
      </c>
      <c r="C58" s="19">
        <f>'4th Q Co Share Calculations'!BJ61</f>
        <v>4053</v>
      </c>
      <c r="D58" s="19">
        <f>'4th Q Co Share Calculations'!BK61</f>
        <v>1</v>
      </c>
      <c r="E58" s="19">
        <f>'4th Q Co Share Calculations'!BL61</f>
        <v>116</v>
      </c>
      <c r="F58" s="19">
        <f>'4th Q Co Share Calculations'!BM61</f>
        <v>87</v>
      </c>
      <c r="G58" s="19">
        <f>'4th Q Co Share Calculations'!BN61</f>
        <v>0</v>
      </c>
      <c r="H58" s="19">
        <f>'4th Q Co Share Calculations'!BO61</f>
        <v>0</v>
      </c>
      <c r="I58" s="19">
        <f>'4th Q Co Share Calculations'!BP61</f>
        <v>0</v>
      </c>
      <c r="J58" s="19">
        <f>'4th Q Co Share Calculations'!BQ61</f>
        <v>407</v>
      </c>
      <c r="K58" s="18">
        <f t="shared" si="0"/>
        <v>4788</v>
      </c>
      <c r="M58" s="14"/>
      <c r="N58" s="12"/>
    </row>
    <row r="59" spans="1:14" ht="13">
      <c r="A59" s="307" t="s">
        <v>155</v>
      </c>
      <c r="B59" s="19">
        <f>'4th Q Co Share Calculations'!BI62</f>
        <v>2210</v>
      </c>
      <c r="C59" s="19">
        <f>'4th Q Co Share Calculations'!BJ62</f>
        <v>40861</v>
      </c>
      <c r="D59" s="19">
        <f>'4th Q Co Share Calculations'!BK62</f>
        <v>18</v>
      </c>
      <c r="E59" s="19">
        <f>'4th Q Co Share Calculations'!BL62</f>
        <v>2063</v>
      </c>
      <c r="F59" s="19">
        <f>'4th Q Co Share Calculations'!BM62</f>
        <v>813</v>
      </c>
      <c r="G59" s="19">
        <f>'4th Q Co Share Calculations'!BN62</f>
        <v>1</v>
      </c>
      <c r="H59" s="19">
        <f>'4th Q Co Share Calculations'!BO62</f>
        <v>6</v>
      </c>
      <c r="I59" s="19">
        <f>'4th Q Co Share Calculations'!BP62</f>
        <v>9</v>
      </c>
      <c r="J59" s="19">
        <f>'4th Q Co Share Calculations'!BQ62</f>
        <v>12666</v>
      </c>
      <c r="K59" s="18">
        <f t="shared" si="0"/>
        <v>58647</v>
      </c>
      <c r="M59" s="14"/>
      <c r="N59" s="12"/>
    </row>
    <row r="60" spans="1:14" ht="13">
      <c r="A60" s="307" t="s">
        <v>154</v>
      </c>
      <c r="B60" s="19">
        <f>'4th Q Co Share Calculations'!BI63</f>
        <v>559</v>
      </c>
      <c r="C60" s="19">
        <f>'4th Q Co Share Calculations'!BJ63</f>
        <v>13091</v>
      </c>
      <c r="D60" s="19">
        <f>'4th Q Co Share Calculations'!BK63</f>
        <v>4</v>
      </c>
      <c r="E60" s="19">
        <f>'4th Q Co Share Calculations'!BL63</f>
        <v>522</v>
      </c>
      <c r="F60" s="19">
        <f>'4th Q Co Share Calculations'!BM63</f>
        <v>248</v>
      </c>
      <c r="G60" s="19">
        <f>'4th Q Co Share Calculations'!BN63</f>
        <v>0</v>
      </c>
      <c r="H60" s="19">
        <f>'4th Q Co Share Calculations'!BO63</f>
        <v>1</v>
      </c>
      <c r="I60" s="19">
        <f>'4th Q Co Share Calculations'!BP63</f>
        <v>3</v>
      </c>
      <c r="J60" s="19">
        <f>'4th Q Co Share Calculations'!BQ63</f>
        <v>3629</v>
      </c>
      <c r="K60" s="18">
        <f t="shared" si="0"/>
        <v>18057</v>
      </c>
      <c r="M60" s="14"/>
      <c r="N60" s="12"/>
    </row>
    <row r="61" spans="1:14" ht="13">
      <c r="A61" s="20" t="s">
        <v>1</v>
      </c>
      <c r="B61" s="19">
        <f>'4th Q Co Share Calculations'!BI64</f>
        <v>323</v>
      </c>
      <c r="C61" s="19">
        <f>'4th Q Co Share Calculations'!BJ64</f>
        <v>10089</v>
      </c>
      <c r="D61" s="19">
        <f>'4th Q Co Share Calculations'!BK64</f>
        <v>3</v>
      </c>
      <c r="E61" s="19">
        <f>'4th Q Co Share Calculations'!BL64</f>
        <v>301</v>
      </c>
      <c r="F61" s="19">
        <f>'4th Q Co Share Calculations'!BM64</f>
        <v>215</v>
      </c>
      <c r="G61" s="19">
        <f>'4th Q Co Share Calculations'!BN64</f>
        <v>0</v>
      </c>
      <c r="H61" s="19">
        <f>'4th Q Co Share Calculations'!BO64</f>
        <v>1</v>
      </c>
      <c r="I61" s="19">
        <f>'4th Q Co Share Calculations'!BP64</f>
        <v>1</v>
      </c>
      <c r="J61" s="19">
        <f>'4th Q Co Share Calculations'!BQ64</f>
        <v>1118</v>
      </c>
      <c r="K61" s="18">
        <f t="shared" si="0"/>
        <v>12051</v>
      </c>
      <c r="M61" s="14"/>
      <c r="N61" s="12"/>
    </row>
    <row r="62" spans="1:14" ht="5.25" customHeight="1">
      <c r="A62" s="17"/>
      <c r="B62" s="17"/>
      <c r="C62" s="17"/>
      <c r="D62" s="17"/>
      <c r="E62" s="17"/>
      <c r="F62" s="17"/>
      <c r="G62" s="17"/>
      <c r="H62" s="17"/>
      <c r="I62" s="17"/>
      <c r="J62" s="17"/>
      <c r="K62" s="17"/>
      <c r="M62" s="14"/>
    </row>
    <row r="63" spans="1:14" ht="13">
      <c r="A63" s="16" t="s">
        <v>0</v>
      </c>
      <c r="B63" s="15">
        <f t="shared" ref="B63:K63" si="1">SUM(B4:B61)</f>
        <v>124147</v>
      </c>
      <c r="C63" s="15">
        <f t="shared" ca="1" si="1"/>
        <v>2991448</v>
      </c>
      <c r="D63" s="15">
        <f t="shared" si="1"/>
        <v>997</v>
      </c>
      <c r="E63" s="15">
        <f t="shared" si="1"/>
        <v>115912</v>
      </c>
      <c r="F63" s="15">
        <f t="shared" ca="1" si="1"/>
        <v>62114</v>
      </c>
      <c r="G63" s="15">
        <f t="shared" si="1"/>
        <v>37</v>
      </c>
      <c r="H63" s="15">
        <f t="shared" si="1"/>
        <v>332</v>
      </c>
      <c r="I63" s="15">
        <f t="shared" si="1"/>
        <v>480</v>
      </c>
      <c r="J63" s="15">
        <f t="shared" ca="1" si="1"/>
        <v>941666</v>
      </c>
      <c r="K63" s="15">
        <f t="shared" ca="1" si="1"/>
        <v>4237133</v>
      </c>
      <c r="M63" s="14"/>
    </row>
    <row r="64" spans="1:14">
      <c r="A64" s="866"/>
      <c r="B64" s="918">
        <f>B63-'4th Q SFY 1920 Co Share by Proj'!U63</f>
        <v>0</v>
      </c>
      <c r="C64" s="918">
        <f ca="1">C63-'4th Q SFY 1920 Co Share by Proj'!V63</f>
        <v>0</v>
      </c>
      <c r="D64" s="918">
        <f>D63-'4th Q SFY 1920 Co Share by Proj'!W63</f>
        <v>0</v>
      </c>
      <c r="E64" s="918">
        <f>E63-'4th Q SFY 1920 Co Share by Proj'!X63</f>
        <v>0</v>
      </c>
      <c r="F64" s="918">
        <f ca="1">F63-'4th Q SFY 1920 Co Share by Proj'!Y63</f>
        <v>0</v>
      </c>
      <c r="G64" s="918">
        <f>G63-'4th Q SFY 1920 Co Share by Proj'!Z63</f>
        <v>0</v>
      </c>
      <c r="H64" s="918">
        <f>H63-'4th Q SFY 1920 Co Share by Proj'!AA63</f>
        <v>0</v>
      </c>
      <c r="I64" s="918">
        <f>I63-'4th Q SFY 1920 Co Share by Proj'!AB63</f>
        <v>0</v>
      </c>
      <c r="J64" s="918">
        <f ca="1">J63-'4th Q SFY 1920 Co Share by Proj'!AC63</f>
        <v>0</v>
      </c>
      <c r="K64" s="918">
        <f ca="1">K63-'4th Q SFY 1920 Co Share by Proj'!AD63</f>
        <v>0</v>
      </c>
      <c r="L64" s="866"/>
      <c r="M64" s="866"/>
    </row>
    <row r="65" spans="1:13">
      <c r="A65" s="866"/>
      <c r="B65" s="332"/>
      <c r="C65" s="918"/>
      <c r="D65" s="918"/>
      <c r="E65" s="918"/>
      <c r="F65" s="918"/>
      <c r="G65" s="918"/>
      <c r="H65" s="918"/>
      <c r="I65" s="918"/>
      <c r="J65" s="918"/>
      <c r="K65" s="918"/>
      <c r="L65" s="866"/>
      <c r="M65" s="866"/>
    </row>
    <row r="66" spans="1:13">
      <c r="B66" s="332"/>
      <c r="C66" s="918"/>
      <c r="D66" s="918"/>
      <c r="E66" s="918"/>
      <c r="F66" s="918"/>
      <c r="G66" s="918"/>
      <c r="H66" s="918"/>
      <c r="I66" s="918"/>
      <c r="J66" s="918"/>
      <c r="K66" s="918"/>
    </row>
    <row r="67" spans="1:13" customFormat="1" ht="14.5"/>
    <row r="68" spans="1:13" customFormat="1" ht="14.5"/>
    <row r="69" spans="1:13" customFormat="1" ht="14.5"/>
    <row r="70" spans="1:13" customFormat="1" ht="14.5"/>
    <row r="71" spans="1:13" customFormat="1" ht="14.5"/>
    <row r="72" spans="1:13" customFormat="1" ht="14.5"/>
    <row r="73" spans="1:13" customFormat="1" ht="14.5"/>
    <row r="74" spans="1:13" customFormat="1" ht="14.5"/>
    <row r="75" spans="1:13" customFormat="1" ht="14.5"/>
    <row r="76" spans="1:13" customFormat="1" ht="14.5"/>
    <row r="77" spans="1:13" customFormat="1" ht="14.5"/>
    <row r="78" spans="1:13" customFormat="1" ht="14.5"/>
    <row r="79" spans="1:13" customFormat="1" ht="14.5"/>
    <row r="80" spans="1:13" customFormat="1" ht="14.5"/>
    <row r="81" spans="1:11" customFormat="1" ht="14.5"/>
    <row r="82" spans="1:11">
      <c r="C82" s="13"/>
      <c r="D82" s="13"/>
      <c r="E82" s="13"/>
      <c r="F82" s="13"/>
      <c r="G82" s="13"/>
      <c r="H82" s="13"/>
      <c r="I82" s="13"/>
      <c r="J82" s="13"/>
      <c r="K82" s="13"/>
    </row>
    <row r="85" spans="1:11">
      <c r="K85" s="12"/>
    </row>
    <row r="89" spans="1:11">
      <c r="C89" s="12"/>
      <c r="D89" s="12"/>
      <c r="E89" s="12"/>
      <c r="F89" s="12"/>
      <c r="G89" s="12"/>
      <c r="H89" s="12"/>
      <c r="I89" s="12"/>
      <c r="J89" s="9"/>
      <c r="K89" s="12"/>
    </row>
    <row r="90" spans="1:11" ht="13">
      <c r="A90" s="11"/>
      <c r="B90" s="11"/>
      <c r="J90" s="9"/>
    </row>
    <row r="91" spans="1:11">
      <c r="A91" s="10"/>
      <c r="B91" s="10"/>
      <c r="C91" s="9"/>
      <c r="D91" s="9"/>
      <c r="E91" s="9"/>
      <c r="F91" s="9"/>
      <c r="G91" s="9"/>
      <c r="H91" s="9"/>
      <c r="I91" s="9"/>
      <c r="J91" s="9"/>
      <c r="K91" s="9"/>
    </row>
    <row r="92" spans="1:11">
      <c r="A92" s="10"/>
      <c r="B92" s="10"/>
      <c r="C92" s="9"/>
      <c r="D92" s="9"/>
      <c r="E92" s="9"/>
      <c r="F92" s="9"/>
      <c r="G92" s="9"/>
      <c r="H92" s="9"/>
      <c r="I92" s="9"/>
      <c r="J92" s="9"/>
      <c r="K92" s="9"/>
    </row>
    <row r="93" spans="1:11">
      <c r="A93" s="10"/>
      <c r="B93" s="10"/>
      <c r="C93" s="9"/>
      <c r="D93" s="9"/>
      <c r="E93" s="9"/>
      <c r="F93" s="9"/>
      <c r="G93" s="9"/>
      <c r="H93" s="9"/>
      <c r="I93" s="9"/>
      <c r="J93" s="9"/>
      <c r="K93" s="9"/>
    </row>
    <row r="94" spans="1:11" ht="13">
      <c r="C94" s="8"/>
      <c r="D94" s="8"/>
      <c r="E94" s="8"/>
      <c r="F94" s="8"/>
      <c r="G94" s="8"/>
      <c r="H94" s="8"/>
      <c r="I94" s="8"/>
      <c r="J94" s="9"/>
      <c r="K94" s="8"/>
    </row>
    <row r="95" spans="1:11">
      <c r="J95" s="9"/>
    </row>
    <row r="96" spans="1:11" ht="13">
      <c r="A96" s="11"/>
      <c r="B96" s="11"/>
      <c r="C96" s="8"/>
      <c r="D96" s="8"/>
      <c r="E96" s="8"/>
      <c r="F96" s="8"/>
      <c r="G96" s="8"/>
      <c r="H96" s="8"/>
      <c r="I96" s="8"/>
      <c r="J96" s="8"/>
    </row>
    <row r="97" spans="1:11" ht="13">
      <c r="A97" s="10"/>
      <c r="B97" s="10"/>
      <c r="C97" s="8"/>
      <c r="D97" s="8"/>
      <c r="E97" s="8"/>
      <c r="F97" s="8"/>
      <c r="G97" s="8"/>
      <c r="H97" s="8"/>
      <c r="I97" s="8"/>
      <c r="J97" s="8"/>
      <c r="K97" s="9"/>
    </row>
    <row r="98" spans="1:11" ht="13">
      <c r="A98" s="10"/>
      <c r="B98" s="10"/>
      <c r="C98" s="8"/>
      <c r="D98" s="8"/>
      <c r="E98" s="8"/>
      <c r="F98" s="8"/>
      <c r="G98" s="8"/>
      <c r="H98" s="8"/>
      <c r="I98" s="8"/>
      <c r="J98" s="8"/>
      <c r="K98" s="9"/>
    </row>
    <row r="99" spans="1:11" ht="13">
      <c r="A99" s="10"/>
      <c r="B99" s="10"/>
      <c r="C99" s="8"/>
      <c r="D99" s="8"/>
      <c r="E99" s="8"/>
      <c r="F99" s="8"/>
      <c r="G99" s="8"/>
      <c r="H99" s="8"/>
      <c r="I99" s="8"/>
      <c r="J99" s="8"/>
      <c r="K99" s="9"/>
    </row>
    <row r="100" spans="1:11" ht="13">
      <c r="C100" s="8"/>
      <c r="D100" s="8"/>
      <c r="E100" s="8"/>
      <c r="F100" s="8"/>
      <c r="G100" s="8"/>
      <c r="H100" s="8"/>
      <c r="I100" s="8"/>
      <c r="J100" s="8"/>
      <c r="K100" s="8"/>
    </row>
    <row r="102" spans="1:11" ht="13">
      <c r="A102" s="7"/>
      <c r="B102" s="7"/>
      <c r="C102" s="5"/>
      <c r="D102" s="5"/>
      <c r="E102" s="5"/>
      <c r="F102" s="5"/>
      <c r="G102" s="5"/>
      <c r="H102" s="5"/>
      <c r="I102" s="5"/>
      <c r="J102" s="5"/>
      <c r="K102" s="5"/>
    </row>
    <row r="103" spans="1:11" ht="13">
      <c r="A103" s="6"/>
      <c r="B103" s="6"/>
      <c r="C103" s="2"/>
      <c r="D103" s="2"/>
      <c r="E103" s="2"/>
      <c r="F103" s="2"/>
      <c r="G103" s="2"/>
      <c r="H103" s="2"/>
      <c r="I103" s="2"/>
      <c r="J103" s="2"/>
      <c r="K103" s="2"/>
    </row>
    <row r="104" spans="1:11" ht="13">
      <c r="A104" s="6"/>
      <c r="B104" s="6"/>
      <c r="C104" s="2"/>
      <c r="D104" s="2"/>
      <c r="E104" s="2"/>
      <c r="F104" s="2"/>
      <c r="G104" s="2"/>
      <c r="H104" s="2"/>
      <c r="I104" s="2"/>
      <c r="J104" s="2"/>
      <c r="K104" s="2"/>
    </row>
    <row r="105" spans="1:11" ht="13">
      <c r="A105" s="6"/>
      <c r="B105" s="6"/>
      <c r="C105" s="2"/>
      <c r="D105" s="2"/>
      <c r="E105" s="2"/>
      <c r="F105" s="2"/>
      <c r="G105" s="2"/>
      <c r="H105" s="2"/>
      <c r="I105" s="2"/>
      <c r="J105" s="2"/>
      <c r="K105" s="2"/>
    </row>
    <row r="106" spans="1:11" ht="13">
      <c r="A106" s="5"/>
      <c r="B106" s="5"/>
      <c r="C106" s="4"/>
      <c r="D106" s="4"/>
      <c r="E106" s="4"/>
      <c r="F106" s="4"/>
      <c r="G106" s="4"/>
      <c r="H106" s="4"/>
      <c r="I106" s="4"/>
      <c r="J106" s="4"/>
      <c r="K106" s="4"/>
    </row>
    <row r="107" spans="1:11">
      <c r="A107" s="3"/>
      <c r="B107" s="3"/>
      <c r="C107" s="2"/>
      <c r="D107" s="2"/>
      <c r="E107" s="2"/>
      <c r="F107" s="2"/>
      <c r="G107" s="2"/>
      <c r="H107" s="2"/>
      <c r="I107" s="2"/>
      <c r="J107" s="2"/>
      <c r="K107" s="2"/>
    </row>
  </sheetData>
  <mergeCells count="2">
    <mergeCell ref="A1:K1"/>
    <mergeCell ref="A2:J2"/>
  </mergeCells>
  <conditionalFormatting sqref="M5:M63 C65:K65 B64:K64">
    <cfRule type="cellIs" dxfId="37" priority="5" operator="lessThan">
      <formula>0</formula>
    </cfRule>
    <cfRule type="cellIs" dxfId="36" priority="6" operator="greaterThan">
      <formula>0</formula>
    </cfRule>
  </conditionalFormatting>
  <printOptions horizontalCentered="1"/>
  <pageMargins left="0.25" right="0.25" top="1.03" bottom="1" header="0.5" footer="0.5"/>
  <pageSetup scale="78" orientation="portrait" r:id="rId1"/>
  <headerFooter alignWithMargins="0">
    <oddHeader>&amp;C&amp;"Arial,Bold"&amp;12QUARTERLY COUNTY SHARE SUMMARY</oddHeader>
    <oddFooter>&amp;CPage &amp;P of &amp;N</oddFooter>
  </headerFooter>
  <ignoredErrors>
    <ignoredError sqref="C63"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S32"/>
  <sheetViews>
    <sheetView showGridLines="0" zoomScaleNormal="100" workbookViewId="0">
      <pane ySplit="3" topLeftCell="A4" activePane="bottomLeft" state="frozen"/>
      <selection activeCell="A15" sqref="A15"/>
      <selection pane="bottomLeft" activeCell="D26" sqref="D26"/>
    </sheetView>
  </sheetViews>
  <sheetFormatPr defaultColWidth="9.1796875" defaultRowHeight="12.5"/>
  <cols>
    <col min="1" max="1" width="31.453125" style="68" customWidth="1"/>
    <col min="2" max="2" width="14.81640625" style="68" customWidth="1"/>
    <col min="3" max="3" width="8.54296875" style="68" customWidth="1"/>
    <col min="4" max="4" width="10.54296875" style="68" customWidth="1"/>
    <col min="5" max="5" width="14.54296875" style="68" customWidth="1"/>
    <col min="6" max="6" width="12.54296875" style="68" customWidth="1"/>
    <col min="7" max="7" width="12.81640625" style="68" customWidth="1"/>
    <col min="8" max="10" width="11.54296875" style="68" customWidth="1"/>
    <col min="11" max="11" width="11.453125" style="68" bestFit="1" customWidth="1"/>
    <col min="12" max="12" width="5.453125" style="68" customWidth="1"/>
    <col min="13" max="13" width="10" style="68" bestFit="1" customWidth="1"/>
    <col min="14" max="14" width="11.453125" style="68" bestFit="1" customWidth="1"/>
    <col min="15" max="15" width="10.453125" style="68" bestFit="1" customWidth="1"/>
    <col min="16" max="16" width="12.1796875" style="68" bestFit="1" customWidth="1"/>
    <col min="17" max="17" width="9.1796875" style="68"/>
    <col min="18" max="18" width="10" style="68" bestFit="1" customWidth="1"/>
    <col min="19" max="16384" width="9.1796875" style="68"/>
  </cols>
  <sheetData>
    <row r="1" spans="1:19" ht="14">
      <c r="A1" s="949" t="s">
        <v>292</v>
      </c>
      <c r="B1" s="949"/>
      <c r="C1" s="949"/>
      <c r="D1" s="949"/>
      <c r="E1" s="949"/>
      <c r="F1" s="949"/>
      <c r="G1" s="949"/>
      <c r="H1" s="949"/>
      <c r="I1" s="949"/>
      <c r="J1" s="949"/>
    </row>
    <row r="3" spans="1:19" ht="53.25" customHeight="1">
      <c r="A3" s="333" t="s">
        <v>44</v>
      </c>
      <c r="B3" s="333" t="s">
        <v>68</v>
      </c>
      <c r="C3" s="333" t="s">
        <v>67</v>
      </c>
      <c r="D3" s="333" t="s">
        <v>66</v>
      </c>
      <c r="E3" s="333" t="s">
        <v>110</v>
      </c>
      <c r="F3" s="333" t="s">
        <v>48</v>
      </c>
      <c r="G3" s="333" t="s">
        <v>65</v>
      </c>
      <c r="H3" s="333" t="s">
        <v>64</v>
      </c>
      <c r="I3" s="333" t="s">
        <v>63</v>
      </c>
      <c r="J3" s="166" t="s">
        <v>62</v>
      </c>
      <c r="K3" s="333" t="s">
        <v>72</v>
      </c>
      <c r="L3" s="139"/>
      <c r="M3" s="140" t="s">
        <v>43</v>
      </c>
      <c r="N3" s="24" t="s">
        <v>42</v>
      </c>
      <c r="O3" s="24" t="s">
        <v>138</v>
      </c>
      <c r="P3" s="24" t="s">
        <v>60</v>
      </c>
    </row>
    <row r="4" spans="1:19" s="98" customFormat="1" ht="13" thickBot="1">
      <c r="A4" s="134" t="s">
        <v>11</v>
      </c>
      <c r="B4" s="121">
        <v>43850</v>
      </c>
      <c r="C4" s="133">
        <v>0</v>
      </c>
      <c r="D4" s="121">
        <v>43881</v>
      </c>
      <c r="E4" s="272">
        <v>0</v>
      </c>
      <c r="F4" s="340">
        <v>0</v>
      </c>
      <c r="G4" s="340">
        <v>0</v>
      </c>
      <c r="H4" s="340">
        <v>0</v>
      </c>
      <c r="I4" s="340">
        <v>0</v>
      </c>
      <c r="J4" s="340">
        <v>0</v>
      </c>
      <c r="K4" s="120">
        <v>0</v>
      </c>
      <c r="L4" s="139"/>
      <c r="M4" s="272">
        <v>0</v>
      </c>
      <c r="N4" s="120">
        <v>0</v>
      </c>
      <c r="O4" s="132">
        <v>0</v>
      </c>
      <c r="P4" s="120">
        <v>0</v>
      </c>
      <c r="R4" s="103"/>
      <c r="S4" s="103"/>
    </row>
    <row r="5" spans="1:19" s="98" customFormat="1" ht="13" thickBot="1">
      <c r="A5" s="344" t="s">
        <v>11</v>
      </c>
      <c r="B5" s="204">
        <v>43881</v>
      </c>
      <c r="C5" s="747">
        <v>0</v>
      </c>
      <c r="D5" s="204">
        <v>43910</v>
      </c>
      <c r="E5" s="115">
        <v>0</v>
      </c>
      <c r="F5" s="115">
        <f>SUM(G5:K5)</f>
        <v>0</v>
      </c>
      <c r="G5" s="115">
        <v>0</v>
      </c>
      <c r="H5" s="115">
        <v>0</v>
      </c>
      <c r="I5" s="115">
        <v>0</v>
      </c>
      <c r="J5" s="343">
        <v>0</v>
      </c>
      <c r="K5" s="115">
        <v>0</v>
      </c>
      <c r="L5" s="139"/>
      <c r="M5" s="116">
        <v>0</v>
      </c>
      <c r="N5" s="116">
        <v>0</v>
      </c>
      <c r="O5" s="276">
        <v>0</v>
      </c>
      <c r="P5" s="116">
        <f t="shared" ref="P5:P6" si="0">SUM(M5:O5)</f>
        <v>0</v>
      </c>
      <c r="R5" s="103"/>
      <c r="S5" s="103"/>
    </row>
    <row r="6" spans="1:19" s="98" customFormat="1">
      <c r="A6" s="137" t="s">
        <v>11</v>
      </c>
      <c r="B6" s="113">
        <v>43910</v>
      </c>
      <c r="C6" s="136">
        <v>0</v>
      </c>
      <c r="D6" s="113">
        <v>43941</v>
      </c>
      <c r="E6" s="112">
        <v>0</v>
      </c>
      <c r="F6" s="112">
        <f>SUM(G6:K6)</f>
        <v>0</v>
      </c>
      <c r="G6" s="112">
        <v>0</v>
      </c>
      <c r="H6" s="112">
        <v>0</v>
      </c>
      <c r="I6" s="112">
        <v>0</v>
      </c>
      <c r="J6" s="112">
        <v>0</v>
      </c>
      <c r="K6" s="112">
        <v>0</v>
      </c>
      <c r="L6" s="139"/>
      <c r="M6" s="19">
        <v>0</v>
      </c>
      <c r="N6" s="112">
        <v>0</v>
      </c>
      <c r="O6" s="112">
        <v>0</v>
      </c>
      <c r="P6" s="112">
        <f t="shared" si="0"/>
        <v>0</v>
      </c>
      <c r="R6" s="103"/>
      <c r="S6" s="103"/>
    </row>
    <row r="7" spans="1:19" ht="5.25" customHeight="1">
      <c r="A7" s="128"/>
      <c r="B7" s="156"/>
      <c r="C7" s="182"/>
      <c r="D7" s="182"/>
      <c r="E7" s="182"/>
      <c r="F7" s="182"/>
      <c r="G7" s="182"/>
      <c r="H7" s="182"/>
      <c r="I7" s="182"/>
      <c r="J7" s="181"/>
      <c r="K7" s="181"/>
      <c r="L7" s="139"/>
      <c r="M7" s="108"/>
      <c r="N7" s="198"/>
      <c r="O7" s="197"/>
      <c r="P7" s="107"/>
      <c r="R7" s="103"/>
      <c r="S7" s="103"/>
    </row>
    <row r="8" spans="1:19">
      <c r="A8" s="124" t="s">
        <v>59</v>
      </c>
      <c r="B8" s="124"/>
      <c r="C8" s="19"/>
      <c r="D8" s="114">
        <v>43881</v>
      </c>
      <c r="E8" s="19">
        <f t="shared" ref="E8:K8" si="1">SUMIF($D$4:$D$6,$D8,E$4:E$6)</f>
        <v>0</v>
      </c>
      <c r="F8" s="19">
        <f t="shared" si="1"/>
        <v>0</v>
      </c>
      <c r="G8" s="19">
        <f t="shared" si="1"/>
        <v>0</v>
      </c>
      <c r="H8" s="19">
        <f t="shared" si="1"/>
        <v>0</v>
      </c>
      <c r="I8" s="19">
        <f t="shared" si="1"/>
        <v>0</v>
      </c>
      <c r="J8" s="19">
        <f t="shared" si="1"/>
        <v>0</v>
      </c>
      <c r="K8" s="19">
        <f t="shared" si="1"/>
        <v>0</v>
      </c>
      <c r="L8" s="139"/>
      <c r="M8" s="19">
        <f>SUMIF($D$4:$D$6,$D8,M$4:M$6)</f>
        <v>0</v>
      </c>
      <c r="N8" s="19">
        <f>SUMIF($D$4:$D$6,$D8,N$4:N$6)</f>
        <v>0</v>
      </c>
      <c r="O8" s="19">
        <f>SUMIF($D$4:$D$6,$D8,O$4:O$6)</f>
        <v>0</v>
      </c>
      <c r="P8" s="19">
        <f>SUMIF($D$4:$D$6,$D8,P$4:P$6)</f>
        <v>0</v>
      </c>
      <c r="R8" s="103"/>
      <c r="S8" s="103"/>
    </row>
    <row r="9" spans="1:19">
      <c r="A9" s="124" t="s">
        <v>59</v>
      </c>
      <c r="B9" s="124"/>
      <c r="C9" s="19"/>
      <c r="D9" s="114">
        <v>43910</v>
      </c>
      <c r="E9" s="19">
        <f>SUMIF($D$4:$D$6,$D9,E$4:E$6)</f>
        <v>0</v>
      </c>
      <c r="F9" s="19">
        <f t="shared" ref="F9:K10" si="2">SUMIF($D$4:$D$7,$D9,F$4:F$7)</f>
        <v>0</v>
      </c>
      <c r="G9" s="19">
        <f t="shared" si="2"/>
        <v>0</v>
      </c>
      <c r="H9" s="19">
        <f t="shared" si="2"/>
        <v>0</v>
      </c>
      <c r="I9" s="19">
        <f t="shared" si="2"/>
        <v>0</v>
      </c>
      <c r="J9" s="196">
        <f t="shared" si="2"/>
        <v>0</v>
      </c>
      <c r="K9" s="19">
        <f t="shared" si="2"/>
        <v>0</v>
      </c>
      <c r="L9" s="139"/>
      <c r="M9" s="196">
        <f t="shared" ref="M9:P10" si="3">SUMIF($D$4:$D$7,$D9,M$4:M$7)</f>
        <v>0</v>
      </c>
      <c r="N9" s="196">
        <f t="shared" si="3"/>
        <v>0</v>
      </c>
      <c r="O9" s="196">
        <f t="shared" si="3"/>
        <v>0</v>
      </c>
      <c r="P9" s="19">
        <f t="shared" si="3"/>
        <v>0</v>
      </c>
      <c r="R9" s="103"/>
      <c r="S9" s="103"/>
    </row>
    <row r="10" spans="1:19" ht="13" thickBot="1">
      <c r="A10" s="123" t="s">
        <v>59</v>
      </c>
      <c r="B10" s="123"/>
      <c r="C10" s="120"/>
      <c r="D10" s="121">
        <v>43941</v>
      </c>
      <c r="E10" s="120">
        <f>SUMIF($D$4:$D$6,$D10,E$4:E$6)</f>
        <v>0</v>
      </c>
      <c r="F10" s="120">
        <f t="shared" si="2"/>
        <v>0</v>
      </c>
      <c r="G10" s="120">
        <f t="shared" si="2"/>
        <v>0</v>
      </c>
      <c r="H10" s="120">
        <f t="shared" si="2"/>
        <v>0</v>
      </c>
      <c r="I10" s="195">
        <f t="shared" si="2"/>
        <v>0</v>
      </c>
      <c r="J10" s="195">
        <f t="shared" si="2"/>
        <v>0</v>
      </c>
      <c r="K10" s="120">
        <f t="shared" si="2"/>
        <v>0</v>
      </c>
      <c r="L10" s="139"/>
      <c r="M10" s="195">
        <f t="shared" si="3"/>
        <v>0</v>
      </c>
      <c r="N10" s="195">
        <f t="shared" si="3"/>
        <v>0</v>
      </c>
      <c r="O10" s="195">
        <f t="shared" si="3"/>
        <v>0</v>
      </c>
      <c r="P10" s="120">
        <f t="shared" si="3"/>
        <v>0</v>
      </c>
      <c r="R10" s="103"/>
      <c r="S10" s="103"/>
    </row>
    <row r="11" spans="1:19">
      <c r="A11" s="137" t="s">
        <v>76</v>
      </c>
      <c r="B11" s="113"/>
      <c r="C11" s="112"/>
      <c r="D11" s="113"/>
      <c r="E11" s="112">
        <f t="shared" ref="E11:K11" si="4">SUM(E8:E10)</f>
        <v>0</v>
      </c>
      <c r="F11" s="112">
        <f t="shared" si="4"/>
        <v>0</v>
      </c>
      <c r="G11" s="112">
        <f t="shared" si="4"/>
        <v>0</v>
      </c>
      <c r="H11" s="112">
        <f t="shared" si="4"/>
        <v>0</v>
      </c>
      <c r="I11" s="112">
        <f t="shared" si="4"/>
        <v>0</v>
      </c>
      <c r="J11" s="112">
        <f t="shared" si="4"/>
        <v>0</v>
      </c>
      <c r="K11" s="112">
        <f t="shared" si="4"/>
        <v>0</v>
      </c>
      <c r="L11" s="139"/>
      <c r="M11" s="112">
        <f>SUM(M8:M10)</f>
        <v>0</v>
      </c>
      <c r="N11" s="112">
        <f>SUM(N8:N10)</f>
        <v>0</v>
      </c>
      <c r="O11" s="112">
        <f>SUM(O8:O10)</f>
        <v>0</v>
      </c>
      <c r="P11" s="112">
        <f>SUM(P8:P10)</f>
        <v>0</v>
      </c>
      <c r="R11" s="103"/>
      <c r="S11" s="103"/>
    </row>
    <row r="12" spans="1:19">
      <c r="A12" s="137" t="s">
        <v>57</v>
      </c>
      <c r="B12" s="113"/>
      <c r="C12" s="112"/>
      <c r="D12" s="113"/>
      <c r="E12" s="112"/>
      <c r="F12" s="112"/>
      <c r="G12" s="112">
        <f>'SFY 1920 M&amp;O CAP'!E113-SUM(G8:G10)</f>
        <v>0</v>
      </c>
      <c r="H12" s="112">
        <f>'SFY 1920 M&amp;O CAP'!F113-SUM(H8:H10)</f>
        <v>0</v>
      </c>
      <c r="I12" s="112">
        <f>'SFY 1920 M&amp;O CAP'!G113-SUM(I8:I10)</f>
        <v>0</v>
      </c>
      <c r="J12" s="112">
        <f>'SFY 1920 M&amp;O CAP'!H113-SUM(J8:J10)</f>
        <v>0</v>
      </c>
      <c r="K12" s="112">
        <f>SUM(K8:K10)</f>
        <v>0</v>
      </c>
      <c r="L12" s="139"/>
      <c r="M12" s="112">
        <f>'SFY 1920 M&amp;O CAP'!H105-SUM(M8:M10)</f>
        <v>0</v>
      </c>
      <c r="N12" s="112">
        <f>'SFY 1920 M&amp;O CAP'!H108-SUM(N8:N10)</f>
        <v>0</v>
      </c>
      <c r="O12" s="112">
        <f>'SFY 1920 M&amp;O CAP'!H112-SUM(O8:O10)</f>
        <v>0</v>
      </c>
      <c r="P12" s="112">
        <f>'SFY 1920 M&amp;O CAP'!H113-SUM(P8:P10)</f>
        <v>0</v>
      </c>
      <c r="Q12" s="14"/>
      <c r="R12" s="103"/>
      <c r="S12" s="103"/>
    </row>
    <row r="13" spans="1:19" ht="3" customHeight="1">
      <c r="A13" s="111"/>
      <c r="B13" s="110"/>
      <c r="C13" s="107"/>
      <c r="D13" s="107">
        <v>43941</v>
      </c>
      <c r="E13" s="107"/>
      <c r="F13" s="107"/>
      <c r="G13" s="107"/>
      <c r="H13" s="107"/>
      <c r="I13" s="107"/>
      <c r="J13" s="109"/>
      <c r="K13" s="197"/>
      <c r="L13" s="87"/>
      <c r="M13" s="198"/>
      <c r="N13" s="194"/>
      <c r="O13" s="194"/>
      <c r="P13" s="107"/>
      <c r="R13" s="103"/>
      <c r="S13" s="103"/>
    </row>
    <row r="14" spans="1:19" ht="13">
      <c r="A14" s="106" t="s">
        <v>48</v>
      </c>
      <c r="B14" s="105" t="s">
        <v>293</v>
      </c>
      <c r="C14" s="62"/>
      <c r="D14" s="62"/>
      <c r="E14" s="192">
        <f t="shared" ref="E14:K14" si="5">SUM(E11:E12)</f>
        <v>0</v>
      </c>
      <c r="F14" s="192">
        <f>SUM(G14:K14)</f>
        <v>0</v>
      </c>
      <c r="G14" s="192">
        <f t="shared" si="5"/>
        <v>0</v>
      </c>
      <c r="H14" s="192">
        <f t="shared" si="5"/>
        <v>0</v>
      </c>
      <c r="I14" s="192">
        <f t="shared" si="5"/>
        <v>0</v>
      </c>
      <c r="J14" s="192">
        <f t="shared" si="5"/>
        <v>0</v>
      </c>
      <c r="K14" s="18">
        <f t="shared" si="5"/>
        <v>0</v>
      </c>
      <c r="L14" s="193"/>
      <c r="M14" s="18">
        <f>SUM(M11:M12)</f>
        <v>0</v>
      </c>
      <c r="N14" s="192">
        <f>SUM(N11:N12)</f>
        <v>0</v>
      </c>
      <c r="O14" s="192">
        <f>SUM(O11:O12)</f>
        <v>0</v>
      </c>
      <c r="P14" s="18">
        <f>SUM(P11:P12)</f>
        <v>0</v>
      </c>
      <c r="R14" s="103"/>
      <c r="S14" s="103"/>
    </row>
    <row r="15" spans="1:19" ht="13">
      <c r="D15" s="174"/>
      <c r="E15" s="170"/>
      <c r="F15" s="173"/>
      <c r="G15" s="171"/>
      <c r="H15" s="171"/>
      <c r="I15" s="171"/>
      <c r="J15" s="171"/>
      <c r="L15" s="87"/>
      <c r="R15" s="103"/>
      <c r="S15" s="103"/>
    </row>
    <row r="16" spans="1:19" ht="13">
      <c r="A16" s="95"/>
      <c r="E16" s="730"/>
      <c r="F16" s="730"/>
      <c r="J16" s="31"/>
      <c r="K16" s="1"/>
      <c r="L16" s="28"/>
    </row>
    <row r="17" spans="1:16" ht="13">
      <c r="A17" s="95"/>
      <c r="E17" s="170"/>
      <c r="G17" s="171"/>
      <c r="H17" s="171"/>
      <c r="I17" s="171"/>
      <c r="J17" s="171"/>
    </row>
    <row r="18" spans="1:16">
      <c r="E18" s="191"/>
      <c r="F18" s="191"/>
      <c r="G18" s="191"/>
      <c r="H18" s="191"/>
      <c r="I18" s="191"/>
      <c r="J18" s="191"/>
      <c r="K18" s="190"/>
      <c r="L18" s="190"/>
    </row>
    <row r="19" spans="1:16">
      <c r="B19" s="87"/>
      <c r="E19" s="99"/>
      <c r="F19" s="99"/>
      <c r="G19" s="99"/>
      <c r="H19" s="99"/>
      <c r="I19" s="99"/>
      <c r="J19" s="99"/>
      <c r="K19" s="98"/>
      <c r="L19" s="98"/>
    </row>
    <row r="20" spans="1:16" s="87" customFormat="1" ht="14">
      <c r="A20" s="949"/>
      <c r="B20" s="949"/>
      <c r="C20" s="949"/>
      <c r="D20" s="949"/>
      <c r="E20" s="949"/>
      <c r="F20" s="949"/>
      <c r="G20" s="949"/>
      <c r="H20" s="949"/>
      <c r="I20" s="949"/>
      <c r="J20" s="949"/>
      <c r="K20" s="270"/>
      <c r="L20" s="270"/>
    </row>
    <row r="21" spans="1:16">
      <c r="G21" s="13"/>
      <c r="H21" s="13"/>
      <c r="I21" s="13"/>
      <c r="J21" s="13"/>
      <c r="K21" s="13"/>
      <c r="L21" s="13"/>
    </row>
    <row r="22" spans="1:16">
      <c r="J22" s="87"/>
    </row>
    <row r="23" spans="1:16">
      <c r="E23" s="87"/>
      <c r="J23" s="87"/>
      <c r="K23" s="87"/>
    </row>
    <row r="26" spans="1:16">
      <c r="H26" s="87"/>
      <c r="I26" s="68" t="s">
        <v>150</v>
      </c>
    </row>
    <row r="30" spans="1:16">
      <c r="M30" s="149"/>
      <c r="N30" s="149"/>
      <c r="O30" s="149"/>
      <c r="P30" s="148"/>
    </row>
    <row r="32" spans="1:16">
      <c r="M32" s="143"/>
      <c r="N32" s="143"/>
      <c r="O32" s="143"/>
      <c r="P32" s="143"/>
    </row>
  </sheetData>
  <mergeCells count="2">
    <mergeCell ref="A20:J20"/>
    <mergeCell ref="A1:J1"/>
  </mergeCells>
  <pageMargins left="0.7" right="0.7" top="0.75" bottom="0.75" header="0.3" footer="0.3"/>
  <pageSetup scale="60" orientation="landscape" r:id="rId1"/>
  <headerFooter>
    <oddHeader>&amp;CLRS Cloud Enablement Project 
County Claim Summary</oddHeader>
    <oddFooter>&amp;Cpage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2:U139"/>
  <sheetViews>
    <sheetView showGridLines="0" topLeftCell="A109" zoomScaleNormal="100" zoomScaleSheetLayoutView="100" zoomScalePageLayoutView="90" workbookViewId="0">
      <selection activeCell="A3" sqref="A3"/>
    </sheetView>
  </sheetViews>
  <sheetFormatPr defaultColWidth="9.1796875" defaultRowHeight="12.5"/>
  <cols>
    <col min="1" max="1" width="25.26953125" style="353" customWidth="1"/>
    <col min="2" max="2" width="16.1796875" style="353" customWidth="1"/>
    <col min="3" max="3" width="14.7265625" style="353" customWidth="1"/>
    <col min="4" max="4" width="14.1796875" style="353" customWidth="1"/>
    <col min="5" max="6" width="14.7265625" style="353" customWidth="1"/>
    <col min="7" max="7" width="14.81640625" style="353" customWidth="1"/>
    <col min="8" max="9" width="12.7265625" style="353" customWidth="1"/>
    <col min="10" max="10" width="11.453125" style="353" bestFit="1" customWidth="1"/>
    <col min="11" max="11" width="10.54296875" style="353" customWidth="1"/>
    <col min="12" max="16384" width="9.1796875" style="353"/>
  </cols>
  <sheetData>
    <row r="2" spans="1:21" ht="13">
      <c r="A2" s="240"/>
      <c r="B2" s="240"/>
      <c r="C2" s="240"/>
      <c r="D2" s="240"/>
      <c r="E2" s="240"/>
      <c r="F2" s="240"/>
      <c r="G2" s="240"/>
      <c r="H2" s="240"/>
    </row>
    <row r="3" spans="1:21" ht="13">
      <c r="A3" s="238" t="s">
        <v>137</v>
      </c>
      <c r="B3" s="951">
        <v>0</v>
      </c>
      <c r="C3" s="951"/>
      <c r="D3" s="240"/>
      <c r="E3" s="240" t="s">
        <v>136</v>
      </c>
      <c r="F3" s="238"/>
      <c r="G3" s="950">
        <v>0</v>
      </c>
      <c r="H3" s="951"/>
    </row>
    <row r="4" spans="1:21" ht="13">
      <c r="A4" s="238"/>
      <c r="B4" s="237"/>
      <c r="C4" s="237"/>
      <c r="D4" s="240"/>
      <c r="E4" s="240"/>
      <c r="F4" s="238"/>
      <c r="G4" s="239"/>
      <c r="H4" s="237"/>
    </row>
    <row r="5" spans="1:21" ht="13">
      <c r="A5" s="238"/>
      <c r="B5" s="237"/>
      <c r="C5" s="237"/>
      <c r="D5" s="236"/>
      <c r="E5" s="396" t="s">
        <v>135</v>
      </c>
      <c r="F5" s="395" t="s">
        <v>134</v>
      </c>
      <c r="G5" s="952">
        <v>0</v>
      </c>
      <c r="H5" s="952"/>
    </row>
    <row r="6" spans="1:21" ht="13">
      <c r="A6" s="238"/>
      <c r="B6" s="237"/>
      <c r="C6" s="237"/>
      <c r="D6" s="236"/>
      <c r="E6" s="396"/>
      <c r="F6" s="395"/>
      <c r="G6" s="235"/>
      <c r="H6" s="235"/>
    </row>
    <row r="7" spans="1:21" ht="13" thickBot="1">
      <c r="A7" s="354"/>
      <c r="B7" s="354"/>
      <c r="C7" s="354"/>
      <c r="D7" s="354"/>
      <c r="E7" s="354"/>
      <c r="F7" s="354"/>
      <c r="G7" s="354"/>
      <c r="H7" s="354"/>
    </row>
    <row r="8" spans="1:21" s="351" customFormat="1" ht="13">
      <c r="A8" s="953" t="s">
        <v>133</v>
      </c>
      <c r="B8" s="954"/>
      <c r="C8" s="954"/>
      <c r="D8" s="954"/>
      <c r="E8" s="954"/>
      <c r="F8" s="954"/>
      <c r="G8" s="954"/>
      <c r="H8" s="955"/>
      <c r="K8" s="495"/>
      <c r="L8" s="495"/>
      <c r="M8" s="495"/>
      <c r="N8" s="495"/>
      <c r="O8" s="495"/>
      <c r="P8" s="495"/>
      <c r="Q8" s="495"/>
      <c r="R8" s="495"/>
      <c r="S8" s="495"/>
      <c r="T8" s="495"/>
      <c r="U8" s="495"/>
    </row>
    <row r="9" spans="1:21" s="351" customFormat="1" ht="13.5" thickBot="1">
      <c r="A9" s="956" t="s">
        <v>203</v>
      </c>
      <c r="B9" s="957"/>
      <c r="C9" s="957"/>
      <c r="D9" s="957"/>
      <c r="E9" s="957"/>
      <c r="F9" s="957"/>
      <c r="G9" s="957"/>
      <c r="H9" s="958"/>
      <c r="K9" s="496"/>
      <c r="L9" s="495"/>
      <c r="M9" s="495"/>
      <c r="N9" s="495"/>
      <c r="O9" s="495"/>
      <c r="P9" s="495"/>
      <c r="Q9" s="495"/>
      <c r="R9" s="495"/>
      <c r="S9" s="495"/>
      <c r="T9" s="495"/>
      <c r="U9" s="495"/>
    </row>
    <row r="10" spans="1:21" ht="13">
      <c r="A10" s="399"/>
      <c r="B10" s="399"/>
      <c r="C10" s="220"/>
      <c r="D10" s="220" t="s">
        <v>100</v>
      </c>
      <c r="E10" s="220"/>
      <c r="F10" s="220" t="s">
        <v>99</v>
      </c>
      <c r="G10" s="220" t="s">
        <v>99</v>
      </c>
      <c r="H10" s="220" t="s">
        <v>98</v>
      </c>
      <c r="K10" s="378"/>
      <c r="L10" s="378"/>
      <c r="M10" s="378"/>
      <c r="N10" s="378"/>
      <c r="O10" s="378"/>
      <c r="P10" s="378"/>
      <c r="Q10" s="378"/>
      <c r="R10" s="378"/>
      <c r="S10" s="378"/>
      <c r="T10" s="378"/>
      <c r="U10" s="378"/>
    </row>
    <row r="11" spans="1:21" ht="13">
      <c r="A11" s="400"/>
      <c r="B11" s="400" t="s">
        <v>93</v>
      </c>
      <c r="C11" s="216" t="s">
        <v>93</v>
      </c>
      <c r="D11" s="216">
        <v>43881</v>
      </c>
      <c r="E11" s="216" t="s">
        <v>96</v>
      </c>
      <c r="F11" s="216" t="s">
        <v>95</v>
      </c>
      <c r="G11" s="216" t="s">
        <v>94</v>
      </c>
      <c r="H11" s="216" t="s">
        <v>44</v>
      </c>
      <c r="K11" s="378"/>
      <c r="L11" s="378"/>
      <c r="M11" s="379"/>
      <c r="N11" s="378"/>
      <c r="O11" s="378"/>
      <c r="P11" s="378"/>
      <c r="Q11" s="378"/>
      <c r="R11" s="378"/>
      <c r="S11" s="378"/>
      <c r="T11" s="378"/>
      <c r="U11" s="378"/>
    </row>
    <row r="12" spans="1:21" ht="13.5" thickBot="1">
      <c r="A12" s="401" t="s">
        <v>93</v>
      </c>
      <c r="B12" s="401" t="s">
        <v>92</v>
      </c>
      <c r="C12" s="214" t="s">
        <v>91</v>
      </c>
      <c r="D12" s="214">
        <v>43910</v>
      </c>
      <c r="E12" s="214" t="s">
        <v>89</v>
      </c>
      <c r="F12" s="214" t="s">
        <v>89</v>
      </c>
      <c r="G12" s="214" t="s">
        <v>89</v>
      </c>
      <c r="H12" s="214" t="s">
        <v>89</v>
      </c>
      <c r="M12" s="369"/>
    </row>
    <row r="13" spans="1:21">
      <c r="A13" s="489" t="s">
        <v>88</v>
      </c>
      <c r="B13" s="488">
        <v>5.1499999999999997E-2</v>
      </c>
      <c r="C13" s="487">
        <f>ROUND(C23*B13,0)</f>
        <v>1272381</v>
      </c>
      <c r="D13" s="212">
        <v>43941</v>
      </c>
      <c r="E13" s="487">
        <f>C13</f>
        <v>1272381</v>
      </c>
      <c r="F13" s="462">
        <v>0</v>
      </c>
      <c r="G13" s="487">
        <v>0</v>
      </c>
      <c r="H13" s="487">
        <v>0</v>
      </c>
      <c r="M13" s="369"/>
    </row>
    <row r="14" spans="1:21" s="351" customFormat="1">
      <c r="A14" s="466" t="s">
        <v>43</v>
      </c>
      <c r="B14" s="465">
        <v>0.2848</v>
      </c>
      <c r="C14" s="462">
        <f>ROUND(C23*B14,0)</f>
        <v>7036391</v>
      </c>
      <c r="D14" s="212" t="s">
        <v>132</v>
      </c>
      <c r="E14" s="462">
        <f>ROUNDDOWN($C14*0.5,0)</f>
        <v>3518195</v>
      </c>
      <c r="F14" s="462">
        <f>C14-E14-G14-H14</f>
        <v>2462738</v>
      </c>
      <c r="G14" s="462">
        <f>ROUND($C14*0,0)</f>
        <v>0</v>
      </c>
      <c r="H14" s="462">
        <f>ROUNDDOWN($C14*0.15,0)</f>
        <v>1055458</v>
      </c>
      <c r="M14" s="451"/>
    </row>
    <row r="15" spans="1:21">
      <c r="A15" s="466" t="s">
        <v>87</v>
      </c>
      <c r="B15" s="465">
        <v>1.4E-3</v>
      </c>
      <c r="C15" s="486">
        <f>ROUND(C23*B15,0)</f>
        <v>34589</v>
      </c>
      <c r="D15" s="212" t="s">
        <v>128</v>
      </c>
      <c r="E15" s="462">
        <f>ROUND($C15*0,0)</f>
        <v>0</v>
      </c>
      <c r="F15" s="462">
        <f>C15</f>
        <v>34589</v>
      </c>
      <c r="G15" s="462">
        <f>ROUND($C15*0,0)</f>
        <v>0</v>
      </c>
      <c r="H15" s="462">
        <f>ROUND($C15*0,0)</f>
        <v>0</v>
      </c>
    </row>
    <row r="16" spans="1:21" s="351" customFormat="1">
      <c r="A16" s="466" t="s">
        <v>86</v>
      </c>
      <c r="B16" s="465">
        <v>0.65690000000000004</v>
      </c>
      <c r="C16" s="462">
        <f>ROUND(C23-C13-C14-C15-C17-C18-C19-C20-C21-C22,0)</f>
        <v>16229652</v>
      </c>
      <c r="D16" s="212" t="s">
        <v>131</v>
      </c>
      <c r="E16" s="462">
        <f>ROUNDDOWN($C16*0.5,0)</f>
        <v>8114826</v>
      </c>
      <c r="F16" s="462">
        <v>0</v>
      </c>
      <c r="G16" s="462">
        <f>C16-E16-F16-H16</f>
        <v>8114826</v>
      </c>
      <c r="H16" s="462">
        <f>ROUND($C16*0,0)</f>
        <v>0</v>
      </c>
    </row>
    <row r="17" spans="1:10" s="351" customFormat="1">
      <c r="A17" s="466" t="s">
        <v>42</v>
      </c>
      <c r="B17" s="465">
        <v>2.8999999999999998E-3</v>
      </c>
      <c r="C17" s="462">
        <f>ROUND(C23*B17,0)</f>
        <v>71649</v>
      </c>
      <c r="D17" s="212" t="s">
        <v>130</v>
      </c>
      <c r="E17" s="462">
        <f>ROUND($C17*0,0)</f>
        <v>0</v>
      </c>
      <c r="F17" s="462">
        <f>C17-E17-G17-H17</f>
        <v>50155</v>
      </c>
      <c r="G17" s="462">
        <f>ROUND($C17*0,0)</f>
        <v>0</v>
      </c>
      <c r="H17" s="462">
        <f>ROUNDDOWN($C17*0.3,0)</f>
        <v>21494</v>
      </c>
    </row>
    <row r="18" spans="1:10">
      <c r="A18" s="466" t="s">
        <v>85</v>
      </c>
      <c r="B18" s="465">
        <v>0</v>
      </c>
      <c r="C18" s="486">
        <f>ROUND(C23*B18,0)</f>
        <v>0</v>
      </c>
      <c r="D18" s="212" t="s">
        <v>129</v>
      </c>
      <c r="E18" s="462">
        <f>C18</f>
        <v>0</v>
      </c>
      <c r="F18" s="462">
        <f>ROUND($C18*0,0)</f>
        <v>0</v>
      </c>
      <c r="G18" s="462">
        <f>ROUND($C18*0,0)</f>
        <v>0</v>
      </c>
      <c r="H18" s="462">
        <f>ROUND($C18*0,0)</f>
        <v>0</v>
      </c>
    </row>
    <row r="19" spans="1:10">
      <c r="A19" s="466" t="s">
        <v>84</v>
      </c>
      <c r="B19" s="465">
        <v>2.9999999999999997E-4</v>
      </c>
      <c r="C19" s="486">
        <f>ROUND(C23*B19,0)</f>
        <v>7412</v>
      </c>
      <c r="D19" s="212" t="s">
        <v>128</v>
      </c>
      <c r="E19" s="462">
        <f>ROUND($C19*0,0)</f>
        <v>0</v>
      </c>
      <c r="F19" s="462">
        <f>C19</f>
        <v>7412</v>
      </c>
      <c r="G19" s="462">
        <f>ROUND($C19*0,0)</f>
        <v>0</v>
      </c>
      <c r="H19" s="462">
        <f>ROUND($C19*0,0)</f>
        <v>0</v>
      </c>
    </row>
    <row r="20" spans="1:10" ht="13.75" customHeight="1">
      <c r="A20" s="466" t="s">
        <v>83</v>
      </c>
      <c r="B20" s="465">
        <v>1E-3</v>
      </c>
      <c r="C20" s="486">
        <f>ROUND(C23*B20,0)</f>
        <v>24706</v>
      </c>
      <c r="D20" s="212" t="s">
        <v>128</v>
      </c>
      <c r="E20" s="462">
        <f>ROUND($C20*0,0)</f>
        <v>0</v>
      </c>
      <c r="F20" s="462">
        <f>C20</f>
        <v>24706</v>
      </c>
      <c r="G20" s="462">
        <f>ROUND($C20*0,0)</f>
        <v>0</v>
      </c>
      <c r="H20" s="462">
        <f>ROUND($C20*0,0)</f>
        <v>0</v>
      </c>
    </row>
    <row r="21" spans="1:10" ht="13.75" customHeight="1">
      <c r="A21" s="466" t="s">
        <v>82</v>
      </c>
      <c r="B21" s="465">
        <v>1E-4</v>
      </c>
      <c r="C21" s="462">
        <f>ROUND(C23*B21,0)</f>
        <v>2471</v>
      </c>
      <c r="D21" s="212" t="s">
        <v>127</v>
      </c>
      <c r="E21" s="462">
        <f>ROUND($C21*0,0)</f>
        <v>0</v>
      </c>
      <c r="F21" s="462">
        <v>0</v>
      </c>
      <c r="G21" s="462">
        <f>C21</f>
        <v>2471</v>
      </c>
      <c r="H21" s="462">
        <f>ROUND($C21*0,0)</f>
        <v>0</v>
      </c>
    </row>
    <row r="22" spans="1:10" ht="13.75" customHeight="1" thickBot="1">
      <c r="A22" s="485" t="s">
        <v>49</v>
      </c>
      <c r="B22" s="484">
        <v>1.1000000000000001E-3</v>
      </c>
      <c r="C22" s="462">
        <f>ROUND(C23*B22,0)</f>
        <v>27177</v>
      </c>
      <c r="D22" s="219" t="s">
        <v>126</v>
      </c>
      <c r="E22" s="462">
        <v>0</v>
      </c>
      <c r="F22" s="462">
        <v>0</v>
      </c>
      <c r="G22" s="462">
        <v>0</v>
      </c>
      <c r="H22" s="462">
        <f>C22</f>
        <v>27177</v>
      </c>
    </row>
    <row r="23" spans="1:10" ht="13.75" customHeight="1" thickBot="1">
      <c r="A23" s="218" t="s">
        <v>103</v>
      </c>
      <c r="B23" s="483">
        <f>SUM(B13:B22)</f>
        <v>1</v>
      </c>
      <c r="C23" s="482">
        <f>'4th Q C-IV M&amp;O '!E29</f>
        <v>24706428</v>
      </c>
      <c r="D23" s="478"/>
      <c r="E23" s="478">
        <f>SUM(E13:E22)</f>
        <v>12905402</v>
      </c>
      <c r="F23" s="478">
        <f>SUM(F13:F22)</f>
        <v>2579600</v>
      </c>
      <c r="G23" s="478">
        <f>SUM(G13:G22)</f>
        <v>8117297</v>
      </c>
      <c r="H23" s="478">
        <f>SUM(H13:H22)</f>
        <v>1104129</v>
      </c>
      <c r="J23" s="441"/>
    </row>
    <row r="24" spans="1:10" ht="13.75" customHeight="1" thickBot="1">
      <c r="A24" s="460" t="s">
        <v>80</v>
      </c>
      <c r="B24" s="459"/>
      <c r="C24" s="481"/>
      <c r="D24" s="480"/>
      <c r="E24" s="479"/>
      <c r="F24" s="478">
        <f>H24*-1</f>
        <v>1104129</v>
      </c>
      <c r="G24" s="479"/>
      <c r="H24" s="478">
        <f>-H23</f>
        <v>-1104129</v>
      </c>
    </row>
    <row r="25" spans="1:10" ht="13.75" customHeight="1" thickBot="1">
      <c r="A25" s="460" t="s">
        <v>125</v>
      </c>
      <c r="B25" s="459"/>
      <c r="C25" s="478">
        <f>SUM(C23:C24)</f>
        <v>24706428</v>
      </c>
      <c r="D25" s="478"/>
      <c r="E25" s="478">
        <f>SUM(E23:E24)</f>
        <v>12905402</v>
      </c>
      <c r="F25" s="478">
        <f>SUM(F23:F24)</f>
        <v>3683729</v>
      </c>
      <c r="G25" s="478">
        <f>SUM(G23:G24)</f>
        <v>8117297</v>
      </c>
      <c r="H25" s="478">
        <f>SUM(H23:H24)</f>
        <v>0</v>
      </c>
    </row>
    <row r="26" spans="1:10" ht="16" thickBot="1">
      <c r="A26" s="450" t="s">
        <v>78</v>
      </c>
      <c r="B26" s="477"/>
      <c r="C26" s="476"/>
      <c r="D26" s="475"/>
      <c r="E26" s="474"/>
      <c r="F26" s="960">
        <f>SUM(F25:G25)</f>
        <v>11801026</v>
      </c>
      <c r="G26" s="960"/>
      <c r="H26" s="474"/>
    </row>
    <row r="27" spans="1:10" ht="16.149999999999999" customHeight="1" thickBot="1">
      <c r="A27" s="446"/>
      <c r="B27" s="445"/>
      <c r="C27" s="444"/>
      <c r="D27" s="444"/>
      <c r="E27" s="442"/>
      <c r="F27" s="473"/>
      <c r="G27" s="473"/>
      <c r="H27" s="442"/>
    </row>
    <row r="28" spans="1:10" ht="13.75" customHeight="1">
      <c r="A28" s="953" t="s">
        <v>295</v>
      </c>
      <c r="B28" s="954"/>
      <c r="C28" s="954"/>
      <c r="D28" s="954"/>
      <c r="E28" s="954"/>
      <c r="F28" s="954"/>
      <c r="G28" s="954"/>
      <c r="H28" s="954"/>
      <c r="I28" s="955"/>
    </row>
    <row r="29" spans="1:10" ht="13.75" customHeight="1" thickBot="1">
      <c r="A29" s="956" t="s">
        <v>204</v>
      </c>
      <c r="B29" s="957"/>
      <c r="C29" s="957"/>
      <c r="D29" s="957"/>
      <c r="E29" s="957"/>
      <c r="F29" s="957"/>
      <c r="G29" s="957"/>
      <c r="H29" s="957"/>
      <c r="I29" s="958"/>
    </row>
    <row r="30" spans="1:10" ht="13.75" customHeight="1">
      <c r="A30" s="229"/>
      <c r="B30" s="229"/>
      <c r="C30" s="228"/>
      <c r="D30" s="228" t="s">
        <v>100</v>
      </c>
      <c r="E30" s="215"/>
      <c r="F30" s="228" t="s">
        <v>99</v>
      </c>
      <c r="G30" s="215" t="s">
        <v>99</v>
      </c>
      <c r="H30" s="215" t="s">
        <v>98</v>
      </c>
      <c r="I30" s="215" t="s">
        <v>98</v>
      </c>
    </row>
    <row r="31" spans="1:10" ht="13.75" customHeight="1">
      <c r="A31" s="229"/>
      <c r="B31" s="229" t="s">
        <v>93</v>
      </c>
      <c r="C31" s="228" t="s">
        <v>93</v>
      </c>
      <c r="D31" s="228" t="s">
        <v>97</v>
      </c>
      <c r="E31" s="215" t="s">
        <v>96</v>
      </c>
      <c r="F31" s="228" t="s">
        <v>95</v>
      </c>
      <c r="G31" s="215" t="s">
        <v>94</v>
      </c>
      <c r="H31" s="215" t="s">
        <v>44</v>
      </c>
      <c r="I31" s="215" t="s">
        <v>61</v>
      </c>
    </row>
    <row r="32" spans="1:10" ht="13.75" customHeight="1" thickBot="1">
      <c r="A32" s="227" t="s">
        <v>93</v>
      </c>
      <c r="B32" s="227" t="s">
        <v>92</v>
      </c>
      <c r="C32" s="226" t="s">
        <v>91</v>
      </c>
      <c r="D32" s="226" t="s">
        <v>113</v>
      </c>
      <c r="E32" s="213" t="s">
        <v>89</v>
      </c>
      <c r="F32" s="226" t="s">
        <v>89</v>
      </c>
      <c r="G32" s="213" t="s">
        <v>89</v>
      </c>
      <c r="H32" s="213" t="s">
        <v>89</v>
      </c>
      <c r="I32" s="213" t="s">
        <v>89</v>
      </c>
    </row>
    <row r="33" spans="1:11" ht="13.75" customHeight="1">
      <c r="A33" s="489" t="s">
        <v>86</v>
      </c>
      <c r="B33" s="488">
        <v>0.87409999999999999</v>
      </c>
      <c r="C33" s="462">
        <f>ROUND(C35-C34,0)</f>
        <v>51734</v>
      </c>
      <c r="D33" s="225" t="s">
        <v>108</v>
      </c>
      <c r="E33" s="492">
        <f>ROUNDDOWN($C33*0.75,0)</f>
        <v>38800</v>
      </c>
      <c r="F33" s="492">
        <v>0</v>
      </c>
      <c r="G33" s="492">
        <f>C33-E33-F33-H33</f>
        <v>12934</v>
      </c>
      <c r="H33" s="492">
        <f>ROUND($C33*0,0)</f>
        <v>0</v>
      </c>
      <c r="I33" s="492">
        <f>ROUND($C33*0,0)</f>
        <v>0</v>
      </c>
    </row>
    <row r="34" spans="1:11" ht="13.75" customHeight="1" thickBot="1">
      <c r="A34" s="489" t="s">
        <v>61</v>
      </c>
      <c r="B34" s="484">
        <v>0.12590000000000001</v>
      </c>
      <c r="C34" s="462">
        <f>ROUND(B34*C35,0)</f>
        <v>7452</v>
      </c>
      <c r="D34" s="230" t="s">
        <v>116</v>
      </c>
      <c r="E34" s="492">
        <f>ROUNDDOWN($C34*0,0)</f>
        <v>0</v>
      </c>
      <c r="F34" s="492">
        <v>0</v>
      </c>
      <c r="G34" s="492">
        <f>C34-E34-F34-H34-I34</f>
        <v>0</v>
      </c>
      <c r="H34" s="492">
        <f>ROUND($C34*0,0)</f>
        <v>0</v>
      </c>
      <c r="I34" s="492">
        <f>ROUND($C34*1,0)</f>
        <v>7452</v>
      </c>
    </row>
    <row r="35" spans="1:11" ht="13.75" customHeight="1" thickBot="1">
      <c r="A35" s="218" t="s">
        <v>103</v>
      </c>
      <c r="B35" s="454">
        <f>SUM(B33:B34)</f>
        <v>1</v>
      </c>
      <c r="C35" s="491">
        <f>'4th Q C-IV CalHEERS '!E4+'4th Q C-IV CalHEERS '!E6+'4th Q C-IV CalHEERS '!E8</f>
        <v>59186</v>
      </c>
      <c r="D35" s="491"/>
      <c r="E35" s="491">
        <f>SUM(E33:E34)</f>
        <v>38800</v>
      </c>
      <c r="F35" s="491">
        <f>SUM(F33:F34)</f>
        <v>0</v>
      </c>
      <c r="G35" s="491">
        <f>SUM(G33:G34)</f>
        <v>12934</v>
      </c>
      <c r="H35" s="491">
        <f>SUM(H33:H34)</f>
        <v>0</v>
      </c>
      <c r="I35" s="491">
        <f>SUM(I33:I34)</f>
        <v>7452</v>
      </c>
      <c r="K35" s="441"/>
    </row>
    <row r="36" spans="1:11" ht="13.75" customHeight="1" thickBot="1">
      <c r="A36" s="224" t="s">
        <v>112</v>
      </c>
      <c r="B36" s="454"/>
      <c r="C36" s="491"/>
      <c r="D36" s="491"/>
      <c r="E36" s="491"/>
      <c r="F36" s="482"/>
      <c r="G36" s="482"/>
      <c r="H36" s="482"/>
      <c r="I36" s="482"/>
    </row>
    <row r="37" spans="1:11" ht="13.5" customHeight="1" thickBot="1">
      <c r="A37" s="223" t="s">
        <v>124</v>
      </c>
      <c r="B37" s="454"/>
      <c r="C37" s="491">
        <f>SUM(C35:C36)</f>
        <v>59186</v>
      </c>
      <c r="D37" s="491"/>
      <c r="E37" s="491">
        <f>SUM(E35:E36)</f>
        <v>38800</v>
      </c>
      <c r="F37" s="491">
        <f>SUM(F35:F36)</f>
        <v>0</v>
      </c>
      <c r="G37" s="491">
        <f>SUM(G35:G36)</f>
        <v>12934</v>
      </c>
      <c r="H37" s="491">
        <f>SUM(H35:H36)</f>
        <v>0</v>
      </c>
      <c r="I37" s="491">
        <f>SUM(I35:I36)</f>
        <v>7452</v>
      </c>
    </row>
    <row r="38" spans="1:11" ht="16.899999999999999" customHeight="1" thickBot="1">
      <c r="A38" s="222"/>
      <c r="B38" s="490"/>
      <c r="C38" s="221"/>
      <c r="D38" s="221"/>
      <c r="E38" s="221"/>
      <c r="F38" s="221"/>
      <c r="G38" s="221"/>
      <c r="H38" s="221"/>
      <c r="I38" s="221"/>
    </row>
    <row r="39" spans="1:11" ht="13.75" customHeight="1">
      <c r="A39" s="953" t="s">
        <v>123</v>
      </c>
      <c r="B39" s="954"/>
      <c r="C39" s="954"/>
      <c r="D39" s="954"/>
      <c r="E39" s="954"/>
      <c r="F39" s="954"/>
      <c r="G39" s="954"/>
      <c r="H39" s="954"/>
      <c r="I39" s="955"/>
    </row>
    <row r="40" spans="1:11" ht="13.75" customHeight="1" thickBot="1">
      <c r="A40" s="956" t="s">
        <v>205</v>
      </c>
      <c r="B40" s="957"/>
      <c r="C40" s="957"/>
      <c r="D40" s="957"/>
      <c r="E40" s="957"/>
      <c r="F40" s="957"/>
      <c r="G40" s="957"/>
      <c r="H40" s="957"/>
      <c r="I40" s="958"/>
    </row>
    <row r="41" spans="1:11" ht="13.75" customHeight="1">
      <c r="A41" s="229"/>
      <c r="B41" s="229"/>
      <c r="C41" s="228"/>
      <c r="D41" s="228" t="s">
        <v>100</v>
      </c>
      <c r="E41" s="215"/>
      <c r="F41" s="228" t="s">
        <v>99</v>
      </c>
      <c r="G41" s="215" t="s">
        <v>99</v>
      </c>
      <c r="H41" s="215" t="s">
        <v>98</v>
      </c>
      <c r="I41" s="215" t="s">
        <v>98</v>
      </c>
    </row>
    <row r="42" spans="1:11" ht="13.75" customHeight="1">
      <c r="A42" s="229"/>
      <c r="B42" s="229" t="s">
        <v>93</v>
      </c>
      <c r="C42" s="228" t="s">
        <v>93</v>
      </c>
      <c r="D42" s="228" t="s">
        <v>97</v>
      </c>
      <c r="E42" s="215" t="s">
        <v>96</v>
      </c>
      <c r="F42" s="228" t="s">
        <v>95</v>
      </c>
      <c r="G42" s="215" t="s">
        <v>94</v>
      </c>
      <c r="H42" s="215" t="s">
        <v>44</v>
      </c>
      <c r="I42" s="215" t="s">
        <v>61</v>
      </c>
    </row>
    <row r="43" spans="1:11" ht="13.75" customHeight="1" thickBot="1">
      <c r="A43" s="227" t="s">
        <v>93</v>
      </c>
      <c r="B43" s="227" t="s">
        <v>92</v>
      </c>
      <c r="C43" s="226" t="s">
        <v>91</v>
      </c>
      <c r="D43" s="226" t="s">
        <v>113</v>
      </c>
      <c r="E43" s="213" t="s">
        <v>89</v>
      </c>
      <c r="F43" s="226" t="s">
        <v>89</v>
      </c>
      <c r="G43" s="213" t="s">
        <v>89</v>
      </c>
      <c r="H43" s="213" t="s">
        <v>89</v>
      </c>
      <c r="I43" s="213" t="s">
        <v>89</v>
      </c>
    </row>
    <row r="44" spans="1:11" ht="13.75" customHeight="1" thickBot="1">
      <c r="A44" s="489" t="s">
        <v>86</v>
      </c>
      <c r="B44" s="488">
        <v>1</v>
      </c>
      <c r="C44" s="462">
        <f>ROUND(B44*C45,0)</f>
        <v>1785323</v>
      </c>
      <c r="D44" s="225" t="s">
        <v>108</v>
      </c>
      <c r="E44" s="492">
        <f>ROUNDDOWN($C44*0.75,0)</f>
        <v>1338992</v>
      </c>
      <c r="F44" s="492">
        <v>0</v>
      </c>
      <c r="G44" s="492">
        <f>C44-E44-F44-H44</f>
        <v>446331</v>
      </c>
      <c r="H44" s="492">
        <f>ROUND($C44*0,0)</f>
        <v>0</v>
      </c>
      <c r="I44" s="492">
        <f>ROUND($C44*0,0)</f>
        <v>0</v>
      </c>
    </row>
    <row r="45" spans="1:11" ht="13.75" customHeight="1" thickBot="1">
      <c r="A45" s="218" t="s">
        <v>103</v>
      </c>
      <c r="B45" s="454">
        <f>SUM(B44:B44)</f>
        <v>1</v>
      </c>
      <c r="C45" s="491">
        <f>'4th Q C-IV CalHEERS '!E5+'4th Q C-IV CalHEERS '!E7+'4th Q C-IV CalHEERS '!E9</f>
        <v>1785323</v>
      </c>
      <c r="D45" s="491"/>
      <c r="E45" s="491">
        <f>SUM(E44:E44)</f>
        <v>1338992</v>
      </c>
      <c r="F45" s="491">
        <f>SUM(F44:F44)</f>
        <v>0</v>
      </c>
      <c r="G45" s="491">
        <f>SUM(G44:G44)</f>
        <v>446331</v>
      </c>
      <c r="H45" s="491">
        <f>SUM(H44:H44)</f>
        <v>0</v>
      </c>
      <c r="I45" s="491">
        <f>SUM(I44:I44)</f>
        <v>0</v>
      </c>
      <c r="K45" s="441"/>
    </row>
    <row r="46" spans="1:11" ht="13.75" customHeight="1" thickBot="1">
      <c r="A46" s="224" t="s">
        <v>112</v>
      </c>
      <c r="B46" s="454"/>
      <c r="C46" s="491"/>
      <c r="D46" s="491"/>
      <c r="E46" s="491"/>
      <c r="F46" s="482"/>
      <c r="G46" s="482"/>
      <c r="H46" s="482"/>
      <c r="I46" s="482"/>
    </row>
    <row r="47" spans="1:11" ht="16.5" customHeight="1" thickBot="1">
      <c r="A47" s="224" t="s">
        <v>122</v>
      </c>
      <c r="B47" s="454"/>
      <c r="C47" s="491">
        <f>SUM(C45:C46)</f>
        <v>1785323</v>
      </c>
      <c r="D47" s="491"/>
      <c r="E47" s="491">
        <f>SUM(E45:E46)</f>
        <v>1338992</v>
      </c>
      <c r="F47" s="491">
        <f>SUM(F45:F46)</f>
        <v>0</v>
      </c>
      <c r="G47" s="491">
        <f>SUM(G45:G46)</f>
        <v>446331</v>
      </c>
      <c r="H47" s="491">
        <f>SUM(H45:H46)</f>
        <v>0</v>
      </c>
      <c r="I47" s="491">
        <f>SUM(I45:I46)</f>
        <v>0</v>
      </c>
    </row>
    <row r="48" spans="1:11" ht="16.899999999999999" customHeight="1" thickBot="1">
      <c r="A48" s="446"/>
      <c r="B48" s="445"/>
      <c r="C48" s="444"/>
      <c r="D48" s="444"/>
      <c r="E48" s="442"/>
      <c r="F48" s="473"/>
      <c r="G48" s="473"/>
      <c r="H48" s="442"/>
      <c r="J48" s="441"/>
    </row>
    <row r="49" spans="1:10" ht="13">
      <c r="A49" s="953" t="s">
        <v>121</v>
      </c>
      <c r="B49" s="954"/>
      <c r="C49" s="954"/>
      <c r="D49" s="954"/>
      <c r="E49" s="954"/>
      <c r="F49" s="954"/>
      <c r="G49" s="954"/>
      <c r="H49" s="955"/>
      <c r="J49" s="441"/>
    </row>
    <row r="50" spans="1:10" ht="13.5" thickBot="1">
      <c r="A50" s="963" t="s">
        <v>203</v>
      </c>
      <c r="B50" s="964"/>
      <c r="C50" s="964"/>
      <c r="D50" s="964"/>
      <c r="E50" s="964"/>
      <c r="F50" s="964"/>
      <c r="G50" s="964"/>
      <c r="H50" s="965"/>
      <c r="J50" s="441"/>
    </row>
    <row r="51" spans="1:10" ht="13">
      <c r="A51" s="234"/>
      <c r="B51" s="234"/>
      <c r="C51" s="233"/>
      <c r="D51" s="233" t="s">
        <v>100</v>
      </c>
      <c r="E51" s="232"/>
      <c r="F51" s="233" t="s">
        <v>99</v>
      </c>
      <c r="G51" s="232" t="s">
        <v>99</v>
      </c>
      <c r="H51" s="232" t="s">
        <v>98</v>
      </c>
      <c r="J51" s="441"/>
    </row>
    <row r="52" spans="1:10" ht="13">
      <c r="A52" s="229"/>
      <c r="B52" s="229" t="s">
        <v>93</v>
      </c>
      <c r="C52" s="228" t="s">
        <v>93</v>
      </c>
      <c r="D52" s="228" t="s">
        <v>97</v>
      </c>
      <c r="E52" s="215" t="s">
        <v>96</v>
      </c>
      <c r="F52" s="228" t="s">
        <v>95</v>
      </c>
      <c r="G52" s="215" t="s">
        <v>94</v>
      </c>
      <c r="H52" s="215" t="s">
        <v>44</v>
      </c>
      <c r="J52" s="441"/>
    </row>
    <row r="53" spans="1:10" ht="13.5" thickBot="1">
      <c r="A53" s="227" t="s">
        <v>93</v>
      </c>
      <c r="B53" s="227" t="s">
        <v>92</v>
      </c>
      <c r="C53" s="226" t="s">
        <v>91</v>
      </c>
      <c r="D53" s="226" t="s">
        <v>90</v>
      </c>
      <c r="E53" s="213" t="s">
        <v>89</v>
      </c>
      <c r="F53" s="226" t="s">
        <v>89</v>
      </c>
      <c r="G53" s="213" t="s">
        <v>89</v>
      </c>
      <c r="H53" s="213" t="s">
        <v>89</v>
      </c>
      <c r="J53" s="441"/>
    </row>
    <row r="54" spans="1:10" s="351" customFormat="1" ht="13" thickBot="1">
      <c r="A54" s="489" t="s">
        <v>86</v>
      </c>
      <c r="B54" s="465">
        <v>1</v>
      </c>
      <c r="C54" s="462">
        <f>ROUND(C55*B54,0)</f>
        <v>1440022</v>
      </c>
      <c r="D54" s="225" t="s">
        <v>120</v>
      </c>
      <c r="E54" s="494">
        <f>ROUNDDOWN(C54*0.75,0)</f>
        <v>1080016</v>
      </c>
      <c r="F54" s="462">
        <f>ROUND($C54*0,0)</f>
        <v>0</v>
      </c>
      <c r="G54" s="462">
        <f>C54-E54-F54-H54</f>
        <v>360006</v>
      </c>
      <c r="H54" s="494">
        <f>ROUND($C54*0,0)</f>
        <v>0</v>
      </c>
      <c r="J54" s="493"/>
    </row>
    <row r="55" spans="1:10" ht="13.5" thickBot="1">
      <c r="A55" s="231" t="s">
        <v>103</v>
      </c>
      <c r="B55" s="454">
        <v>1</v>
      </c>
      <c r="C55" s="491">
        <f>'4th Q C-IV Covered CA'!E14</f>
        <v>1440022</v>
      </c>
      <c r="D55" s="491"/>
      <c r="E55" s="478">
        <f t="shared" ref="E55:H56" si="0">SUM(E54:E54)</f>
        <v>1080016</v>
      </c>
      <c r="F55" s="478">
        <f t="shared" si="0"/>
        <v>0</v>
      </c>
      <c r="G55" s="478">
        <f t="shared" si="0"/>
        <v>360006</v>
      </c>
      <c r="H55" s="478">
        <f t="shared" si="0"/>
        <v>0</v>
      </c>
      <c r="J55" s="441"/>
    </row>
    <row r="56" spans="1:10" ht="13.5" thickBot="1">
      <c r="A56" s="223" t="s">
        <v>119</v>
      </c>
      <c r="B56" s="454"/>
      <c r="C56" s="491">
        <f>SUM(C55:C55)</f>
        <v>1440022</v>
      </c>
      <c r="D56" s="491"/>
      <c r="E56" s="478">
        <f t="shared" si="0"/>
        <v>1080016</v>
      </c>
      <c r="F56" s="478">
        <f t="shared" si="0"/>
        <v>0</v>
      </c>
      <c r="G56" s="478">
        <f t="shared" si="0"/>
        <v>360006</v>
      </c>
      <c r="H56" s="478">
        <f t="shared" si="0"/>
        <v>0</v>
      </c>
      <c r="J56" s="441"/>
    </row>
    <row r="57" spans="1:10" ht="16" thickBot="1">
      <c r="A57" s="450" t="s">
        <v>78</v>
      </c>
      <c r="B57" s="477"/>
      <c r="C57" s="476"/>
      <c r="D57" s="475"/>
      <c r="E57" s="474"/>
      <c r="F57" s="966">
        <f>SUM(F56:G56)</f>
        <v>360006</v>
      </c>
      <c r="G57" s="967"/>
      <c r="H57" s="474"/>
      <c r="J57" s="441"/>
    </row>
    <row r="58" spans="1:10" ht="16.899999999999999" customHeight="1" thickBot="1">
      <c r="A58" s="446"/>
      <c r="B58" s="445"/>
      <c r="C58" s="444"/>
      <c r="D58" s="444"/>
      <c r="E58" s="442"/>
      <c r="F58" s="473"/>
      <c r="G58" s="473"/>
      <c r="H58" s="442"/>
      <c r="J58" s="441"/>
    </row>
    <row r="59" spans="1:10" ht="13">
      <c r="A59" s="953" t="s">
        <v>118</v>
      </c>
      <c r="B59" s="954"/>
      <c r="C59" s="954"/>
      <c r="D59" s="954"/>
      <c r="E59" s="954"/>
      <c r="F59" s="954"/>
      <c r="G59" s="954"/>
      <c r="H59" s="955"/>
      <c r="J59" s="441"/>
    </row>
    <row r="60" spans="1:10" s="351" customFormat="1" ht="13.5" thickBot="1">
      <c r="A60" s="956" t="s">
        <v>203</v>
      </c>
      <c r="B60" s="957"/>
      <c r="C60" s="957"/>
      <c r="D60" s="957"/>
      <c r="E60" s="957"/>
      <c r="F60" s="957"/>
      <c r="G60" s="957"/>
      <c r="H60" s="958"/>
      <c r="J60" s="493"/>
    </row>
    <row r="61" spans="1:10" ht="13">
      <c r="A61" s="399"/>
      <c r="B61" s="399"/>
      <c r="C61" s="220"/>
      <c r="D61" s="220" t="s">
        <v>100</v>
      </c>
      <c r="E61" s="220"/>
      <c r="F61" s="220" t="s">
        <v>99</v>
      </c>
      <c r="G61" s="220" t="s">
        <v>99</v>
      </c>
      <c r="H61" s="220" t="s">
        <v>98</v>
      </c>
      <c r="J61" s="441"/>
    </row>
    <row r="62" spans="1:10" ht="13">
      <c r="A62" s="400"/>
      <c r="B62" s="400" t="s">
        <v>93</v>
      </c>
      <c r="C62" s="216" t="s">
        <v>93</v>
      </c>
      <c r="D62" s="216" t="s">
        <v>97</v>
      </c>
      <c r="E62" s="216" t="s">
        <v>96</v>
      </c>
      <c r="F62" s="216" t="s">
        <v>95</v>
      </c>
      <c r="G62" s="216" t="s">
        <v>94</v>
      </c>
      <c r="H62" s="216" t="s">
        <v>44</v>
      </c>
      <c r="J62" s="441"/>
    </row>
    <row r="63" spans="1:10" ht="13.5" thickBot="1">
      <c r="A63" s="401" t="s">
        <v>93</v>
      </c>
      <c r="B63" s="401" t="s">
        <v>92</v>
      </c>
      <c r="C63" s="214" t="s">
        <v>91</v>
      </c>
      <c r="D63" s="214" t="s">
        <v>90</v>
      </c>
      <c r="E63" s="214" t="s">
        <v>89</v>
      </c>
      <c r="F63" s="214" t="s">
        <v>89</v>
      </c>
      <c r="G63" s="214" t="s">
        <v>89</v>
      </c>
      <c r="H63" s="214" t="s">
        <v>89</v>
      </c>
      <c r="J63" s="441"/>
    </row>
    <row r="64" spans="1:10">
      <c r="A64" s="489" t="s">
        <v>88</v>
      </c>
      <c r="B64" s="488">
        <v>4.9500000000000002E-2</v>
      </c>
      <c r="C64" s="487">
        <f ca="1">ROUND(C73*B64,0)</f>
        <v>992558</v>
      </c>
      <c r="D64" s="212" t="s">
        <v>106</v>
      </c>
      <c r="E64" s="487">
        <f ca="1">C64</f>
        <v>992558</v>
      </c>
      <c r="F64" s="462">
        <v>0</v>
      </c>
      <c r="G64" s="487">
        <v>0</v>
      </c>
      <c r="H64" s="487">
        <v>0</v>
      </c>
      <c r="J64" s="441"/>
    </row>
    <row r="65" spans="1:10">
      <c r="A65" s="466" t="s">
        <v>43</v>
      </c>
      <c r="B65" s="465">
        <v>0.2361</v>
      </c>
      <c r="C65" s="462">
        <f ca="1">ROUND(C73*B65,0)</f>
        <v>4734199</v>
      </c>
      <c r="D65" s="212" t="s">
        <v>109</v>
      </c>
      <c r="E65" s="462">
        <f ca="1">ROUNDDOWN($C65*0.5,0)</f>
        <v>2367099</v>
      </c>
      <c r="F65" s="462">
        <f ca="1">C65-E65-G65-H65</f>
        <v>1656971</v>
      </c>
      <c r="G65" s="462">
        <f ca="1">ROUND($C65*0,0)</f>
        <v>0</v>
      </c>
      <c r="H65" s="462">
        <f ca="1">ROUNDDOWN($C65*0.15,0)</f>
        <v>710129</v>
      </c>
      <c r="J65" s="441"/>
    </row>
    <row r="66" spans="1:10">
      <c r="A66" s="466" t="s">
        <v>87</v>
      </c>
      <c r="B66" s="465">
        <v>3.0999999999999999E-3</v>
      </c>
      <c r="C66" s="486">
        <f ca="1">ROUND(C73*B66,0)</f>
        <v>62160</v>
      </c>
      <c r="D66" s="212" t="s">
        <v>105</v>
      </c>
      <c r="E66" s="462">
        <f ca="1">ROUND($C66*0,0)</f>
        <v>0</v>
      </c>
      <c r="F66" s="462">
        <f ca="1">C66</f>
        <v>62160</v>
      </c>
      <c r="G66" s="462">
        <f ca="1">ROUND($C66*0,0)</f>
        <v>0</v>
      </c>
      <c r="H66" s="462">
        <f ca="1">ROUND($C66*0,0)</f>
        <v>0</v>
      </c>
      <c r="J66" s="441"/>
    </row>
    <row r="67" spans="1:10">
      <c r="A67" s="466" t="s">
        <v>86</v>
      </c>
      <c r="B67" s="465">
        <v>0.68569999999999998</v>
      </c>
      <c r="C67" s="462">
        <f ca="1">ROUND(C73-C64-C65-C66-C68-C69-C70-C71-C72,0)</f>
        <v>13749430</v>
      </c>
      <c r="D67" s="212" t="s">
        <v>108</v>
      </c>
      <c r="E67" s="462">
        <f ca="1">ROUNDDOWN($C67*0.75,0)</f>
        <v>10312072</v>
      </c>
      <c r="F67" s="462">
        <v>0</v>
      </c>
      <c r="G67" s="462">
        <f ca="1">C67-E67-F67-H67</f>
        <v>3437358</v>
      </c>
      <c r="H67" s="462">
        <f ca="1">ROUND($C67*0,0)</f>
        <v>0</v>
      </c>
      <c r="J67" s="441"/>
    </row>
    <row r="68" spans="1:10">
      <c r="A68" s="466" t="s">
        <v>42</v>
      </c>
      <c r="B68" s="465">
        <v>2.2000000000000001E-3</v>
      </c>
      <c r="C68" s="462">
        <f ca="1">ROUND(C73*B68,0)</f>
        <v>44114</v>
      </c>
      <c r="D68" s="212" t="s">
        <v>107</v>
      </c>
      <c r="E68" s="462">
        <f ca="1">ROUND($C68*0,0)</f>
        <v>0</v>
      </c>
      <c r="F68" s="462">
        <f ca="1">C68-E68-G68-H68</f>
        <v>30880</v>
      </c>
      <c r="G68" s="462">
        <f ca="1">ROUND($C68*0,0)</f>
        <v>0</v>
      </c>
      <c r="H68" s="462">
        <f ca="1">ROUNDDOWN($C68*0.3,0)</f>
        <v>13234</v>
      </c>
      <c r="J68" s="441"/>
    </row>
    <row r="69" spans="1:10">
      <c r="A69" s="466" t="s">
        <v>85</v>
      </c>
      <c r="B69" s="465">
        <v>1E-4</v>
      </c>
      <c r="C69" s="486">
        <f ca="1">ROUND(C73*B69,0)</f>
        <v>2005</v>
      </c>
      <c r="D69" s="212" t="s">
        <v>106</v>
      </c>
      <c r="E69" s="462">
        <f ca="1">C69</f>
        <v>2005</v>
      </c>
      <c r="F69" s="462">
        <f ca="1">ROUND($C69*0,0)</f>
        <v>0</v>
      </c>
      <c r="G69" s="462">
        <f ca="1">ROUND($C69*0,0)</f>
        <v>0</v>
      </c>
      <c r="H69" s="462">
        <f ca="1">ROUND($C69*0,0)</f>
        <v>0</v>
      </c>
      <c r="J69" s="441"/>
    </row>
    <row r="70" spans="1:10">
      <c r="A70" s="466" t="s">
        <v>84</v>
      </c>
      <c r="B70" s="465">
        <v>1.4E-3</v>
      </c>
      <c r="C70" s="486">
        <f ca="1">ROUND(C73*B70,0)</f>
        <v>28072</v>
      </c>
      <c r="D70" s="212" t="s">
        <v>105</v>
      </c>
      <c r="E70" s="462">
        <f ca="1">ROUND($C70*0,0)</f>
        <v>0</v>
      </c>
      <c r="F70" s="462">
        <f ca="1">C70</f>
        <v>28072</v>
      </c>
      <c r="G70" s="462">
        <f ca="1">ROUND($C70*0,0)</f>
        <v>0</v>
      </c>
      <c r="H70" s="462">
        <f ca="1">ROUND($C70*0,0)</f>
        <v>0</v>
      </c>
      <c r="J70" s="441"/>
    </row>
    <row r="71" spans="1:10">
      <c r="A71" s="466" t="s">
        <v>83</v>
      </c>
      <c r="B71" s="465">
        <v>2.5000000000000001E-3</v>
      </c>
      <c r="C71" s="486">
        <f ca="1">ROUND(C73*B71,0)</f>
        <v>50129</v>
      </c>
      <c r="D71" s="212" t="s">
        <v>105</v>
      </c>
      <c r="E71" s="462">
        <f ca="1">ROUND($C71*0,0)</f>
        <v>0</v>
      </c>
      <c r="F71" s="462">
        <f ca="1">C71</f>
        <v>50129</v>
      </c>
      <c r="G71" s="462">
        <f ca="1">ROUND($C71*0,0)</f>
        <v>0</v>
      </c>
      <c r="H71" s="462">
        <f ca="1">ROUND($C71*0,0)</f>
        <v>0</v>
      </c>
      <c r="J71" s="441"/>
    </row>
    <row r="72" spans="1:10" ht="13" thickBot="1">
      <c r="A72" s="485" t="s">
        <v>49</v>
      </c>
      <c r="B72" s="484">
        <v>1.9400000000000001E-2</v>
      </c>
      <c r="C72" s="462">
        <f ca="1">ROUND(C73*B72,0)</f>
        <v>389002</v>
      </c>
      <c r="D72" s="219" t="s">
        <v>104</v>
      </c>
      <c r="E72" s="462">
        <v>0</v>
      </c>
      <c r="F72" s="462">
        <v>0</v>
      </c>
      <c r="G72" s="462">
        <v>0</v>
      </c>
      <c r="H72" s="462">
        <f ca="1">C72</f>
        <v>389002</v>
      </c>
      <c r="J72" s="441"/>
    </row>
    <row r="73" spans="1:10" ht="13.5" thickBot="1">
      <c r="A73" s="218" t="s">
        <v>103</v>
      </c>
      <c r="B73" s="483">
        <f>SUM(B64:B72)</f>
        <v>0.99999999999999978</v>
      </c>
      <c r="C73" s="482">
        <f ca="1">'4th Q LRS M&amp;O'!E14</f>
        <v>20051669</v>
      </c>
      <c r="D73" s="478"/>
      <c r="E73" s="478">
        <f ca="1">SUM(E64:E72)</f>
        <v>13673734</v>
      </c>
      <c r="F73" s="478">
        <f ca="1">SUM(F64:F72)</f>
        <v>1828212</v>
      </c>
      <c r="G73" s="478">
        <f ca="1">SUM(G64:G72)</f>
        <v>3437358</v>
      </c>
      <c r="H73" s="478">
        <f ca="1">SUM(H64:H72)</f>
        <v>1112365</v>
      </c>
      <c r="J73" s="441"/>
    </row>
    <row r="74" spans="1:10" ht="16" thickBot="1">
      <c r="A74" s="460" t="s">
        <v>80</v>
      </c>
      <c r="B74" s="459"/>
      <c r="C74" s="481"/>
      <c r="D74" s="480"/>
      <c r="E74" s="479"/>
      <c r="F74" s="478">
        <f ca="1">H74*-1</f>
        <v>1112365</v>
      </c>
      <c r="G74" s="479"/>
      <c r="H74" s="478">
        <f ca="1">-H73</f>
        <v>-1112365</v>
      </c>
      <c r="J74" s="441"/>
    </row>
    <row r="75" spans="1:10" ht="16" thickBot="1">
      <c r="A75" s="460" t="s">
        <v>117</v>
      </c>
      <c r="B75" s="459"/>
      <c r="C75" s="478">
        <f ca="1">SUM(C73:C74)</f>
        <v>20051669</v>
      </c>
      <c r="D75" s="478"/>
      <c r="E75" s="478">
        <f ca="1">SUM(E73:E74)</f>
        <v>13673734</v>
      </c>
      <c r="F75" s="478">
        <f ca="1">SUM(F73:F74)</f>
        <v>2940577</v>
      </c>
      <c r="G75" s="478">
        <f ca="1">SUM(G73:G74)</f>
        <v>3437358</v>
      </c>
      <c r="H75" s="478">
        <f ca="1">SUM(H73:H74)</f>
        <v>0</v>
      </c>
      <c r="J75" s="441"/>
    </row>
    <row r="76" spans="1:10" ht="16" thickBot="1">
      <c r="A76" s="450" t="s">
        <v>78</v>
      </c>
      <c r="B76" s="477"/>
      <c r="C76" s="476"/>
      <c r="D76" s="475"/>
      <c r="E76" s="474"/>
      <c r="F76" s="960">
        <f ca="1">SUM(F75:G75)</f>
        <v>6377935</v>
      </c>
      <c r="G76" s="960"/>
      <c r="H76" s="474"/>
      <c r="J76" s="441"/>
    </row>
    <row r="77" spans="1:10" ht="20.5" customHeight="1" thickBot="1">
      <c r="A77" s="446"/>
      <c r="B77" s="445"/>
      <c r="C77" s="444"/>
      <c r="D77" s="444"/>
      <c r="E77" s="442"/>
      <c r="F77" s="473"/>
      <c r="G77" s="473"/>
      <c r="H77" s="442"/>
      <c r="J77" s="441"/>
    </row>
    <row r="78" spans="1:10" ht="13">
      <c r="A78" s="968" t="s">
        <v>296</v>
      </c>
      <c r="B78" s="969"/>
      <c r="C78" s="969"/>
      <c r="D78" s="969"/>
      <c r="E78" s="969"/>
      <c r="F78" s="969"/>
      <c r="G78" s="969"/>
      <c r="H78" s="969"/>
      <c r="I78" s="970"/>
      <c r="J78" s="441"/>
    </row>
    <row r="79" spans="1:10" ht="13.5" thickBot="1">
      <c r="A79" s="956" t="s">
        <v>205</v>
      </c>
      <c r="B79" s="957"/>
      <c r="C79" s="957"/>
      <c r="D79" s="957"/>
      <c r="E79" s="957"/>
      <c r="F79" s="957"/>
      <c r="G79" s="957"/>
      <c r="H79" s="957"/>
      <c r="I79" s="958"/>
      <c r="J79" s="441"/>
    </row>
    <row r="80" spans="1:10" ht="13">
      <c r="A80" s="229"/>
      <c r="B80" s="229"/>
      <c r="C80" s="228"/>
      <c r="D80" s="228" t="s">
        <v>100</v>
      </c>
      <c r="E80" s="215"/>
      <c r="F80" s="228" t="s">
        <v>99</v>
      </c>
      <c r="G80" s="215" t="s">
        <v>99</v>
      </c>
      <c r="H80" s="215" t="s">
        <v>98</v>
      </c>
      <c r="I80" s="215" t="s">
        <v>98</v>
      </c>
      <c r="J80" s="441"/>
    </row>
    <row r="81" spans="1:11" ht="13">
      <c r="A81" s="229"/>
      <c r="B81" s="229" t="s">
        <v>93</v>
      </c>
      <c r="C81" s="228" t="s">
        <v>93</v>
      </c>
      <c r="D81" s="228" t="s">
        <v>97</v>
      </c>
      <c r="E81" s="215" t="s">
        <v>96</v>
      </c>
      <c r="F81" s="228" t="s">
        <v>95</v>
      </c>
      <c r="G81" s="215" t="s">
        <v>94</v>
      </c>
      <c r="H81" s="215" t="s">
        <v>44</v>
      </c>
      <c r="I81" s="215" t="s">
        <v>61</v>
      </c>
      <c r="J81" s="441"/>
    </row>
    <row r="82" spans="1:11" ht="13.5" thickBot="1">
      <c r="A82" s="227" t="s">
        <v>93</v>
      </c>
      <c r="B82" s="227" t="s">
        <v>92</v>
      </c>
      <c r="C82" s="226" t="s">
        <v>91</v>
      </c>
      <c r="D82" s="226" t="s">
        <v>113</v>
      </c>
      <c r="E82" s="213" t="s">
        <v>89</v>
      </c>
      <c r="F82" s="226" t="s">
        <v>89</v>
      </c>
      <c r="G82" s="213" t="s">
        <v>89</v>
      </c>
      <c r="H82" s="213" t="s">
        <v>89</v>
      </c>
      <c r="I82" s="213" t="s">
        <v>89</v>
      </c>
      <c r="J82" s="441"/>
    </row>
    <row r="83" spans="1:11">
      <c r="A83" s="489" t="s">
        <v>86</v>
      </c>
      <c r="B83" s="488">
        <v>0.87409999999999999</v>
      </c>
      <c r="C83" s="462">
        <f>ROUND(B83*C85,0)</f>
        <v>270270</v>
      </c>
      <c r="D83" s="225" t="s">
        <v>108</v>
      </c>
      <c r="E83" s="492">
        <f>ROUNDDOWN($C83*0.75,0)</f>
        <v>202702</v>
      </c>
      <c r="F83" s="492">
        <v>0</v>
      </c>
      <c r="G83" s="492">
        <f>C83-E83-F83-H83</f>
        <v>67568</v>
      </c>
      <c r="H83" s="492">
        <f>ROUND($C83*0,0)</f>
        <v>0</v>
      </c>
      <c r="I83" s="492">
        <f>ROUND($C83*0,0)</f>
        <v>0</v>
      </c>
      <c r="J83" s="441"/>
    </row>
    <row r="84" spans="1:11" ht="13" thickBot="1">
      <c r="A84" s="489" t="s">
        <v>61</v>
      </c>
      <c r="B84" s="484">
        <v>0.12590000000000001</v>
      </c>
      <c r="C84" s="462">
        <f>ROUND(B84*C85,0)</f>
        <v>38928</v>
      </c>
      <c r="D84" s="230" t="s">
        <v>116</v>
      </c>
      <c r="E84" s="492">
        <f>ROUNDDOWN($C84*0,0)</f>
        <v>0</v>
      </c>
      <c r="F84" s="492">
        <v>0</v>
      </c>
      <c r="G84" s="492">
        <f>C84-E84-F84-H84-I84</f>
        <v>0</v>
      </c>
      <c r="H84" s="492">
        <f>ROUND($C84*0,0)</f>
        <v>0</v>
      </c>
      <c r="I84" s="492">
        <f>ROUND($C84*1,0)</f>
        <v>38928</v>
      </c>
      <c r="J84" s="441"/>
    </row>
    <row r="85" spans="1:11" ht="13.5" thickBot="1">
      <c r="A85" s="218" t="s">
        <v>103</v>
      </c>
      <c r="B85" s="454">
        <f>SUM(B83:B84)</f>
        <v>1</v>
      </c>
      <c r="C85" s="491">
        <f>'4th Q LRS CalHEERS'!E4+'4th Q LRS CalHEERS'!E6+'4th Q LRS CalHEERS'!E8</f>
        <v>309198</v>
      </c>
      <c r="D85" s="491"/>
      <c r="E85" s="491">
        <f>SUM(E83:E84)</f>
        <v>202702</v>
      </c>
      <c r="F85" s="491">
        <f>SUM(F83:F84)</f>
        <v>0</v>
      </c>
      <c r="G85" s="491">
        <f>SUM(G83:G84)</f>
        <v>67568</v>
      </c>
      <c r="H85" s="491">
        <f>SUM(H83:H84)</f>
        <v>0</v>
      </c>
      <c r="I85" s="491">
        <f>SUM(I83:I84)</f>
        <v>38928</v>
      </c>
      <c r="J85" s="441"/>
      <c r="K85" s="441"/>
    </row>
    <row r="86" spans="1:11" ht="13.5" thickBot="1">
      <c r="A86" s="224" t="s">
        <v>112</v>
      </c>
      <c r="B86" s="454"/>
      <c r="C86" s="491"/>
      <c r="D86" s="491"/>
      <c r="E86" s="491"/>
      <c r="F86" s="482"/>
      <c r="G86" s="482"/>
      <c r="H86" s="482"/>
      <c r="I86" s="482"/>
      <c r="J86" s="441"/>
    </row>
    <row r="87" spans="1:11" ht="13.5" thickBot="1">
      <c r="A87" s="223" t="s">
        <v>115</v>
      </c>
      <c r="B87" s="454"/>
      <c r="C87" s="491">
        <f>SUM(C85:C86)</f>
        <v>309198</v>
      </c>
      <c r="D87" s="491"/>
      <c r="E87" s="491">
        <f>SUM(E85:E86)</f>
        <v>202702</v>
      </c>
      <c r="F87" s="491">
        <f>SUM(F85:F86)</f>
        <v>0</v>
      </c>
      <c r="G87" s="491">
        <f>SUM(G85:G86)</f>
        <v>67568</v>
      </c>
      <c r="H87" s="491">
        <f>SUM(H85:H86)</f>
        <v>0</v>
      </c>
      <c r="I87" s="491">
        <f>SUM(I85:I86)</f>
        <v>38928</v>
      </c>
      <c r="J87" s="441"/>
    </row>
    <row r="88" spans="1:11" ht="16.149999999999999" customHeight="1" thickBot="1">
      <c r="A88" s="217"/>
      <c r="B88" s="472"/>
      <c r="C88" s="471"/>
      <c r="D88" s="471"/>
      <c r="E88" s="471"/>
      <c r="F88" s="471"/>
      <c r="G88" s="471"/>
      <c r="H88" s="471"/>
      <c r="I88" s="471"/>
      <c r="J88" s="441"/>
    </row>
    <row r="89" spans="1:11" ht="13">
      <c r="A89" s="953" t="s">
        <v>114</v>
      </c>
      <c r="B89" s="954"/>
      <c r="C89" s="954"/>
      <c r="D89" s="954"/>
      <c r="E89" s="954"/>
      <c r="F89" s="954"/>
      <c r="G89" s="954"/>
      <c r="H89" s="954"/>
      <c r="I89" s="955"/>
      <c r="J89" s="441"/>
    </row>
    <row r="90" spans="1:11" ht="13.5" thickBot="1">
      <c r="A90" s="956" t="s">
        <v>204</v>
      </c>
      <c r="B90" s="957"/>
      <c r="C90" s="957"/>
      <c r="D90" s="957"/>
      <c r="E90" s="957"/>
      <c r="F90" s="957"/>
      <c r="G90" s="957"/>
      <c r="H90" s="957"/>
      <c r="I90" s="958"/>
      <c r="J90" s="441"/>
    </row>
    <row r="91" spans="1:11" ht="13">
      <c r="A91" s="229"/>
      <c r="B91" s="229"/>
      <c r="C91" s="228"/>
      <c r="D91" s="228" t="s">
        <v>100</v>
      </c>
      <c r="E91" s="215"/>
      <c r="F91" s="228" t="s">
        <v>99</v>
      </c>
      <c r="G91" s="215" t="s">
        <v>99</v>
      </c>
      <c r="H91" s="215" t="s">
        <v>98</v>
      </c>
      <c r="I91" s="215" t="s">
        <v>98</v>
      </c>
      <c r="J91" s="441"/>
    </row>
    <row r="92" spans="1:11" ht="13">
      <c r="A92" s="229"/>
      <c r="B92" s="229" t="s">
        <v>93</v>
      </c>
      <c r="C92" s="228" t="s">
        <v>93</v>
      </c>
      <c r="D92" s="228" t="s">
        <v>97</v>
      </c>
      <c r="E92" s="215" t="s">
        <v>96</v>
      </c>
      <c r="F92" s="228" t="s">
        <v>95</v>
      </c>
      <c r="G92" s="215" t="s">
        <v>94</v>
      </c>
      <c r="H92" s="215" t="s">
        <v>44</v>
      </c>
      <c r="I92" s="215" t="s">
        <v>61</v>
      </c>
      <c r="J92" s="441"/>
    </row>
    <row r="93" spans="1:11" ht="13.5" thickBot="1">
      <c r="A93" s="227" t="s">
        <v>93</v>
      </c>
      <c r="B93" s="227" t="s">
        <v>92</v>
      </c>
      <c r="C93" s="226" t="s">
        <v>91</v>
      </c>
      <c r="D93" s="226" t="s">
        <v>113</v>
      </c>
      <c r="E93" s="213" t="s">
        <v>89</v>
      </c>
      <c r="F93" s="226" t="s">
        <v>89</v>
      </c>
      <c r="G93" s="213" t="s">
        <v>89</v>
      </c>
      <c r="H93" s="213" t="s">
        <v>89</v>
      </c>
      <c r="I93" s="213" t="s">
        <v>89</v>
      </c>
      <c r="J93" s="441"/>
    </row>
    <row r="94" spans="1:11" ht="13" thickBot="1">
      <c r="A94" s="489" t="s">
        <v>86</v>
      </c>
      <c r="B94" s="488">
        <v>1</v>
      </c>
      <c r="C94" s="462">
        <f>ROUND(B94*C95,0)</f>
        <v>584640</v>
      </c>
      <c r="D94" s="225" t="s">
        <v>108</v>
      </c>
      <c r="E94" s="492">
        <f>ROUNDDOWN($C94*0.75,0)</f>
        <v>438480</v>
      </c>
      <c r="F94" s="492">
        <v>0</v>
      </c>
      <c r="G94" s="492">
        <f>C94-E94-F94-H94</f>
        <v>146160</v>
      </c>
      <c r="H94" s="492">
        <f>ROUND($C94*0,0)</f>
        <v>0</v>
      </c>
      <c r="I94" s="492">
        <f>ROUND($C94*0,0)</f>
        <v>0</v>
      </c>
      <c r="J94" s="441"/>
    </row>
    <row r="95" spans="1:11" ht="13.5" thickBot="1">
      <c r="A95" s="218" t="s">
        <v>103</v>
      </c>
      <c r="B95" s="454">
        <f>SUM(B94:B94)</f>
        <v>1</v>
      </c>
      <c r="C95" s="491">
        <f>'4th Q LRS CalHEERS'!E5+'4th Q LRS CalHEERS'!E7+'4th Q LRS CalHEERS'!E9</f>
        <v>584640</v>
      </c>
      <c r="D95" s="491"/>
      <c r="E95" s="491">
        <f>SUM(E94:E94)</f>
        <v>438480</v>
      </c>
      <c r="F95" s="491">
        <f>SUM(F94:F94)</f>
        <v>0</v>
      </c>
      <c r="G95" s="491">
        <f>SUM(G94:G94)</f>
        <v>146160</v>
      </c>
      <c r="H95" s="491">
        <f>SUM(H94:H94)</f>
        <v>0</v>
      </c>
      <c r="I95" s="491">
        <f>SUM(I94:I94)</f>
        <v>0</v>
      </c>
      <c r="J95" s="441"/>
      <c r="K95" s="441"/>
    </row>
    <row r="96" spans="1:11" ht="13.5" thickBot="1">
      <c r="A96" s="224" t="s">
        <v>112</v>
      </c>
      <c r="B96" s="454"/>
      <c r="C96" s="491"/>
      <c r="D96" s="491"/>
      <c r="E96" s="491"/>
      <c r="F96" s="482"/>
      <c r="G96" s="482"/>
      <c r="H96" s="482"/>
      <c r="I96" s="482"/>
      <c r="J96" s="441"/>
    </row>
    <row r="97" spans="1:10" ht="13.5" thickBot="1">
      <c r="A97" s="223" t="s">
        <v>111</v>
      </c>
      <c r="B97" s="454"/>
      <c r="C97" s="491">
        <f>SUM(C95:C96)</f>
        <v>584640</v>
      </c>
      <c r="D97" s="491"/>
      <c r="E97" s="491">
        <f>SUM(E95:E96)</f>
        <v>438480</v>
      </c>
      <c r="F97" s="491">
        <f>SUM(F95:F96)</f>
        <v>0</v>
      </c>
      <c r="G97" s="491">
        <f>SUM(G95:G96)</f>
        <v>146160</v>
      </c>
      <c r="H97" s="491">
        <f>SUM(H95:H96)</f>
        <v>0</v>
      </c>
      <c r="I97" s="491">
        <f>SUM(I95:I96)</f>
        <v>0</v>
      </c>
      <c r="J97" s="441"/>
    </row>
    <row r="98" spans="1:10" ht="16.899999999999999" customHeight="1" thickBot="1">
      <c r="A98" s="222"/>
      <c r="B98" s="490"/>
      <c r="C98" s="221"/>
      <c r="D98" s="221"/>
      <c r="E98" s="221"/>
      <c r="F98" s="221"/>
      <c r="G98" s="221"/>
      <c r="H98" s="221"/>
      <c r="I98" s="221"/>
      <c r="J98" s="441"/>
    </row>
    <row r="99" spans="1:10" ht="13">
      <c r="A99" s="953" t="s">
        <v>110</v>
      </c>
      <c r="B99" s="954"/>
      <c r="C99" s="954"/>
      <c r="D99" s="954"/>
      <c r="E99" s="954"/>
      <c r="F99" s="954"/>
      <c r="G99" s="954"/>
      <c r="H99" s="955"/>
      <c r="I99" s="471"/>
      <c r="J99" s="441"/>
    </row>
    <row r="100" spans="1:10" ht="13.5" thickBot="1">
      <c r="A100" s="956" t="s">
        <v>203</v>
      </c>
      <c r="B100" s="957"/>
      <c r="C100" s="957"/>
      <c r="D100" s="957"/>
      <c r="E100" s="957"/>
      <c r="F100" s="957"/>
      <c r="G100" s="957"/>
      <c r="H100" s="958"/>
      <c r="I100" s="471"/>
      <c r="J100" s="441"/>
    </row>
    <row r="101" spans="1:10" ht="13">
      <c r="A101" s="399"/>
      <c r="B101" s="399"/>
      <c r="C101" s="220"/>
      <c r="D101" s="220" t="s">
        <v>100</v>
      </c>
      <c r="E101" s="220"/>
      <c r="F101" s="220" t="s">
        <v>99</v>
      </c>
      <c r="G101" s="220" t="s">
        <v>99</v>
      </c>
      <c r="H101" s="220" t="s">
        <v>98</v>
      </c>
      <c r="I101" s="471"/>
      <c r="J101" s="441"/>
    </row>
    <row r="102" spans="1:10" ht="13">
      <c r="A102" s="400"/>
      <c r="B102" s="400" t="s">
        <v>93</v>
      </c>
      <c r="C102" s="216" t="s">
        <v>93</v>
      </c>
      <c r="D102" s="216" t="s">
        <v>97</v>
      </c>
      <c r="E102" s="216" t="s">
        <v>96</v>
      </c>
      <c r="F102" s="216" t="s">
        <v>95</v>
      </c>
      <c r="G102" s="216" t="s">
        <v>94</v>
      </c>
      <c r="H102" s="216" t="s">
        <v>44</v>
      </c>
      <c r="I102" s="471"/>
      <c r="J102" s="441"/>
    </row>
    <row r="103" spans="1:10" ht="13.5" thickBot="1">
      <c r="A103" s="401" t="s">
        <v>93</v>
      </c>
      <c r="B103" s="401" t="s">
        <v>92</v>
      </c>
      <c r="C103" s="214" t="s">
        <v>91</v>
      </c>
      <c r="D103" s="214" t="s">
        <v>90</v>
      </c>
      <c r="E103" s="214" t="s">
        <v>89</v>
      </c>
      <c r="F103" s="214" t="s">
        <v>89</v>
      </c>
      <c r="G103" s="214" t="s">
        <v>89</v>
      </c>
      <c r="H103" s="214" t="s">
        <v>89</v>
      </c>
      <c r="I103" s="471"/>
      <c r="J103" s="441"/>
    </row>
    <row r="104" spans="1:10">
      <c r="A104" s="489" t="s">
        <v>88</v>
      </c>
      <c r="B104" s="488">
        <v>4.9500000000000002E-2</v>
      </c>
      <c r="C104" s="487">
        <f>ROUND(C113*B104,0)</f>
        <v>0</v>
      </c>
      <c r="D104" s="212" t="s">
        <v>106</v>
      </c>
      <c r="E104" s="487">
        <f>C104</f>
        <v>0</v>
      </c>
      <c r="F104" s="462">
        <v>0</v>
      </c>
      <c r="G104" s="487">
        <v>0</v>
      </c>
      <c r="H104" s="487">
        <v>0</v>
      </c>
      <c r="I104" s="471"/>
      <c r="J104" s="441"/>
    </row>
    <row r="105" spans="1:10">
      <c r="A105" s="466" t="s">
        <v>43</v>
      </c>
      <c r="B105" s="465">
        <v>0.2361</v>
      </c>
      <c r="C105" s="462">
        <f>ROUND(C113*B105,0)</f>
        <v>0</v>
      </c>
      <c r="D105" s="212" t="s">
        <v>109</v>
      </c>
      <c r="E105" s="462">
        <f>ROUNDDOWN($C105*0.5,0)</f>
        <v>0</v>
      </c>
      <c r="F105" s="462">
        <f>C105-E105-G105-H105</f>
        <v>0</v>
      </c>
      <c r="G105" s="462">
        <f>ROUND($C105*0,0)</f>
        <v>0</v>
      </c>
      <c r="H105" s="462">
        <f>ROUNDDOWN($C105*0.15,0)</f>
        <v>0</v>
      </c>
      <c r="I105" s="471"/>
      <c r="J105" s="441"/>
    </row>
    <row r="106" spans="1:10">
      <c r="A106" s="466" t="s">
        <v>87</v>
      </c>
      <c r="B106" s="465">
        <v>3.0999999999999999E-3</v>
      </c>
      <c r="C106" s="486">
        <f>ROUND(C113*B106,0)</f>
        <v>0</v>
      </c>
      <c r="D106" s="212" t="s">
        <v>105</v>
      </c>
      <c r="E106" s="462">
        <f>ROUND($C106*0,0)</f>
        <v>0</v>
      </c>
      <c r="F106" s="462">
        <f>C106</f>
        <v>0</v>
      </c>
      <c r="G106" s="462">
        <f>ROUND($C106*0,0)</f>
        <v>0</v>
      </c>
      <c r="H106" s="462">
        <f>ROUND($C106*0,0)</f>
        <v>0</v>
      </c>
      <c r="I106" s="471"/>
      <c r="J106" s="441"/>
    </row>
    <row r="107" spans="1:10">
      <c r="A107" s="466" t="s">
        <v>86</v>
      </c>
      <c r="B107" s="465">
        <v>0.68569999999999998</v>
      </c>
      <c r="C107" s="486">
        <f>C113-SUM(C104:C106,C108:C112)</f>
        <v>0</v>
      </c>
      <c r="D107" s="212" t="s">
        <v>108</v>
      </c>
      <c r="E107" s="462">
        <f>ROUNDDOWN($C107*0.75,0)</f>
        <v>0</v>
      </c>
      <c r="F107" s="462">
        <v>0</v>
      </c>
      <c r="G107" s="462">
        <f>C107-E107-F107-H107</f>
        <v>0</v>
      </c>
      <c r="H107" s="462">
        <f>ROUND($C107*0,0)</f>
        <v>0</v>
      </c>
      <c r="I107" s="471"/>
      <c r="J107" s="441"/>
    </row>
    <row r="108" spans="1:10">
      <c r="A108" s="466" t="s">
        <v>42</v>
      </c>
      <c r="B108" s="465">
        <v>2.2000000000000001E-3</v>
      </c>
      <c r="C108" s="486">
        <f>ROUND(C113*B108,0)</f>
        <v>0</v>
      </c>
      <c r="D108" s="212" t="s">
        <v>107</v>
      </c>
      <c r="E108" s="462">
        <f>ROUND($C108*0,0)</f>
        <v>0</v>
      </c>
      <c r="F108" s="462">
        <f>C108-E108-G108-H108</f>
        <v>0</v>
      </c>
      <c r="G108" s="462">
        <f>ROUND($C108*0,0)</f>
        <v>0</v>
      </c>
      <c r="H108" s="462">
        <f>ROUNDDOWN($C108*0.3,0)</f>
        <v>0</v>
      </c>
      <c r="I108" s="471"/>
      <c r="J108" s="441"/>
    </row>
    <row r="109" spans="1:10">
      <c r="A109" s="466" t="s">
        <v>85</v>
      </c>
      <c r="B109" s="465">
        <v>1E-4</v>
      </c>
      <c r="C109" s="486">
        <f>ROUND(C113*B109,0)</f>
        <v>0</v>
      </c>
      <c r="D109" s="212" t="s">
        <v>106</v>
      </c>
      <c r="E109" s="462">
        <f>C109</f>
        <v>0</v>
      </c>
      <c r="F109" s="462">
        <f>ROUND($C109*0,0)</f>
        <v>0</v>
      </c>
      <c r="G109" s="462">
        <f>ROUND($C109*0,0)</f>
        <v>0</v>
      </c>
      <c r="H109" s="462">
        <f>ROUND($C109*0,0)</f>
        <v>0</v>
      </c>
      <c r="I109" s="471"/>
      <c r="J109" s="441"/>
    </row>
    <row r="110" spans="1:10">
      <c r="A110" s="466" t="s">
        <v>84</v>
      </c>
      <c r="B110" s="465">
        <v>1.4E-3</v>
      </c>
      <c r="C110" s="486">
        <f>ROUND(C113*B110,0)</f>
        <v>0</v>
      </c>
      <c r="D110" s="212" t="s">
        <v>105</v>
      </c>
      <c r="E110" s="462">
        <f>ROUND($C110*0,0)</f>
        <v>0</v>
      </c>
      <c r="F110" s="462">
        <f>C110</f>
        <v>0</v>
      </c>
      <c r="G110" s="462">
        <f>ROUND($C110*0,0)</f>
        <v>0</v>
      </c>
      <c r="H110" s="462">
        <f>ROUND($C110*0,0)</f>
        <v>0</v>
      </c>
      <c r="I110" s="471"/>
      <c r="J110" s="441"/>
    </row>
    <row r="111" spans="1:10">
      <c r="A111" s="466" t="s">
        <v>83</v>
      </c>
      <c r="B111" s="465">
        <v>2.5000000000000001E-3</v>
      </c>
      <c r="C111" s="486">
        <f>ROUND(C113*B111,0)</f>
        <v>0</v>
      </c>
      <c r="D111" s="212" t="s">
        <v>105</v>
      </c>
      <c r="E111" s="462">
        <f>ROUND($C111*0,0)</f>
        <v>0</v>
      </c>
      <c r="F111" s="462">
        <f>C111</f>
        <v>0</v>
      </c>
      <c r="G111" s="462">
        <f>ROUND($C111*0,0)</f>
        <v>0</v>
      </c>
      <c r="H111" s="462">
        <f>ROUND($C111*0,0)</f>
        <v>0</v>
      </c>
      <c r="I111" s="471"/>
      <c r="J111" s="441"/>
    </row>
    <row r="112" spans="1:10" ht="13" thickBot="1">
      <c r="A112" s="485" t="s">
        <v>49</v>
      </c>
      <c r="B112" s="484">
        <v>1.9400000000000001E-2</v>
      </c>
      <c r="C112" s="462">
        <f>ROUND(C113*B112,0)</f>
        <v>0</v>
      </c>
      <c r="D112" s="219" t="s">
        <v>104</v>
      </c>
      <c r="E112" s="462">
        <v>0</v>
      </c>
      <c r="F112" s="462">
        <v>0</v>
      </c>
      <c r="G112" s="462">
        <v>0</v>
      </c>
      <c r="H112" s="462">
        <f>C112</f>
        <v>0</v>
      </c>
      <c r="I112" s="471"/>
      <c r="J112" s="441"/>
    </row>
    <row r="113" spans="1:11" ht="13.5" thickBot="1">
      <c r="A113" s="218" t="s">
        <v>103</v>
      </c>
      <c r="B113" s="483">
        <f>SUM(B104:B112)</f>
        <v>0.99999999999999978</v>
      </c>
      <c r="C113" s="482">
        <f>'3rd Q LRS Cloud Enablement'!E11</f>
        <v>0</v>
      </c>
      <c r="D113" s="478"/>
      <c r="E113" s="478">
        <f>SUM(E104:E112)</f>
        <v>0</v>
      </c>
      <c r="F113" s="478">
        <f>SUM(F104:F112)</f>
        <v>0</v>
      </c>
      <c r="G113" s="478">
        <f>SUM(G104:G112)</f>
        <v>0</v>
      </c>
      <c r="H113" s="478">
        <f>SUM(H104:H112)</f>
        <v>0</v>
      </c>
      <c r="I113" s="471"/>
      <c r="J113" s="441"/>
    </row>
    <row r="114" spans="1:11" ht="16" thickBot="1">
      <c r="A114" s="460" t="s">
        <v>80</v>
      </c>
      <c r="B114" s="459"/>
      <c r="C114" s="481"/>
      <c r="D114" s="480"/>
      <c r="E114" s="479"/>
      <c r="F114" s="478">
        <f>H114*-1</f>
        <v>0</v>
      </c>
      <c r="G114" s="479"/>
      <c r="H114" s="478">
        <f>-H113</f>
        <v>0</v>
      </c>
      <c r="I114" s="471"/>
      <c r="J114" s="441"/>
    </row>
    <row r="115" spans="1:11" ht="16" thickBot="1">
      <c r="A115" s="460" t="s">
        <v>102</v>
      </c>
      <c r="B115" s="459"/>
      <c r="C115" s="478">
        <f>SUM(C113:C114)</f>
        <v>0</v>
      </c>
      <c r="D115" s="478"/>
      <c r="E115" s="478">
        <f>SUM(E113:E114)</f>
        <v>0</v>
      </c>
      <c r="F115" s="478">
        <f>SUM(F113:F114)</f>
        <v>0</v>
      </c>
      <c r="G115" s="478">
        <f>SUM(G113:G114)</f>
        <v>0</v>
      </c>
      <c r="H115" s="478">
        <f>SUM(H113:H114)</f>
        <v>0</v>
      </c>
      <c r="I115" s="471"/>
      <c r="J115" s="441"/>
    </row>
    <row r="116" spans="1:11" ht="16" thickBot="1">
      <c r="A116" s="450" t="s">
        <v>78</v>
      </c>
      <c r="B116" s="477"/>
      <c r="C116" s="476"/>
      <c r="D116" s="475"/>
      <c r="E116" s="474"/>
      <c r="F116" s="960">
        <f>SUM(F115:G115)</f>
        <v>0</v>
      </c>
      <c r="G116" s="960"/>
      <c r="H116" s="474"/>
      <c r="I116" s="471"/>
      <c r="J116" s="441"/>
    </row>
    <row r="117" spans="1:11" ht="15.5">
      <c r="A117" s="446"/>
      <c r="B117" s="445"/>
      <c r="C117" s="444"/>
      <c r="D117" s="444"/>
      <c r="E117" s="442"/>
      <c r="F117" s="473"/>
      <c r="G117" s="473"/>
      <c r="H117" s="442"/>
      <c r="I117" s="471"/>
      <c r="J117" s="441"/>
    </row>
    <row r="118" spans="1:11" ht="13.5" thickBot="1">
      <c r="A118" s="217"/>
      <c r="B118" s="472"/>
      <c r="C118" s="471"/>
      <c r="D118" s="471"/>
      <c r="E118" s="471"/>
      <c r="F118" s="471"/>
      <c r="G118" s="471"/>
      <c r="H118" s="471"/>
      <c r="I118" s="471"/>
      <c r="J118" s="441"/>
    </row>
    <row r="119" spans="1:11" s="351" customFormat="1" ht="13.5" customHeight="1">
      <c r="A119" s="961" t="s">
        <v>101</v>
      </c>
      <c r="B119" s="962"/>
      <c r="C119" s="962"/>
      <c r="D119" s="962"/>
      <c r="E119" s="962"/>
      <c r="F119" s="962"/>
      <c r="G119" s="962"/>
      <c r="H119" s="962"/>
      <c r="I119" s="470"/>
    </row>
    <row r="120" spans="1:11" s="351" customFormat="1" ht="13.5" customHeight="1" thickBot="1">
      <c r="A120" s="956" t="s">
        <v>203</v>
      </c>
      <c r="B120" s="957"/>
      <c r="C120" s="957"/>
      <c r="D120" s="957"/>
      <c r="E120" s="957"/>
      <c r="F120" s="957"/>
      <c r="G120" s="957"/>
      <c r="H120" s="957"/>
      <c r="I120" s="469"/>
    </row>
    <row r="121" spans="1:11" ht="13">
      <c r="A121" s="400"/>
      <c r="B121" s="400"/>
      <c r="C121" s="216" t="s">
        <v>98</v>
      </c>
      <c r="D121" s="216" t="s">
        <v>100</v>
      </c>
      <c r="E121" s="216"/>
      <c r="F121" s="216" t="s">
        <v>99</v>
      </c>
      <c r="G121" s="216" t="s">
        <v>99</v>
      </c>
      <c r="H121" s="216" t="s">
        <v>98</v>
      </c>
      <c r="I121" s="215" t="s">
        <v>98</v>
      </c>
    </row>
    <row r="122" spans="1:11" ht="13">
      <c r="A122" s="400"/>
      <c r="B122" s="400" t="s">
        <v>93</v>
      </c>
      <c r="C122" s="216" t="s">
        <v>93</v>
      </c>
      <c r="D122" s="216" t="s">
        <v>97</v>
      </c>
      <c r="E122" s="216" t="s">
        <v>96</v>
      </c>
      <c r="F122" s="216" t="s">
        <v>95</v>
      </c>
      <c r="G122" s="216" t="s">
        <v>94</v>
      </c>
      <c r="H122" s="216" t="s">
        <v>44</v>
      </c>
      <c r="I122" s="215" t="s">
        <v>61</v>
      </c>
    </row>
    <row r="123" spans="1:11" ht="13.5" thickBot="1">
      <c r="A123" s="401" t="s">
        <v>93</v>
      </c>
      <c r="B123" s="401" t="s">
        <v>92</v>
      </c>
      <c r="C123" s="214" t="s">
        <v>91</v>
      </c>
      <c r="D123" s="214" t="s">
        <v>90</v>
      </c>
      <c r="E123" s="214" t="s">
        <v>89</v>
      </c>
      <c r="F123" s="214" t="s">
        <v>89</v>
      </c>
      <c r="G123" s="214" t="s">
        <v>89</v>
      </c>
      <c r="H123" s="214" t="s">
        <v>89</v>
      </c>
      <c r="I123" s="213" t="s">
        <v>89</v>
      </c>
    </row>
    <row r="124" spans="1:11">
      <c r="A124" s="468" t="s">
        <v>88</v>
      </c>
      <c r="B124" s="467"/>
      <c r="C124" s="462">
        <f t="shared" ref="C124:C134" ca="1" si="1">SUMIF($A$13:$A$116,$A124,C$13:C$116)</f>
        <v>2264939</v>
      </c>
      <c r="D124" s="212"/>
      <c r="E124" s="462">
        <f t="shared" ref="E124:I134" ca="1" si="2">SUMIF($A$13:$A$116,$A124,E$13:E$116)</f>
        <v>2264939</v>
      </c>
      <c r="F124" s="462">
        <f t="shared" si="2"/>
        <v>0</v>
      </c>
      <c r="G124" s="462">
        <f t="shared" si="2"/>
        <v>0</v>
      </c>
      <c r="H124" s="462">
        <f t="shared" si="2"/>
        <v>0</v>
      </c>
      <c r="I124" s="462">
        <f t="shared" si="2"/>
        <v>0</v>
      </c>
      <c r="J124" s="441"/>
      <c r="K124" s="441"/>
    </row>
    <row r="125" spans="1:11" s="351" customFormat="1">
      <c r="A125" s="466" t="s">
        <v>43</v>
      </c>
      <c r="B125" s="465"/>
      <c r="C125" s="462">
        <f t="shared" ca="1" si="1"/>
        <v>11770590</v>
      </c>
      <c r="D125" s="212"/>
      <c r="E125" s="462">
        <f t="shared" ca="1" si="2"/>
        <v>5885294</v>
      </c>
      <c r="F125" s="462">
        <f t="shared" ca="1" si="2"/>
        <v>4119709</v>
      </c>
      <c r="G125" s="462">
        <f t="shared" ca="1" si="2"/>
        <v>0</v>
      </c>
      <c r="H125" s="462">
        <f t="shared" ca="1" si="2"/>
        <v>1765587</v>
      </c>
      <c r="I125" s="462">
        <f t="shared" si="2"/>
        <v>0</v>
      </c>
    </row>
    <row r="126" spans="1:11">
      <c r="A126" s="466" t="s">
        <v>87</v>
      </c>
      <c r="B126" s="464"/>
      <c r="C126" s="462">
        <f t="shared" ca="1" si="1"/>
        <v>96749</v>
      </c>
      <c r="D126" s="212"/>
      <c r="E126" s="462">
        <f t="shared" ca="1" si="2"/>
        <v>0</v>
      </c>
      <c r="F126" s="462">
        <f t="shared" ca="1" si="2"/>
        <v>96749</v>
      </c>
      <c r="G126" s="462">
        <f t="shared" ca="1" si="2"/>
        <v>0</v>
      </c>
      <c r="H126" s="462">
        <f t="shared" ca="1" si="2"/>
        <v>0</v>
      </c>
      <c r="I126" s="462">
        <f t="shared" si="2"/>
        <v>0</v>
      </c>
    </row>
    <row r="127" spans="1:11">
      <c r="A127" s="466" t="s">
        <v>86</v>
      </c>
      <c r="B127" s="464"/>
      <c r="C127" s="462">
        <f t="shared" ca="1" si="1"/>
        <v>34111071</v>
      </c>
      <c r="D127" s="212"/>
      <c r="E127" s="462">
        <f t="shared" ca="1" si="2"/>
        <v>21525888</v>
      </c>
      <c r="F127" s="462">
        <f t="shared" si="2"/>
        <v>0</v>
      </c>
      <c r="G127" s="462">
        <f t="shared" ca="1" si="2"/>
        <v>12585183</v>
      </c>
      <c r="H127" s="462">
        <f t="shared" ca="1" si="2"/>
        <v>0</v>
      </c>
      <c r="I127" s="462">
        <f t="shared" si="2"/>
        <v>0</v>
      </c>
    </row>
    <row r="128" spans="1:11" s="351" customFormat="1">
      <c r="A128" s="466" t="s">
        <v>61</v>
      </c>
      <c r="B128" s="465"/>
      <c r="C128" s="462">
        <f t="shared" si="1"/>
        <v>46380</v>
      </c>
      <c r="D128" s="212"/>
      <c r="E128" s="462">
        <f t="shared" si="2"/>
        <v>0</v>
      </c>
      <c r="F128" s="462">
        <f t="shared" si="2"/>
        <v>0</v>
      </c>
      <c r="G128" s="462">
        <f t="shared" si="2"/>
        <v>0</v>
      </c>
      <c r="H128" s="462">
        <f t="shared" si="2"/>
        <v>0</v>
      </c>
      <c r="I128" s="462">
        <f t="shared" si="2"/>
        <v>46380</v>
      </c>
    </row>
    <row r="129" spans="1:10">
      <c r="A129" s="463" t="s">
        <v>42</v>
      </c>
      <c r="B129" s="464"/>
      <c r="C129" s="462">
        <f t="shared" ca="1" si="1"/>
        <v>115763</v>
      </c>
      <c r="D129" s="212"/>
      <c r="E129" s="462">
        <f t="shared" ca="1" si="2"/>
        <v>0</v>
      </c>
      <c r="F129" s="462">
        <f t="shared" ca="1" si="2"/>
        <v>81035</v>
      </c>
      <c r="G129" s="462">
        <f t="shared" ca="1" si="2"/>
        <v>0</v>
      </c>
      <c r="H129" s="462">
        <f t="shared" ca="1" si="2"/>
        <v>34728</v>
      </c>
      <c r="I129" s="462">
        <f t="shared" si="2"/>
        <v>0</v>
      </c>
    </row>
    <row r="130" spans="1:10">
      <c r="A130" s="463" t="s">
        <v>85</v>
      </c>
      <c r="B130" s="464"/>
      <c r="C130" s="462">
        <f t="shared" ca="1" si="1"/>
        <v>2005</v>
      </c>
      <c r="D130" s="212"/>
      <c r="E130" s="462">
        <f t="shared" ca="1" si="2"/>
        <v>2005</v>
      </c>
      <c r="F130" s="462">
        <f t="shared" ca="1" si="2"/>
        <v>0</v>
      </c>
      <c r="G130" s="462">
        <f t="shared" ca="1" si="2"/>
        <v>0</v>
      </c>
      <c r="H130" s="462">
        <f t="shared" ca="1" si="2"/>
        <v>0</v>
      </c>
      <c r="I130" s="462">
        <f t="shared" si="2"/>
        <v>0</v>
      </c>
    </row>
    <row r="131" spans="1:10">
      <c r="A131" s="463" t="s">
        <v>84</v>
      </c>
      <c r="B131" s="464"/>
      <c r="C131" s="462">
        <f t="shared" ca="1" si="1"/>
        <v>35484</v>
      </c>
      <c r="D131" s="212"/>
      <c r="E131" s="462">
        <f t="shared" ca="1" si="2"/>
        <v>0</v>
      </c>
      <c r="F131" s="462">
        <f t="shared" ca="1" si="2"/>
        <v>35484</v>
      </c>
      <c r="G131" s="462">
        <f t="shared" ca="1" si="2"/>
        <v>0</v>
      </c>
      <c r="H131" s="462">
        <f t="shared" ca="1" si="2"/>
        <v>0</v>
      </c>
      <c r="I131" s="462">
        <f t="shared" si="2"/>
        <v>0</v>
      </c>
    </row>
    <row r="132" spans="1:10">
      <c r="A132" s="463" t="s">
        <v>83</v>
      </c>
      <c r="B132" s="464"/>
      <c r="C132" s="462">
        <f t="shared" ca="1" si="1"/>
        <v>74835</v>
      </c>
      <c r="D132" s="212"/>
      <c r="E132" s="462">
        <f t="shared" ca="1" si="2"/>
        <v>0</v>
      </c>
      <c r="F132" s="462">
        <f t="shared" ca="1" si="2"/>
        <v>74835</v>
      </c>
      <c r="G132" s="462">
        <f t="shared" ca="1" si="2"/>
        <v>0</v>
      </c>
      <c r="H132" s="462">
        <f t="shared" ca="1" si="2"/>
        <v>0</v>
      </c>
      <c r="I132" s="462">
        <f t="shared" si="2"/>
        <v>0</v>
      </c>
    </row>
    <row r="133" spans="1:10">
      <c r="A133" s="463" t="s">
        <v>82</v>
      </c>
      <c r="B133" s="464"/>
      <c r="C133" s="462">
        <f t="shared" si="1"/>
        <v>2471</v>
      </c>
      <c r="D133" s="212"/>
      <c r="E133" s="462">
        <f t="shared" si="2"/>
        <v>0</v>
      </c>
      <c r="F133" s="462">
        <f t="shared" si="2"/>
        <v>0</v>
      </c>
      <c r="G133" s="462">
        <f t="shared" si="2"/>
        <v>2471</v>
      </c>
      <c r="H133" s="462">
        <f t="shared" si="2"/>
        <v>0</v>
      </c>
      <c r="I133" s="462">
        <f t="shared" si="2"/>
        <v>0</v>
      </c>
    </row>
    <row r="134" spans="1:10" ht="13" thickBot="1">
      <c r="A134" s="463" t="s">
        <v>49</v>
      </c>
      <c r="C134" s="462">
        <f t="shared" ca="1" si="1"/>
        <v>416179</v>
      </c>
      <c r="D134" s="212"/>
      <c r="E134" s="462">
        <f t="shared" si="2"/>
        <v>0</v>
      </c>
      <c r="F134" s="462">
        <f t="shared" si="2"/>
        <v>0</v>
      </c>
      <c r="G134" s="462">
        <f t="shared" si="2"/>
        <v>0</v>
      </c>
      <c r="H134" s="462">
        <f t="shared" ca="1" si="2"/>
        <v>416179</v>
      </c>
      <c r="I134" s="462">
        <f t="shared" si="2"/>
        <v>0</v>
      </c>
    </row>
    <row r="135" spans="1:10" ht="13.5" thickBot="1">
      <c r="A135" s="211" t="s">
        <v>81</v>
      </c>
      <c r="B135" s="461"/>
      <c r="C135" s="210">
        <f ca="1">SUM(C124:C134)</f>
        <v>48936466</v>
      </c>
      <c r="D135" s="210"/>
      <c r="E135" s="208">
        <f ca="1">SUM(E124:E134)</f>
        <v>29678126</v>
      </c>
      <c r="F135" s="208">
        <f ca="1">SUM(F124:F134)</f>
        <v>4407812</v>
      </c>
      <c r="G135" s="208">
        <f ca="1">SUM(G124:G134)</f>
        <v>12587654</v>
      </c>
      <c r="H135" s="208">
        <f ca="1">SUM(H124:H134)</f>
        <v>2216494</v>
      </c>
      <c r="I135" s="208">
        <f>SUM(I124:I134)</f>
        <v>46380</v>
      </c>
    </row>
    <row r="136" spans="1:10" ht="16" thickBot="1">
      <c r="A136" s="460" t="s">
        <v>80</v>
      </c>
      <c r="B136" s="459"/>
      <c r="C136" s="458"/>
      <c r="D136" s="457"/>
      <c r="E136" s="456"/>
      <c r="F136" s="209">
        <f ca="1">H136*-1</f>
        <v>2216494</v>
      </c>
      <c r="G136" s="456"/>
      <c r="H136" s="209">
        <f ca="1">-H135</f>
        <v>-2216494</v>
      </c>
      <c r="I136" s="209"/>
      <c r="J136" s="441"/>
    </row>
    <row r="137" spans="1:10" s="451" customFormat="1" ht="13.5" thickBot="1">
      <c r="A137" s="455" t="s">
        <v>79</v>
      </c>
      <c r="B137" s="454"/>
      <c r="C137" s="208">
        <f ca="1">SUM(C135:C136)</f>
        <v>48936466</v>
      </c>
      <c r="D137" s="453"/>
      <c r="E137" s="208">
        <f ca="1">SUM(E135:E136)</f>
        <v>29678126</v>
      </c>
      <c r="F137" s="208">
        <f ca="1">SUM(F135:F136)</f>
        <v>6624306</v>
      </c>
      <c r="G137" s="208">
        <f ca="1">SUM(G135:G136)</f>
        <v>12587654</v>
      </c>
      <c r="H137" s="208">
        <f ca="1">SUM(H135:H136)</f>
        <v>0</v>
      </c>
      <c r="I137" s="208">
        <f>SUM(I135:I136)</f>
        <v>46380</v>
      </c>
      <c r="J137" s="452"/>
    </row>
    <row r="138" spans="1:10" ht="16" thickBot="1">
      <c r="A138" s="450" t="s">
        <v>78</v>
      </c>
      <c r="B138" s="449"/>
      <c r="C138" s="448"/>
      <c r="D138" s="448"/>
      <c r="E138" s="447"/>
      <c r="F138" s="959">
        <f ca="1">SUM(F137:G137)</f>
        <v>19211960</v>
      </c>
      <c r="G138" s="959"/>
      <c r="H138" s="447"/>
      <c r="I138" s="447"/>
      <c r="J138" s="441"/>
    </row>
    <row r="139" spans="1:10" ht="15.5">
      <c r="A139" s="446"/>
      <c r="B139" s="445"/>
      <c r="C139" s="444"/>
      <c r="D139" s="444"/>
      <c r="E139" s="442"/>
      <c r="F139" s="443"/>
      <c r="G139" s="443"/>
      <c r="H139" s="442"/>
      <c r="I139" s="442"/>
      <c r="J139" s="441"/>
    </row>
  </sheetData>
  <mergeCells count="26">
    <mergeCell ref="A99:H99"/>
    <mergeCell ref="A100:H100"/>
    <mergeCell ref="F116:G116"/>
    <mergeCell ref="A78:I78"/>
    <mergeCell ref="A79:I79"/>
    <mergeCell ref="F138:G138"/>
    <mergeCell ref="F26:G26"/>
    <mergeCell ref="A119:H119"/>
    <mergeCell ref="A120:H120"/>
    <mergeCell ref="A50:H50"/>
    <mergeCell ref="A49:H49"/>
    <mergeCell ref="F57:G57"/>
    <mergeCell ref="A28:I28"/>
    <mergeCell ref="A29:I29"/>
    <mergeCell ref="A89:I89"/>
    <mergeCell ref="A39:I39"/>
    <mergeCell ref="A40:I40"/>
    <mergeCell ref="A59:H59"/>
    <mergeCell ref="A60:H60"/>
    <mergeCell ref="F76:G76"/>
    <mergeCell ref="A90:I90"/>
    <mergeCell ref="G3:H3"/>
    <mergeCell ref="B3:C3"/>
    <mergeCell ref="G5:H5"/>
    <mergeCell ref="A8:H8"/>
    <mergeCell ref="A9:H9"/>
  </mergeCells>
  <printOptions horizontalCentered="1"/>
  <pageMargins left="0.37" right="0.41" top="1" bottom="1" header="0.5" footer="0.5"/>
  <pageSetup scale="62" orientation="portrait" r:id="rId1"/>
  <headerFooter alignWithMargins="0">
    <oddHeader xml:space="preserve">&amp;C&amp;"Arial,Bold"&amp;11SAWS - CalACES
Maintenance and Operations Cost Allocation Plan
SFY 2019/20
</oddHeader>
    <oddFooter>&amp;C&amp;F&amp;RPage &amp;P</oddFooter>
  </headerFooter>
  <rowBreaks count="1" manualBreakCount="1">
    <brk id="7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4</xdr:col>
                    <xdr:colOff>781050</xdr:colOff>
                    <xdr:row>3</xdr:row>
                    <xdr:rowOff>76200</xdr:rowOff>
                  </from>
                  <to>
                    <xdr:col>5</xdr:col>
                    <xdr:colOff>266700</xdr:colOff>
                    <xdr:row>5</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K19"/>
  <sheetViews>
    <sheetView showGridLines="0" zoomScaleNormal="100" workbookViewId="0">
      <pane xSplit="2" ySplit="3" topLeftCell="C4" activePane="bottomRight" state="frozen"/>
      <selection activeCell="R32" sqref="R32"/>
      <selection pane="topRight" activeCell="R32" sqref="R32"/>
      <selection pane="bottomLeft" activeCell="R32" sqref="R32"/>
      <selection pane="bottomRight" activeCell="A3" sqref="A3"/>
    </sheetView>
  </sheetViews>
  <sheetFormatPr defaultColWidth="9.1796875" defaultRowHeight="12.5"/>
  <cols>
    <col min="1" max="1" width="32.1796875" style="68" bestFit="1" customWidth="1"/>
    <col min="2" max="2" width="14.81640625" style="68" customWidth="1"/>
    <col min="3" max="3" width="9.1796875" style="68"/>
    <col min="4" max="4" width="10.54296875" style="68" customWidth="1"/>
    <col min="5" max="5" width="14.54296875" style="68" customWidth="1"/>
    <col min="6" max="6" width="12.453125" style="68" bestFit="1" customWidth="1"/>
    <col min="7" max="7" width="14.54296875" style="68" bestFit="1" customWidth="1"/>
    <col min="8" max="10" width="11.54296875" style="68" customWidth="1"/>
    <col min="11" max="11" width="6" style="68" customWidth="1"/>
    <col min="12" max="16384" width="9.1796875" style="68"/>
  </cols>
  <sheetData>
    <row r="1" spans="1:11" ht="14">
      <c r="A1" s="949" t="s">
        <v>309</v>
      </c>
      <c r="B1" s="949"/>
      <c r="C1" s="949"/>
      <c r="D1" s="949"/>
      <c r="E1" s="949"/>
      <c r="F1" s="949"/>
      <c r="G1" s="949"/>
      <c r="H1" s="949"/>
      <c r="I1" s="949"/>
      <c r="J1" s="949"/>
      <c r="K1" s="949"/>
    </row>
    <row r="2" spans="1:11" ht="12.75" customHeight="1"/>
    <row r="3" spans="1:11" ht="53.25" customHeight="1">
      <c r="A3" s="167" t="s">
        <v>44</v>
      </c>
      <c r="B3" s="167" t="s">
        <v>68</v>
      </c>
      <c r="C3" s="167" t="s">
        <v>67</v>
      </c>
      <c r="D3" s="167" t="s">
        <v>66</v>
      </c>
      <c r="E3" s="167" t="s">
        <v>139</v>
      </c>
      <c r="F3" s="167" t="s">
        <v>48</v>
      </c>
      <c r="G3" s="167" t="s">
        <v>65</v>
      </c>
      <c r="H3" s="167" t="s">
        <v>64</v>
      </c>
      <c r="I3" s="167" t="s">
        <v>63</v>
      </c>
      <c r="J3" s="166" t="s">
        <v>294</v>
      </c>
      <c r="K3" s="87"/>
    </row>
    <row r="4" spans="1:11" ht="12.75" customHeight="1">
      <c r="A4" s="245" t="s">
        <v>11</v>
      </c>
      <c r="B4" s="113">
        <v>43941</v>
      </c>
      <c r="C4" s="246">
        <v>0</v>
      </c>
      <c r="D4" s="113">
        <v>43971</v>
      </c>
      <c r="E4" s="267">
        <v>0</v>
      </c>
      <c r="F4" s="267">
        <f>SUM(G4:J4)</f>
        <v>0</v>
      </c>
      <c r="G4" s="267">
        <v>0</v>
      </c>
      <c r="H4" s="267">
        <v>0</v>
      </c>
      <c r="I4" s="267">
        <v>0</v>
      </c>
      <c r="J4" s="267">
        <v>0</v>
      </c>
    </row>
    <row r="5" spans="1:11" ht="12.75" customHeight="1">
      <c r="A5" s="245" t="s">
        <v>11</v>
      </c>
      <c r="B5" s="113">
        <v>43971</v>
      </c>
      <c r="C5" s="247">
        <v>0</v>
      </c>
      <c r="D5" s="113">
        <v>44002</v>
      </c>
      <c r="E5" s="164">
        <v>429606</v>
      </c>
      <c r="F5" s="267">
        <f t="shared" ref="F5:F6" si="0">SUM(G5:J5)</f>
        <v>429606</v>
      </c>
      <c r="G5" s="267">
        <v>214803</v>
      </c>
      <c r="H5" s="267">
        <v>150363</v>
      </c>
      <c r="I5" s="267">
        <v>0</v>
      </c>
      <c r="J5" s="267">
        <v>64440</v>
      </c>
    </row>
    <row r="6" spans="1:11" s="98" customFormat="1" ht="12" customHeight="1">
      <c r="A6" s="245" t="s">
        <v>11</v>
      </c>
      <c r="B6" s="113">
        <v>44002</v>
      </c>
      <c r="C6" s="246">
        <v>0</v>
      </c>
      <c r="D6" s="113">
        <v>44032</v>
      </c>
      <c r="E6" s="164">
        <v>747338</v>
      </c>
      <c r="F6" s="267">
        <f t="shared" si="0"/>
        <v>747338</v>
      </c>
      <c r="G6" s="164">
        <v>373669</v>
      </c>
      <c r="H6" s="164">
        <v>261569</v>
      </c>
      <c r="I6" s="164">
        <v>0</v>
      </c>
      <c r="J6" s="164">
        <v>112100</v>
      </c>
      <c r="K6" s="139"/>
    </row>
    <row r="7" spans="1:11" ht="3.65" customHeight="1">
      <c r="A7" s="248"/>
      <c r="B7" s="249"/>
      <c r="C7" s="253"/>
      <c r="D7" s="250"/>
      <c r="E7" s="251"/>
      <c r="F7" s="251"/>
      <c r="G7" s="251"/>
      <c r="H7" s="251"/>
      <c r="I7" s="251"/>
      <c r="J7" s="252"/>
    </row>
    <row r="8" spans="1:11" ht="13">
      <c r="A8" s="23"/>
      <c r="C8" s="62"/>
      <c r="D8" s="62"/>
      <c r="E8" s="18">
        <f t="shared" ref="E8:J8" si="1">SUM(E4:E7)</f>
        <v>1176944</v>
      </c>
      <c r="F8" s="18">
        <f t="shared" si="1"/>
        <v>1176944</v>
      </c>
      <c r="G8" s="18">
        <f t="shared" si="1"/>
        <v>588472</v>
      </c>
      <c r="H8" s="18">
        <f t="shared" si="1"/>
        <v>411932</v>
      </c>
      <c r="I8" s="18">
        <f t="shared" si="1"/>
        <v>0</v>
      </c>
      <c r="J8" s="18">
        <f t="shared" si="1"/>
        <v>176540</v>
      </c>
      <c r="K8" s="175"/>
    </row>
    <row r="9" spans="1:11" ht="3" customHeight="1">
      <c r="A9" s="111"/>
      <c r="B9" s="110"/>
      <c r="C9" s="107"/>
      <c r="D9" s="107"/>
      <c r="E9" s="107"/>
      <c r="F9" s="107"/>
      <c r="G9" s="107"/>
      <c r="H9" s="107"/>
      <c r="I9" s="107"/>
      <c r="J9" s="109"/>
      <c r="K9" s="100"/>
    </row>
    <row r="10" spans="1:11" ht="13">
      <c r="A10" s="106" t="s">
        <v>48</v>
      </c>
      <c r="B10" s="105" t="s">
        <v>303</v>
      </c>
      <c r="C10" s="62"/>
      <c r="D10" s="62"/>
      <c r="E10" s="18">
        <f t="shared" ref="E10:J10" si="2">SUM(E8:E8)</f>
        <v>1176944</v>
      </c>
      <c r="F10" s="18">
        <f>SUM(G10:J10)</f>
        <v>1176944</v>
      </c>
      <c r="G10" s="18">
        <f t="shared" si="2"/>
        <v>588472</v>
      </c>
      <c r="H10" s="18">
        <f t="shared" si="2"/>
        <v>411932</v>
      </c>
      <c r="I10" s="18">
        <f t="shared" si="2"/>
        <v>0</v>
      </c>
      <c r="J10" s="18">
        <f t="shared" si="2"/>
        <v>176540</v>
      </c>
      <c r="K10" s="193"/>
    </row>
    <row r="11" spans="1:11">
      <c r="B11" s="98"/>
      <c r="C11" s="98"/>
      <c r="D11" s="98"/>
      <c r="F11" s="736"/>
      <c r="G11" s="736"/>
      <c r="H11" s="242"/>
      <c r="I11" s="242"/>
      <c r="J11" s="242"/>
      <c r="K11" s="242"/>
    </row>
    <row r="12" spans="1:11">
      <c r="B12" s="100"/>
      <c r="C12" s="98"/>
      <c r="D12" s="98"/>
      <c r="F12" s="736"/>
      <c r="G12" s="736"/>
      <c r="H12" s="139"/>
      <c r="I12" s="103"/>
      <c r="J12" s="103"/>
      <c r="K12" s="98"/>
    </row>
    <row r="13" spans="1:11">
      <c r="B13" s="98"/>
      <c r="C13" s="98"/>
      <c r="D13" s="98"/>
      <c r="F13" s="736"/>
      <c r="G13" s="736"/>
      <c r="H13" s="98"/>
      <c r="I13" s="98"/>
      <c r="J13" s="241"/>
      <c r="K13" s="98"/>
    </row>
    <row r="14" spans="1:11">
      <c r="B14" s="98"/>
      <c r="C14" s="98"/>
      <c r="D14" s="98"/>
      <c r="F14" s="736"/>
      <c r="G14" s="736"/>
      <c r="H14" s="98"/>
      <c r="I14" s="98"/>
      <c r="J14" s="100"/>
      <c r="K14" s="98"/>
    </row>
    <row r="15" spans="1:11">
      <c r="B15" s="98"/>
      <c r="C15" s="98"/>
      <c r="D15" s="98"/>
      <c r="E15" s="736"/>
      <c r="F15" s="736"/>
      <c r="G15" s="98"/>
      <c r="H15" s="98"/>
      <c r="I15" s="98"/>
      <c r="J15" s="100"/>
      <c r="K15" s="98"/>
    </row>
    <row r="16" spans="1:11">
      <c r="B16" s="98"/>
      <c r="C16" s="98"/>
      <c r="D16" s="98"/>
      <c r="E16" s="100"/>
      <c r="F16" s="98"/>
      <c r="G16" s="98"/>
      <c r="H16" s="98"/>
      <c r="I16" s="98"/>
      <c r="J16" s="100"/>
      <c r="K16" s="98"/>
    </row>
    <row r="17" spans="2:11">
      <c r="B17" s="98"/>
      <c r="C17" s="98"/>
      <c r="D17" s="98"/>
      <c r="E17" s="103"/>
      <c r="F17" s="98"/>
      <c r="G17" s="98"/>
      <c r="H17" s="98"/>
      <c r="I17" s="98"/>
      <c r="J17" s="98"/>
      <c r="K17" s="98"/>
    </row>
    <row r="18" spans="2:11">
      <c r="B18" s="98"/>
      <c r="C18" s="98"/>
      <c r="D18" s="98"/>
      <c r="E18" s="103"/>
      <c r="F18" s="98"/>
      <c r="G18" s="98"/>
      <c r="H18" s="98"/>
      <c r="I18" s="98"/>
      <c r="J18" s="98"/>
      <c r="K18" s="98"/>
    </row>
    <row r="19" spans="2:11">
      <c r="B19" s="98"/>
      <c r="C19" s="98"/>
      <c r="D19" s="98"/>
      <c r="E19" s="103"/>
      <c r="F19" s="98"/>
      <c r="G19" s="98"/>
      <c r="H19" s="100"/>
      <c r="I19" s="98"/>
      <c r="J19" s="98"/>
      <c r="K19" s="98"/>
    </row>
  </sheetData>
  <mergeCells count="1">
    <mergeCell ref="A1:K1"/>
  </mergeCells>
  <pageMargins left="0.7" right="0.7" top="0.75" bottom="0.75" header="0.3" footer="0.3"/>
  <pageSetup scale="85" orientation="landscape" r:id="rId1"/>
  <headerFooter>
    <oddHeader>&amp;CCalACES ABAWD Project 
County Claim Summary</oddHeader>
    <oddFooter>&amp;Cpage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1:U15"/>
  <sheetViews>
    <sheetView zoomScaleNormal="100" workbookViewId="0">
      <selection activeCell="R32" sqref="R32"/>
    </sheetView>
  </sheetViews>
  <sheetFormatPr defaultColWidth="9.1796875" defaultRowHeight="12.5"/>
  <cols>
    <col min="1" max="1" width="21.1796875" style="353" customWidth="1"/>
    <col min="2" max="2" width="9.1796875" style="353"/>
    <col min="3" max="3" width="16.26953125" style="353" bestFit="1" customWidth="1"/>
    <col min="4" max="4" width="12.54296875" style="353" customWidth="1"/>
    <col min="5" max="5" width="16.26953125" style="353" bestFit="1" customWidth="1"/>
    <col min="6" max="8" width="14.7265625" style="353" customWidth="1"/>
    <col min="9" max="9" width="9.1796875" style="353"/>
    <col min="10" max="10" width="11.453125" style="353" bestFit="1" customWidth="1"/>
    <col min="11" max="16384" width="9.1796875" style="353"/>
  </cols>
  <sheetData>
    <row r="1" spans="1:21" ht="13">
      <c r="A1" s="240"/>
      <c r="B1" s="240"/>
      <c r="C1" s="240"/>
      <c r="D1" s="240"/>
      <c r="E1" s="240"/>
      <c r="F1" s="240"/>
      <c r="G1" s="240"/>
      <c r="H1" s="240"/>
    </row>
    <row r="2" spans="1:21" ht="13">
      <c r="A2" s="238" t="s">
        <v>137</v>
      </c>
      <c r="B2" s="951">
        <v>0</v>
      </c>
      <c r="C2" s="951"/>
      <c r="D2" s="240"/>
      <c r="E2" s="240" t="s">
        <v>136</v>
      </c>
      <c r="F2" s="238"/>
      <c r="G2" s="950">
        <v>0</v>
      </c>
      <c r="H2" s="951"/>
    </row>
    <row r="3" spans="1:21" ht="13">
      <c r="A3" s="238"/>
      <c r="B3" s="237"/>
      <c r="C3" s="237"/>
      <c r="D3" s="240"/>
      <c r="E3" s="240"/>
      <c r="F3" s="238"/>
      <c r="G3" s="239"/>
      <c r="H3" s="237"/>
    </row>
    <row r="4" spans="1:21" ht="13">
      <c r="A4" s="238"/>
      <c r="B4" s="237"/>
      <c r="C4" s="237"/>
      <c r="D4" s="236"/>
      <c r="E4" s="396" t="s">
        <v>135</v>
      </c>
      <c r="F4" s="395" t="s">
        <v>134</v>
      </c>
      <c r="G4" s="952">
        <v>0</v>
      </c>
      <c r="H4" s="952"/>
    </row>
    <row r="5" spans="1:21" ht="13.5" thickBot="1">
      <c r="A5" s="238"/>
      <c r="B5" s="393"/>
      <c r="C5" s="240"/>
      <c r="D5" s="240"/>
      <c r="E5" s="236"/>
      <c r="F5" s="394"/>
      <c r="G5" s="393"/>
      <c r="H5" s="392"/>
    </row>
    <row r="6" spans="1:21" ht="13">
      <c r="A6" s="971" t="s">
        <v>189</v>
      </c>
      <c r="B6" s="972"/>
      <c r="C6" s="972"/>
      <c r="D6" s="972"/>
      <c r="E6" s="972"/>
      <c r="F6" s="972"/>
      <c r="G6" s="972"/>
      <c r="H6" s="973"/>
      <c r="K6" s="378"/>
      <c r="L6" s="378"/>
      <c r="M6" s="378"/>
      <c r="N6" s="378"/>
      <c r="O6" s="378"/>
      <c r="P6" s="378"/>
      <c r="Q6" s="378"/>
      <c r="R6" s="378"/>
      <c r="S6" s="378"/>
      <c r="T6" s="378"/>
      <c r="U6" s="378"/>
    </row>
    <row r="7" spans="1:21" ht="13.5" thickBot="1">
      <c r="A7" s="391"/>
      <c r="B7" s="390"/>
      <c r="C7" s="390"/>
      <c r="D7" s="398" t="s">
        <v>206</v>
      </c>
      <c r="E7" s="390"/>
      <c r="F7" s="390"/>
      <c r="G7" s="390"/>
      <c r="H7" s="389"/>
      <c r="K7" s="388"/>
      <c r="L7" s="378"/>
      <c r="M7" s="378"/>
      <c r="N7" s="378"/>
      <c r="O7" s="378"/>
      <c r="P7" s="378"/>
      <c r="Q7" s="378"/>
      <c r="R7" s="378"/>
      <c r="S7" s="378"/>
      <c r="T7" s="378"/>
      <c r="U7" s="378"/>
    </row>
    <row r="8" spans="1:21" ht="13">
      <c r="A8" s="387"/>
      <c r="B8" s="386"/>
      <c r="C8" s="385"/>
      <c r="D8" s="385" t="s">
        <v>100</v>
      </c>
      <c r="E8" s="385"/>
      <c r="F8" s="385" t="s">
        <v>99</v>
      </c>
      <c r="G8" s="385" t="s">
        <v>99</v>
      </c>
      <c r="H8" s="384" t="s">
        <v>98</v>
      </c>
      <c r="K8" s="378"/>
      <c r="L8" s="378"/>
      <c r="M8" s="378"/>
      <c r="N8" s="378"/>
      <c r="O8" s="378"/>
      <c r="P8" s="378"/>
      <c r="Q8" s="378"/>
      <c r="R8" s="378"/>
      <c r="S8" s="378"/>
      <c r="T8" s="378"/>
      <c r="U8" s="378"/>
    </row>
    <row r="9" spans="1:21" ht="13">
      <c r="A9" s="383"/>
      <c r="B9" s="382" t="s">
        <v>93</v>
      </c>
      <c r="C9" s="381" t="s">
        <v>93</v>
      </c>
      <c r="D9" s="381" t="s">
        <v>97</v>
      </c>
      <c r="E9" s="381" t="s">
        <v>96</v>
      </c>
      <c r="F9" s="381" t="s">
        <v>95</v>
      </c>
      <c r="G9" s="381" t="s">
        <v>94</v>
      </c>
      <c r="H9" s="380" t="s">
        <v>44</v>
      </c>
      <c r="K9" s="378"/>
      <c r="L9" s="378"/>
      <c r="M9" s="379"/>
      <c r="N9" s="378"/>
      <c r="O9" s="378"/>
      <c r="P9" s="378"/>
      <c r="Q9" s="378"/>
      <c r="R9" s="378"/>
      <c r="S9" s="378"/>
      <c r="T9" s="378"/>
      <c r="U9" s="378"/>
    </row>
    <row r="10" spans="1:21" ht="13">
      <c r="A10" s="377" t="s">
        <v>93</v>
      </c>
      <c r="B10" s="376" t="s">
        <v>92</v>
      </c>
      <c r="C10" s="375" t="s">
        <v>91</v>
      </c>
      <c r="D10" s="375" t="s">
        <v>90</v>
      </c>
      <c r="E10" s="375" t="s">
        <v>89</v>
      </c>
      <c r="F10" s="375" t="s">
        <v>89</v>
      </c>
      <c r="G10" s="375" t="s">
        <v>89</v>
      </c>
      <c r="H10" s="374" t="s">
        <v>89</v>
      </c>
      <c r="M10" s="369"/>
    </row>
    <row r="11" spans="1:21">
      <c r="A11" s="373" t="s">
        <v>43</v>
      </c>
      <c r="B11" s="372">
        <v>1</v>
      </c>
      <c r="C11" s="267">
        <f>ROUND(C12*B11,0)</f>
        <v>1176944</v>
      </c>
      <c r="D11" s="371" t="s">
        <v>132</v>
      </c>
      <c r="E11" s="267">
        <f>ROUNDDOWN($C11*0.5,0)</f>
        <v>588472</v>
      </c>
      <c r="F11" s="267">
        <f>C11-E11-G11-H11</f>
        <v>411931</v>
      </c>
      <c r="G11" s="267">
        <f>ROUND(C11*0,0)</f>
        <v>0</v>
      </c>
      <c r="H11" s="370">
        <f>ROUNDDOWN(C11*0.15,0)</f>
        <v>176541</v>
      </c>
      <c r="M11" s="369"/>
    </row>
    <row r="12" spans="1:21" ht="13.75" customHeight="1">
      <c r="A12" s="368" t="s">
        <v>103</v>
      </c>
      <c r="B12" s="367">
        <f>SUM(B11:B11)</f>
        <v>1</v>
      </c>
      <c r="C12" s="361">
        <f>'4th Q CalACES ABAWD'!E8</f>
        <v>1176944</v>
      </c>
      <c r="D12" s="267"/>
      <c r="E12" s="361">
        <f>SUM(E11:E11)</f>
        <v>588472</v>
      </c>
      <c r="F12" s="361">
        <f>SUM(F11:F11)</f>
        <v>411931</v>
      </c>
      <c r="G12" s="361">
        <f>SUM(G11:G11)</f>
        <v>0</v>
      </c>
      <c r="H12" s="360">
        <f>SUM(H11:H11)</f>
        <v>176541</v>
      </c>
    </row>
    <row r="13" spans="1:21" ht="13.75" customHeight="1">
      <c r="A13" s="363" t="s">
        <v>80</v>
      </c>
      <c r="B13" s="362"/>
      <c r="C13" s="366"/>
      <c r="D13" s="365"/>
      <c r="E13" s="364"/>
      <c r="F13" s="267">
        <f>H13*-1</f>
        <v>176541</v>
      </c>
      <c r="G13" s="364"/>
      <c r="H13" s="360">
        <f>-H12</f>
        <v>-176541</v>
      </c>
      <c r="J13" s="441"/>
    </row>
    <row r="14" spans="1:21" ht="13.75" customHeight="1">
      <c r="A14" s="363" t="s">
        <v>79</v>
      </c>
      <c r="B14" s="362"/>
      <c r="C14" s="361">
        <f>SUM(C12:C13)</f>
        <v>1176944</v>
      </c>
      <c r="D14" s="267"/>
      <c r="E14" s="361">
        <f t="shared" ref="E14:H14" si="0">SUM(E12:E13)</f>
        <v>588472</v>
      </c>
      <c r="F14" s="361">
        <f t="shared" si="0"/>
        <v>588472</v>
      </c>
      <c r="G14" s="361">
        <f t="shared" si="0"/>
        <v>0</v>
      </c>
      <c r="H14" s="360">
        <f t="shared" si="0"/>
        <v>0</v>
      </c>
    </row>
    <row r="15" spans="1:21" ht="13.5" customHeight="1" thickBot="1">
      <c r="A15" s="359" t="s">
        <v>78</v>
      </c>
      <c r="B15" s="358"/>
      <c r="C15" s="357"/>
      <c r="D15" s="357"/>
      <c r="E15" s="356"/>
      <c r="F15" s="974">
        <f>SUM(F14:G14)</f>
        <v>588472</v>
      </c>
      <c r="G15" s="974"/>
      <c r="H15" s="355"/>
    </row>
  </sheetData>
  <mergeCells count="5">
    <mergeCell ref="B2:C2"/>
    <mergeCell ref="G2:H2"/>
    <mergeCell ref="G4:H4"/>
    <mergeCell ref="A6:H6"/>
    <mergeCell ref="F15:G15"/>
  </mergeCells>
  <printOptions horizontalCentered="1"/>
  <pageMargins left="0.37" right="0.41" top="1" bottom="1" header="0.5" footer="0.5"/>
  <pageSetup scale="82" orientation="portrait" r:id="rId1"/>
  <headerFooter alignWithMargins="0">
    <oddHeader>&amp;C&amp;"Arial,Bold"SAWS - CalACES 
ABAWD Cost Allocation Plan
FY 2019/20</oddHead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4</xdr:col>
                    <xdr:colOff>793750</xdr:colOff>
                    <xdr:row>2</xdr:row>
                    <xdr:rowOff>88900</xdr:rowOff>
                  </from>
                  <to>
                    <xdr:col>5</xdr:col>
                    <xdr:colOff>165100</xdr:colOff>
                    <xdr:row>4</xdr:row>
                    <xdr:rowOff>69850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V157"/>
  <sheetViews>
    <sheetView showGridLines="0" zoomScaleNormal="100" workbookViewId="0">
      <pane xSplit="2" ySplit="3" topLeftCell="C112" activePane="bottomRight" state="frozen"/>
      <selection activeCell="D118" sqref="D118"/>
      <selection pane="topRight" activeCell="D118" sqref="D118"/>
      <selection pane="bottomLeft" activeCell="D118" sqref="D118"/>
      <selection pane="bottomRight" activeCell="A3" sqref="A3"/>
    </sheetView>
  </sheetViews>
  <sheetFormatPr defaultColWidth="9.1796875" defaultRowHeight="12.5"/>
  <cols>
    <col min="1" max="1" width="32.1796875" style="68" bestFit="1" customWidth="1"/>
    <col min="2" max="2" width="14.81640625" style="68" customWidth="1"/>
    <col min="3" max="3" width="9.1796875" style="68"/>
    <col min="4" max="4" width="12.81640625" style="68" customWidth="1"/>
    <col min="5" max="5" width="13.7265625" style="68" customWidth="1"/>
    <col min="6" max="6" width="12.453125" style="68" customWidth="1"/>
    <col min="7" max="7" width="13.26953125" style="68" bestFit="1" customWidth="1"/>
    <col min="8" max="10" width="12.7265625" style="68" customWidth="1"/>
    <col min="11" max="11" width="10.7265625" style="68" customWidth="1"/>
    <col min="12" max="21" width="12.7265625" style="1" customWidth="1"/>
    <col min="22" max="16384" width="9.1796875" style="68"/>
  </cols>
  <sheetData>
    <row r="1" spans="1:21" ht="14">
      <c r="A1" s="949" t="s">
        <v>310</v>
      </c>
      <c r="B1" s="949"/>
      <c r="C1" s="949"/>
      <c r="D1" s="949"/>
      <c r="E1" s="949"/>
      <c r="F1" s="949"/>
      <c r="G1" s="949"/>
      <c r="H1" s="949"/>
      <c r="I1" s="949"/>
      <c r="J1" s="949"/>
      <c r="K1" s="814"/>
      <c r="L1" s="849"/>
      <c r="M1" s="849"/>
      <c r="N1" s="849"/>
      <c r="O1" s="849"/>
      <c r="P1" s="849"/>
      <c r="Q1" s="849"/>
      <c r="R1" s="849"/>
      <c r="S1" s="849"/>
      <c r="T1" s="676"/>
      <c r="U1" s="849"/>
    </row>
    <row r="2" spans="1:21" ht="12.75" customHeight="1">
      <c r="A2" s="564"/>
      <c r="T2" s="676"/>
    </row>
    <row r="3" spans="1:21" ht="53.25" customHeight="1">
      <c r="A3" s="268" t="s">
        <v>44</v>
      </c>
      <c r="B3" s="268" t="s">
        <v>68</v>
      </c>
      <c r="C3" s="268" t="s">
        <v>67</v>
      </c>
      <c r="D3" s="268" t="s">
        <v>66</v>
      </c>
      <c r="E3" s="268" t="s">
        <v>213</v>
      </c>
      <c r="F3" s="268" t="s">
        <v>48</v>
      </c>
      <c r="G3" s="268" t="s">
        <v>65</v>
      </c>
      <c r="H3" s="268" t="s">
        <v>64</v>
      </c>
      <c r="I3" s="268" t="s">
        <v>297</v>
      </c>
      <c r="J3" s="166" t="s">
        <v>276</v>
      </c>
      <c r="K3" s="87"/>
      <c r="L3" s="140" t="s">
        <v>88</v>
      </c>
      <c r="M3" s="140" t="s">
        <v>43</v>
      </c>
      <c r="N3" s="140" t="s">
        <v>87</v>
      </c>
      <c r="O3" s="140" t="s">
        <v>86</v>
      </c>
      <c r="P3" s="24" t="s">
        <v>42</v>
      </c>
      <c r="Q3" s="24" t="s">
        <v>85</v>
      </c>
      <c r="R3" s="24" t="s">
        <v>84</v>
      </c>
      <c r="S3" s="24" t="s">
        <v>83</v>
      </c>
      <c r="T3" s="24" t="s">
        <v>138</v>
      </c>
      <c r="U3" s="24" t="s">
        <v>60</v>
      </c>
    </row>
    <row r="4" spans="1:21" ht="12.75" customHeight="1">
      <c r="A4" s="560" t="s">
        <v>171</v>
      </c>
      <c r="B4" s="114">
        <v>43941</v>
      </c>
      <c r="C4" s="136">
        <v>0</v>
      </c>
      <c r="D4" s="113">
        <v>43971</v>
      </c>
      <c r="E4" s="164">
        <v>54980</v>
      </c>
      <c r="F4" s="164">
        <f t="shared" ref="F4:F136" si="0">SUM(G4:J4)</f>
        <v>54980</v>
      </c>
      <c r="G4" s="267">
        <v>42272</v>
      </c>
      <c r="H4" s="267">
        <v>10541</v>
      </c>
      <c r="I4" s="267">
        <v>1727</v>
      </c>
      <c r="J4" s="267">
        <v>440</v>
      </c>
      <c r="K4" s="733"/>
      <c r="L4" s="797"/>
      <c r="M4" s="797"/>
      <c r="N4" s="797"/>
      <c r="O4" s="797"/>
      <c r="P4" s="797"/>
      <c r="Q4" s="797"/>
      <c r="R4" s="797"/>
      <c r="S4" s="797"/>
      <c r="T4" s="797"/>
      <c r="U4" s="800"/>
    </row>
    <row r="5" spans="1:21" ht="12.75" customHeight="1">
      <c r="A5" s="560" t="s">
        <v>170</v>
      </c>
      <c r="B5" s="114">
        <v>43941</v>
      </c>
      <c r="C5" s="129">
        <v>0</v>
      </c>
      <c r="D5" s="113">
        <v>43971</v>
      </c>
      <c r="E5" s="164">
        <v>112552</v>
      </c>
      <c r="F5" s="164">
        <f t="shared" si="0"/>
        <v>112552</v>
      </c>
      <c r="G5" s="267">
        <v>86536</v>
      </c>
      <c r="H5" s="267">
        <v>21582</v>
      </c>
      <c r="I5" s="267">
        <v>3534</v>
      </c>
      <c r="J5" s="267">
        <v>900</v>
      </c>
      <c r="K5" s="733"/>
      <c r="L5" s="797"/>
      <c r="M5" s="797"/>
      <c r="N5" s="797"/>
      <c r="O5" s="797"/>
      <c r="P5" s="797"/>
      <c r="Q5" s="797"/>
      <c r="R5" s="797"/>
      <c r="S5" s="797"/>
      <c r="T5" s="797"/>
      <c r="U5" s="800"/>
    </row>
    <row r="6" spans="1:21" ht="12.75" customHeight="1">
      <c r="A6" s="560" t="s">
        <v>170</v>
      </c>
      <c r="B6" s="114">
        <v>43891</v>
      </c>
      <c r="C6" s="563">
        <v>1</v>
      </c>
      <c r="D6" s="113">
        <v>43971</v>
      </c>
      <c r="E6" s="888">
        <v>0</v>
      </c>
      <c r="F6" s="164">
        <f t="shared" si="0"/>
        <v>0</v>
      </c>
      <c r="G6" s="267">
        <v>0</v>
      </c>
      <c r="H6" s="267">
        <v>0</v>
      </c>
      <c r="I6" s="267">
        <v>0</v>
      </c>
      <c r="J6" s="267">
        <v>0</v>
      </c>
      <c r="K6" s="733"/>
      <c r="L6" s="797"/>
      <c r="M6" s="797"/>
      <c r="N6" s="797"/>
      <c r="O6" s="797"/>
      <c r="P6" s="797"/>
      <c r="Q6" s="797"/>
      <c r="R6" s="797"/>
      <c r="S6" s="797"/>
      <c r="T6" s="797"/>
      <c r="U6" s="800"/>
    </row>
    <row r="7" spans="1:21" ht="12.75" customHeight="1">
      <c r="A7" s="560" t="s">
        <v>169</v>
      </c>
      <c r="B7" s="114">
        <v>43941</v>
      </c>
      <c r="C7" s="129">
        <v>0</v>
      </c>
      <c r="D7" s="113">
        <v>43971</v>
      </c>
      <c r="E7" s="164">
        <v>210</v>
      </c>
      <c r="F7" s="164">
        <f t="shared" si="0"/>
        <v>210</v>
      </c>
      <c r="G7" s="267">
        <v>160</v>
      </c>
      <c r="H7" s="267">
        <v>41</v>
      </c>
      <c r="I7" s="267">
        <v>7</v>
      </c>
      <c r="J7" s="267">
        <v>2</v>
      </c>
      <c r="K7" s="733"/>
      <c r="L7" s="797"/>
      <c r="M7" s="797"/>
      <c r="N7" s="797"/>
      <c r="O7" s="806"/>
      <c r="P7" s="806"/>
      <c r="Q7" s="806"/>
      <c r="R7" s="806"/>
      <c r="S7" s="797"/>
      <c r="T7" s="800"/>
      <c r="U7" s="800"/>
    </row>
    <row r="8" spans="1:21" ht="12.75" customHeight="1">
      <c r="A8" s="758" t="s">
        <v>33</v>
      </c>
      <c r="B8" s="114">
        <v>43881</v>
      </c>
      <c r="C8" s="563">
        <v>0</v>
      </c>
      <c r="D8" s="113">
        <v>43971</v>
      </c>
      <c r="E8" s="888">
        <v>1087</v>
      </c>
      <c r="F8" s="164">
        <f t="shared" si="0"/>
        <v>1087</v>
      </c>
      <c r="G8" s="267">
        <v>835</v>
      </c>
      <c r="H8" s="267">
        <v>208</v>
      </c>
      <c r="I8" s="267">
        <v>35</v>
      </c>
      <c r="J8" s="267">
        <v>9</v>
      </c>
      <c r="K8" s="733"/>
      <c r="L8" s="806"/>
      <c r="M8" s="806"/>
      <c r="N8" s="806"/>
      <c r="O8" s="806"/>
      <c r="P8" s="806"/>
      <c r="Q8" s="806"/>
      <c r="R8" s="806"/>
      <c r="S8" s="806"/>
      <c r="T8" s="807"/>
      <c r="U8" s="800"/>
    </row>
    <row r="9" spans="1:21" ht="12.75" customHeight="1">
      <c r="A9" s="560" t="s">
        <v>33</v>
      </c>
      <c r="B9" s="114">
        <v>43891</v>
      </c>
      <c r="C9" s="563">
        <v>0</v>
      </c>
      <c r="D9" s="113">
        <v>43971</v>
      </c>
      <c r="E9" s="888">
        <v>526</v>
      </c>
      <c r="F9" s="164">
        <f t="shared" si="0"/>
        <v>526</v>
      </c>
      <c r="G9" s="267">
        <v>405</v>
      </c>
      <c r="H9" s="267">
        <v>100</v>
      </c>
      <c r="I9" s="267">
        <v>17</v>
      </c>
      <c r="J9" s="267">
        <v>4</v>
      </c>
      <c r="K9" s="733"/>
      <c r="L9" s="806"/>
      <c r="M9" s="806"/>
      <c r="N9" s="806"/>
      <c r="O9" s="806"/>
      <c r="P9" s="806"/>
      <c r="Q9" s="806"/>
      <c r="R9" s="806"/>
      <c r="S9" s="806"/>
      <c r="T9" s="807"/>
      <c r="U9" s="800"/>
    </row>
    <row r="10" spans="1:21" ht="12.75" customHeight="1">
      <c r="A10" s="560" t="s">
        <v>25</v>
      </c>
      <c r="B10" s="114">
        <v>43941</v>
      </c>
      <c r="C10" s="136">
        <v>0</v>
      </c>
      <c r="D10" s="113">
        <v>43971</v>
      </c>
      <c r="E10" s="164">
        <v>5915</v>
      </c>
      <c r="F10" s="164">
        <f t="shared" si="0"/>
        <v>5915</v>
      </c>
      <c r="G10" s="267">
        <v>4547</v>
      </c>
      <c r="H10" s="267">
        <v>1135</v>
      </c>
      <c r="I10" s="267">
        <v>186</v>
      </c>
      <c r="J10" s="267">
        <v>47</v>
      </c>
      <c r="K10" s="733"/>
      <c r="L10" s="806"/>
      <c r="M10" s="806"/>
      <c r="N10" s="806"/>
      <c r="O10" s="806"/>
      <c r="P10" s="806"/>
      <c r="Q10" s="806"/>
      <c r="R10" s="806"/>
      <c r="S10" s="806"/>
      <c r="T10" s="807"/>
      <c r="U10" s="800"/>
    </row>
    <row r="11" spans="1:21" ht="12.75" customHeight="1">
      <c r="A11" s="560" t="s">
        <v>20</v>
      </c>
      <c r="B11" s="114">
        <v>43941</v>
      </c>
      <c r="C11" s="129">
        <v>0</v>
      </c>
      <c r="D11" s="113">
        <v>43971</v>
      </c>
      <c r="E11" s="164">
        <v>152</v>
      </c>
      <c r="F11" s="164">
        <f t="shared" si="0"/>
        <v>152</v>
      </c>
      <c r="G11" s="267">
        <v>117</v>
      </c>
      <c r="H11" s="267">
        <v>29</v>
      </c>
      <c r="I11" s="267">
        <v>5</v>
      </c>
      <c r="J11" s="267">
        <v>1</v>
      </c>
      <c r="K11" s="733"/>
      <c r="L11" s="806"/>
      <c r="M11" s="806"/>
      <c r="N11" s="806"/>
      <c r="O11" s="806"/>
      <c r="P11" s="806"/>
      <c r="Q11" s="806"/>
      <c r="R11" s="806"/>
      <c r="S11" s="806"/>
      <c r="T11" s="807"/>
      <c r="U11" s="800"/>
    </row>
    <row r="12" spans="1:21" ht="12.75" customHeight="1">
      <c r="A12" s="560" t="s">
        <v>17</v>
      </c>
      <c r="B12" s="114">
        <v>43941</v>
      </c>
      <c r="C12" s="129">
        <v>0</v>
      </c>
      <c r="D12" s="113">
        <v>43971</v>
      </c>
      <c r="E12" s="164">
        <v>11803</v>
      </c>
      <c r="F12" s="164">
        <f t="shared" si="0"/>
        <v>11803</v>
      </c>
      <c r="G12" s="267">
        <v>9075</v>
      </c>
      <c r="H12" s="267">
        <v>2263</v>
      </c>
      <c r="I12" s="267">
        <v>371</v>
      </c>
      <c r="J12" s="267">
        <v>94</v>
      </c>
      <c r="K12" s="733"/>
      <c r="L12" s="806"/>
      <c r="M12" s="806"/>
      <c r="N12" s="806"/>
      <c r="O12" s="806"/>
      <c r="P12" s="806"/>
      <c r="Q12" s="806"/>
      <c r="R12" s="806"/>
      <c r="S12" s="806"/>
      <c r="T12" s="807"/>
      <c r="U12" s="800"/>
    </row>
    <row r="13" spans="1:21" ht="12.75" customHeight="1">
      <c r="A13" s="560" t="s">
        <v>17</v>
      </c>
      <c r="B13" s="262">
        <v>43831</v>
      </c>
      <c r="C13" s="563">
        <v>0</v>
      </c>
      <c r="D13" s="113">
        <v>43971</v>
      </c>
      <c r="E13" s="888">
        <v>14386</v>
      </c>
      <c r="F13" s="164">
        <f t="shared" si="0"/>
        <v>14386</v>
      </c>
      <c r="G13" s="267">
        <v>11060</v>
      </c>
      <c r="H13" s="267">
        <v>2759</v>
      </c>
      <c r="I13" s="267">
        <v>452</v>
      </c>
      <c r="J13" s="267">
        <v>115</v>
      </c>
      <c r="K13" s="733"/>
      <c r="L13" s="806"/>
      <c r="M13" s="806"/>
      <c r="N13" s="806"/>
      <c r="O13" s="806"/>
      <c r="P13" s="806"/>
      <c r="Q13" s="806"/>
      <c r="R13" s="806"/>
      <c r="S13" s="806"/>
      <c r="T13" s="807"/>
      <c r="U13" s="800"/>
    </row>
    <row r="14" spans="1:21" ht="12.75" customHeight="1">
      <c r="A14" s="560" t="s">
        <v>17</v>
      </c>
      <c r="B14" s="262">
        <v>43862</v>
      </c>
      <c r="C14" s="563">
        <v>0</v>
      </c>
      <c r="D14" s="113">
        <v>43971</v>
      </c>
      <c r="E14" s="888">
        <v>14279</v>
      </c>
      <c r="F14" s="164">
        <f t="shared" si="0"/>
        <v>14279</v>
      </c>
      <c r="G14" s="267">
        <v>10977</v>
      </c>
      <c r="H14" s="267">
        <v>2739</v>
      </c>
      <c r="I14" s="267">
        <v>449</v>
      </c>
      <c r="J14" s="267">
        <v>114</v>
      </c>
      <c r="K14" s="733"/>
      <c r="L14" s="806"/>
      <c r="M14" s="806"/>
      <c r="N14" s="806"/>
      <c r="O14" s="806"/>
      <c r="P14" s="806"/>
      <c r="Q14" s="806"/>
      <c r="R14" s="806"/>
      <c r="S14" s="806"/>
      <c r="T14" s="807"/>
      <c r="U14" s="800"/>
    </row>
    <row r="15" spans="1:21" ht="12.75" customHeight="1">
      <c r="A15" s="560" t="s">
        <v>17</v>
      </c>
      <c r="B15" s="262">
        <v>43891</v>
      </c>
      <c r="C15" s="563">
        <v>0</v>
      </c>
      <c r="D15" s="113">
        <v>43971</v>
      </c>
      <c r="E15" s="888">
        <v>14279</v>
      </c>
      <c r="F15" s="164">
        <f t="shared" si="0"/>
        <v>14279</v>
      </c>
      <c r="G15" s="267">
        <v>10977</v>
      </c>
      <c r="H15" s="267">
        <v>2739</v>
      </c>
      <c r="I15" s="267">
        <v>449</v>
      </c>
      <c r="J15" s="267">
        <v>114</v>
      </c>
      <c r="K15" s="733"/>
      <c r="L15" s="806"/>
      <c r="M15" s="806"/>
      <c r="N15" s="806"/>
      <c r="O15" s="806"/>
      <c r="P15" s="806"/>
      <c r="Q15" s="806"/>
      <c r="R15" s="806"/>
      <c r="S15" s="806"/>
      <c r="T15" s="807"/>
      <c r="U15" s="800"/>
    </row>
    <row r="16" spans="1:21" ht="12.75" customHeight="1">
      <c r="A16" s="758" t="s">
        <v>168</v>
      </c>
      <c r="B16" s="114">
        <v>43941</v>
      </c>
      <c r="C16" s="129">
        <v>0</v>
      </c>
      <c r="D16" s="113">
        <v>43971</v>
      </c>
      <c r="E16" s="158">
        <v>147299</v>
      </c>
      <c r="F16" s="158">
        <f t="shared" si="0"/>
        <v>147299</v>
      </c>
      <c r="G16" s="266">
        <v>112803</v>
      </c>
      <c r="H16" s="266">
        <v>28246</v>
      </c>
      <c r="I16" s="266">
        <v>5072</v>
      </c>
      <c r="J16" s="266">
        <v>1178</v>
      </c>
      <c r="K16" s="733"/>
      <c r="L16" s="806"/>
      <c r="M16" s="806"/>
      <c r="N16" s="806"/>
      <c r="O16" s="806"/>
      <c r="P16" s="806"/>
      <c r="Q16" s="806"/>
      <c r="R16" s="806"/>
      <c r="S16" s="806"/>
      <c r="T16" s="807"/>
      <c r="U16" s="800"/>
    </row>
    <row r="17" spans="1:21" ht="12.75" customHeight="1">
      <c r="A17" s="758" t="s">
        <v>167</v>
      </c>
      <c r="B17" s="114">
        <v>43941</v>
      </c>
      <c r="C17" s="129">
        <v>0</v>
      </c>
      <c r="D17" s="113">
        <v>43971</v>
      </c>
      <c r="E17" s="158">
        <v>20767</v>
      </c>
      <c r="F17" s="158">
        <f t="shared" si="0"/>
        <v>20767</v>
      </c>
      <c r="G17" s="266">
        <v>15967</v>
      </c>
      <c r="H17" s="266">
        <v>3982</v>
      </c>
      <c r="I17" s="266">
        <v>652</v>
      </c>
      <c r="J17" s="266">
        <v>166</v>
      </c>
      <c r="K17" s="733"/>
      <c r="L17" s="806"/>
      <c r="M17" s="806"/>
      <c r="N17" s="806"/>
      <c r="O17" s="806"/>
      <c r="P17" s="806"/>
      <c r="Q17" s="806"/>
      <c r="R17" s="806"/>
      <c r="S17" s="806"/>
      <c r="T17" s="807"/>
      <c r="U17" s="800"/>
    </row>
    <row r="18" spans="1:21" ht="12.75" customHeight="1">
      <c r="A18" s="758" t="s">
        <v>13</v>
      </c>
      <c r="B18" s="114">
        <v>43941</v>
      </c>
      <c r="C18" s="129">
        <v>0</v>
      </c>
      <c r="D18" s="113">
        <v>43971</v>
      </c>
      <c r="E18" s="158">
        <v>47905</v>
      </c>
      <c r="F18" s="158">
        <f t="shared" si="0"/>
        <v>47905</v>
      </c>
      <c r="G18" s="266">
        <v>35884</v>
      </c>
      <c r="H18" s="266">
        <v>9186</v>
      </c>
      <c r="I18" s="266">
        <v>2452</v>
      </c>
      <c r="J18" s="266">
        <v>383</v>
      </c>
      <c r="K18" s="733"/>
      <c r="L18" s="806"/>
      <c r="M18" s="806"/>
      <c r="N18" s="806"/>
      <c r="O18" s="806"/>
      <c r="P18" s="975" t="s">
        <v>316</v>
      </c>
      <c r="Q18" s="976"/>
      <c r="R18" s="976"/>
      <c r="S18" s="977"/>
      <c r="T18" s="807"/>
      <c r="U18" s="800"/>
    </row>
    <row r="19" spans="1:21" ht="12.75" customHeight="1">
      <c r="A19" s="758" t="s">
        <v>166</v>
      </c>
      <c r="B19" s="114">
        <v>43941</v>
      </c>
      <c r="C19" s="129">
        <v>0</v>
      </c>
      <c r="D19" s="113">
        <v>43971</v>
      </c>
      <c r="E19" s="158">
        <v>129673</v>
      </c>
      <c r="F19" s="158">
        <f t="shared" si="0"/>
        <v>129673</v>
      </c>
      <c r="G19" s="266">
        <v>95500</v>
      </c>
      <c r="H19" s="266">
        <v>24866</v>
      </c>
      <c r="I19" s="266">
        <v>8270</v>
      </c>
      <c r="J19" s="266">
        <v>1037</v>
      </c>
      <c r="K19" s="733"/>
      <c r="L19" s="806"/>
      <c r="M19" s="806"/>
      <c r="N19" s="806"/>
      <c r="O19" s="806"/>
      <c r="P19" s="978"/>
      <c r="Q19" s="979"/>
      <c r="R19" s="979"/>
      <c r="S19" s="980"/>
      <c r="T19" s="807"/>
      <c r="U19" s="800"/>
    </row>
    <row r="20" spans="1:21" ht="12.75" customHeight="1">
      <c r="A20" s="758" t="s">
        <v>11</v>
      </c>
      <c r="B20" s="114">
        <v>43941</v>
      </c>
      <c r="C20" s="129">
        <v>0</v>
      </c>
      <c r="D20" s="113">
        <v>43971</v>
      </c>
      <c r="E20" s="158">
        <v>13990547</v>
      </c>
      <c r="F20" s="158">
        <f t="shared" si="0"/>
        <v>13990547</v>
      </c>
      <c r="G20" s="266">
        <v>10694640</v>
      </c>
      <c r="H20" s="266">
        <v>2542531</v>
      </c>
      <c r="I20" s="266">
        <v>513056</v>
      </c>
      <c r="J20" s="266">
        <v>240320</v>
      </c>
      <c r="K20" s="733"/>
      <c r="L20" s="806"/>
      <c r="M20" s="806"/>
      <c r="N20" s="806"/>
      <c r="O20" s="806"/>
      <c r="P20" s="978"/>
      <c r="Q20" s="979"/>
      <c r="R20" s="979"/>
      <c r="S20" s="980"/>
      <c r="T20" s="807"/>
      <c r="U20" s="800"/>
    </row>
    <row r="21" spans="1:21" ht="12.75" customHeight="1">
      <c r="A21" s="758" t="s">
        <v>11</v>
      </c>
      <c r="B21" s="114">
        <v>43800</v>
      </c>
      <c r="C21" s="563">
        <v>1</v>
      </c>
      <c r="D21" s="113">
        <v>43971</v>
      </c>
      <c r="E21" s="158">
        <v>2571733</v>
      </c>
      <c r="F21" s="158">
        <f t="shared" si="0"/>
        <v>2571733</v>
      </c>
      <c r="G21" s="266">
        <v>1977301</v>
      </c>
      <c r="H21" s="266">
        <v>493131</v>
      </c>
      <c r="I21" s="266">
        <v>80727</v>
      </c>
      <c r="J21" s="266">
        <v>20574</v>
      </c>
      <c r="K21" s="733"/>
      <c r="L21" s="806"/>
      <c r="M21" s="806"/>
      <c r="N21" s="806"/>
      <c r="O21" s="806"/>
      <c r="P21" s="978"/>
      <c r="Q21" s="979"/>
      <c r="R21" s="979"/>
      <c r="S21" s="980"/>
      <c r="T21" s="807"/>
      <c r="U21" s="800"/>
    </row>
    <row r="22" spans="1:21" ht="12.75" customHeight="1">
      <c r="A22" s="758" t="s">
        <v>11</v>
      </c>
      <c r="B22" s="114">
        <v>43831</v>
      </c>
      <c r="C22" s="563">
        <v>2</v>
      </c>
      <c r="D22" s="113">
        <v>43971</v>
      </c>
      <c r="E22" s="158">
        <v>981244</v>
      </c>
      <c r="F22" s="158">
        <f t="shared" si="0"/>
        <v>981244</v>
      </c>
      <c r="G22" s="266">
        <v>754438</v>
      </c>
      <c r="H22" s="266">
        <v>188154</v>
      </c>
      <c r="I22" s="266">
        <v>30802</v>
      </c>
      <c r="J22" s="266">
        <v>7850</v>
      </c>
      <c r="K22" s="733"/>
      <c r="L22" s="806"/>
      <c r="M22" s="806"/>
      <c r="N22" s="806"/>
      <c r="O22" s="806"/>
      <c r="P22" s="978"/>
      <c r="Q22" s="979"/>
      <c r="R22" s="979"/>
      <c r="S22" s="980"/>
      <c r="T22" s="807"/>
      <c r="U22" s="800"/>
    </row>
    <row r="23" spans="1:21" ht="12.75" customHeight="1">
      <c r="A23" s="758" t="s">
        <v>165</v>
      </c>
      <c r="B23" s="114">
        <v>43941</v>
      </c>
      <c r="C23" s="129">
        <v>0</v>
      </c>
      <c r="D23" s="113">
        <v>43971</v>
      </c>
      <c r="E23" s="158">
        <v>77006</v>
      </c>
      <c r="F23" s="158">
        <f t="shared" si="0"/>
        <v>77006</v>
      </c>
      <c r="G23" s="266">
        <v>59206</v>
      </c>
      <c r="H23" s="266">
        <v>14766</v>
      </c>
      <c r="I23" s="266">
        <v>2418</v>
      </c>
      <c r="J23" s="266">
        <v>616</v>
      </c>
      <c r="K23" s="733"/>
      <c r="L23" s="806"/>
      <c r="M23" s="806"/>
      <c r="N23" s="806"/>
      <c r="O23" s="806"/>
      <c r="P23" s="978"/>
      <c r="Q23" s="979"/>
      <c r="R23" s="979"/>
      <c r="S23" s="980"/>
      <c r="T23" s="807"/>
      <c r="U23" s="800"/>
    </row>
    <row r="24" spans="1:21" ht="12.75" customHeight="1">
      <c r="A24" s="758" t="s">
        <v>165</v>
      </c>
      <c r="B24" s="114">
        <v>43647</v>
      </c>
      <c r="C24" s="563">
        <v>1</v>
      </c>
      <c r="D24" s="113">
        <v>43971</v>
      </c>
      <c r="E24" s="158">
        <v>14364</v>
      </c>
      <c r="F24" s="158">
        <f t="shared" si="0"/>
        <v>14364</v>
      </c>
      <c r="G24" s="266">
        <v>11042</v>
      </c>
      <c r="H24" s="266">
        <v>2756</v>
      </c>
      <c r="I24" s="266">
        <v>451</v>
      </c>
      <c r="J24" s="266">
        <v>115</v>
      </c>
      <c r="K24" s="733"/>
      <c r="L24" s="806"/>
      <c r="M24" s="806"/>
      <c r="N24" s="806"/>
      <c r="O24" s="806"/>
      <c r="P24" s="978"/>
      <c r="Q24" s="979"/>
      <c r="R24" s="979"/>
      <c r="S24" s="980"/>
      <c r="T24" s="807"/>
      <c r="U24" s="800"/>
    </row>
    <row r="25" spans="1:21" ht="12.75" customHeight="1">
      <c r="A25" s="758" t="s">
        <v>165</v>
      </c>
      <c r="B25" s="114">
        <v>43678</v>
      </c>
      <c r="C25" s="563">
        <v>1</v>
      </c>
      <c r="D25" s="113">
        <v>43971</v>
      </c>
      <c r="E25" s="158">
        <v>4755</v>
      </c>
      <c r="F25" s="158">
        <f t="shared" si="0"/>
        <v>4755</v>
      </c>
      <c r="G25" s="266">
        <v>3655</v>
      </c>
      <c r="H25" s="266">
        <v>912</v>
      </c>
      <c r="I25" s="266">
        <v>150</v>
      </c>
      <c r="J25" s="266">
        <v>38</v>
      </c>
      <c r="K25" s="733"/>
      <c r="L25" s="806"/>
      <c r="M25" s="806"/>
      <c r="N25" s="806"/>
      <c r="O25" s="806"/>
      <c r="P25" s="978"/>
      <c r="Q25" s="979"/>
      <c r="R25" s="979"/>
      <c r="S25" s="980"/>
      <c r="T25" s="807"/>
      <c r="U25" s="800"/>
    </row>
    <row r="26" spans="1:21" ht="12.75" customHeight="1">
      <c r="A26" s="758" t="s">
        <v>164</v>
      </c>
      <c r="B26" s="114">
        <v>43941</v>
      </c>
      <c r="C26" s="129">
        <v>0</v>
      </c>
      <c r="D26" s="113">
        <v>43971</v>
      </c>
      <c r="E26" s="158">
        <v>44773</v>
      </c>
      <c r="F26" s="158">
        <f t="shared" si="0"/>
        <v>44773</v>
      </c>
      <c r="G26" s="266">
        <v>34424</v>
      </c>
      <c r="H26" s="266">
        <v>8585</v>
      </c>
      <c r="I26" s="266">
        <v>1406</v>
      </c>
      <c r="J26" s="266">
        <v>358</v>
      </c>
      <c r="K26" s="733"/>
      <c r="L26" s="806"/>
      <c r="M26" s="806"/>
      <c r="N26" s="806"/>
      <c r="O26" s="806"/>
      <c r="P26" s="978"/>
      <c r="Q26" s="979"/>
      <c r="R26" s="979"/>
      <c r="S26" s="980"/>
      <c r="T26" s="807"/>
      <c r="U26" s="800"/>
    </row>
    <row r="27" spans="1:21" ht="12.75" customHeight="1">
      <c r="A27" s="758" t="s">
        <v>163</v>
      </c>
      <c r="B27" s="114">
        <v>43941</v>
      </c>
      <c r="C27" s="129">
        <v>0</v>
      </c>
      <c r="D27" s="113">
        <v>43971</v>
      </c>
      <c r="E27" s="158">
        <v>4568</v>
      </c>
      <c r="F27" s="158">
        <f t="shared" si="0"/>
        <v>4568</v>
      </c>
      <c r="G27" s="266">
        <v>3511</v>
      </c>
      <c r="H27" s="266">
        <v>876</v>
      </c>
      <c r="I27" s="266">
        <v>144</v>
      </c>
      <c r="J27" s="266">
        <v>37</v>
      </c>
      <c r="K27" s="733"/>
      <c r="L27" s="806"/>
      <c r="M27" s="806"/>
      <c r="N27" s="806"/>
      <c r="O27" s="806"/>
      <c r="P27" s="978"/>
      <c r="Q27" s="979"/>
      <c r="R27" s="979"/>
      <c r="S27" s="980"/>
      <c r="T27" s="807"/>
      <c r="U27" s="800"/>
    </row>
    <row r="28" spans="1:21" ht="12.75" customHeight="1">
      <c r="A28" s="560" t="s">
        <v>162</v>
      </c>
      <c r="B28" s="114">
        <v>43941</v>
      </c>
      <c r="C28" s="129">
        <v>0</v>
      </c>
      <c r="D28" s="113">
        <v>43971</v>
      </c>
      <c r="E28" s="164">
        <v>37910</v>
      </c>
      <c r="F28" s="164">
        <f t="shared" si="0"/>
        <v>37910</v>
      </c>
      <c r="G28" s="267">
        <v>29147</v>
      </c>
      <c r="H28" s="267">
        <v>7269</v>
      </c>
      <c r="I28" s="267">
        <v>1191</v>
      </c>
      <c r="J28" s="267">
        <v>303</v>
      </c>
      <c r="K28" s="733"/>
      <c r="L28" s="806"/>
      <c r="M28" s="806"/>
      <c r="N28" s="806"/>
      <c r="O28" s="806"/>
      <c r="P28" s="978"/>
      <c r="Q28" s="979"/>
      <c r="R28" s="979"/>
      <c r="S28" s="980"/>
      <c r="T28" s="807"/>
      <c r="U28" s="800"/>
    </row>
    <row r="29" spans="1:21" ht="12.75" customHeight="1">
      <c r="A29" s="560" t="s">
        <v>161</v>
      </c>
      <c r="B29" s="114">
        <v>43941</v>
      </c>
      <c r="C29" s="129">
        <v>0</v>
      </c>
      <c r="D29" s="113">
        <v>43971</v>
      </c>
      <c r="E29" s="158">
        <v>52632</v>
      </c>
      <c r="F29" s="164">
        <f t="shared" si="0"/>
        <v>52632</v>
      </c>
      <c r="G29" s="267">
        <v>40466</v>
      </c>
      <c r="H29" s="267">
        <v>10092</v>
      </c>
      <c r="I29" s="267">
        <v>1653</v>
      </c>
      <c r="J29" s="267">
        <v>421</v>
      </c>
      <c r="K29" s="733"/>
      <c r="L29" s="797"/>
      <c r="M29" s="797"/>
      <c r="N29" s="797"/>
      <c r="O29" s="797"/>
      <c r="P29" s="981"/>
      <c r="Q29" s="982"/>
      <c r="R29" s="982"/>
      <c r="S29" s="983"/>
      <c r="T29" s="797"/>
      <c r="U29" s="797"/>
    </row>
    <row r="30" spans="1:21" ht="12.75" customHeight="1">
      <c r="A30" s="560" t="s">
        <v>160</v>
      </c>
      <c r="B30" s="114">
        <v>43739</v>
      </c>
      <c r="C30" s="563">
        <v>2</v>
      </c>
      <c r="D30" s="113">
        <v>43971</v>
      </c>
      <c r="E30" s="158">
        <v>22502</v>
      </c>
      <c r="F30" s="164">
        <f t="shared" si="0"/>
        <v>22502</v>
      </c>
      <c r="G30" s="267">
        <v>17300</v>
      </c>
      <c r="H30" s="267">
        <v>4315</v>
      </c>
      <c r="I30" s="267">
        <v>707</v>
      </c>
      <c r="J30" s="267">
        <v>180</v>
      </c>
      <c r="K30" s="733"/>
      <c r="L30" s="870"/>
      <c r="M30" s="870"/>
      <c r="N30" s="870"/>
      <c r="O30" s="870"/>
      <c r="P30" s="870"/>
      <c r="Q30" s="870"/>
      <c r="R30" s="870"/>
      <c r="S30" s="870"/>
      <c r="T30" s="794"/>
      <c r="U30" s="792"/>
    </row>
    <row r="31" spans="1:21" ht="12.75" customHeight="1">
      <c r="A31" s="560" t="s">
        <v>160</v>
      </c>
      <c r="B31" s="114">
        <v>43770</v>
      </c>
      <c r="C31" s="563">
        <v>1</v>
      </c>
      <c r="D31" s="113">
        <v>43971</v>
      </c>
      <c r="E31" s="158">
        <v>17852</v>
      </c>
      <c r="F31" s="164">
        <f t="shared" si="0"/>
        <v>17852</v>
      </c>
      <c r="G31" s="267">
        <v>13725</v>
      </c>
      <c r="H31" s="267">
        <v>3423</v>
      </c>
      <c r="I31" s="267">
        <v>561</v>
      </c>
      <c r="J31" s="267">
        <v>143</v>
      </c>
      <c r="K31" s="733"/>
      <c r="L31" s="806"/>
      <c r="M31" s="806"/>
      <c r="N31" s="806"/>
      <c r="O31" s="806"/>
      <c r="P31" s="806"/>
      <c r="Q31" s="806"/>
      <c r="R31" s="806"/>
      <c r="S31" s="806"/>
      <c r="T31" s="807"/>
      <c r="U31" s="800"/>
    </row>
    <row r="32" spans="1:21" ht="12.75" customHeight="1">
      <c r="A32" s="560" t="s">
        <v>160</v>
      </c>
      <c r="B32" s="114">
        <v>43800</v>
      </c>
      <c r="C32" s="563">
        <v>2</v>
      </c>
      <c r="D32" s="113">
        <v>43971</v>
      </c>
      <c r="E32" s="158">
        <v>16487</v>
      </c>
      <c r="F32" s="164">
        <f t="shared" si="0"/>
        <v>16487</v>
      </c>
      <c r="G32" s="267">
        <v>12675</v>
      </c>
      <c r="H32" s="267">
        <v>3162</v>
      </c>
      <c r="I32" s="267">
        <v>518</v>
      </c>
      <c r="J32" s="267">
        <v>132</v>
      </c>
      <c r="K32" s="733"/>
      <c r="L32" s="806"/>
      <c r="M32" s="806"/>
      <c r="N32" s="806"/>
      <c r="O32" s="806"/>
      <c r="P32" s="806"/>
      <c r="Q32" s="806"/>
      <c r="R32" s="806"/>
      <c r="S32" s="806"/>
      <c r="T32" s="807"/>
      <c r="U32" s="800"/>
    </row>
    <row r="33" spans="1:21" ht="12.75" customHeight="1">
      <c r="A33" s="560" t="s">
        <v>160</v>
      </c>
      <c r="B33" s="114">
        <v>43831</v>
      </c>
      <c r="C33" s="563">
        <v>1</v>
      </c>
      <c r="D33" s="113">
        <v>43971</v>
      </c>
      <c r="E33" s="158">
        <v>20479</v>
      </c>
      <c r="F33" s="164">
        <f t="shared" si="0"/>
        <v>20479</v>
      </c>
      <c r="G33" s="267">
        <v>15745</v>
      </c>
      <c r="H33" s="267">
        <v>3927</v>
      </c>
      <c r="I33" s="267">
        <v>643</v>
      </c>
      <c r="J33" s="267">
        <v>164</v>
      </c>
      <c r="K33" s="733"/>
      <c r="L33" s="806"/>
      <c r="M33" s="806"/>
      <c r="N33" s="806"/>
      <c r="O33" s="806"/>
      <c r="P33" s="806"/>
      <c r="Q33" s="806"/>
      <c r="R33" s="806"/>
      <c r="S33" s="806"/>
      <c r="T33" s="807"/>
      <c r="U33" s="800"/>
    </row>
    <row r="34" spans="1:21" ht="12.75" customHeight="1">
      <c r="A34" s="560" t="s">
        <v>160</v>
      </c>
      <c r="B34" s="114">
        <v>43862</v>
      </c>
      <c r="C34" s="563">
        <v>2</v>
      </c>
      <c r="D34" s="113">
        <v>43971</v>
      </c>
      <c r="E34" s="888">
        <v>22190</v>
      </c>
      <c r="F34" s="164">
        <f t="shared" si="0"/>
        <v>22190</v>
      </c>
      <c r="G34" s="267">
        <v>17059</v>
      </c>
      <c r="H34" s="267">
        <v>4256</v>
      </c>
      <c r="I34" s="267">
        <v>697</v>
      </c>
      <c r="J34" s="267">
        <v>178</v>
      </c>
      <c r="K34" s="733"/>
      <c r="L34" s="806"/>
      <c r="M34" s="806"/>
      <c r="N34" s="806"/>
      <c r="O34" s="806"/>
      <c r="P34" s="806"/>
      <c r="Q34" s="806"/>
      <c r="R34" s="806"/>
      <c r="S34" s="806"/>
      <c r="T34" s="807"/>
      <c r="U34" s="800"/>
    </row>
    <row r="35" spans="1:21" ht="12.75" customHeight="1">
      <c r="A35" s="560" t="s">
        <v>160</v>
      </c>
      <c r="B35" s="114">
        <v>43891</v>
      </c>
      <c r="C35" s="563">
        <v>1</v>
      </c>
      <c r="D35" s="113">
        <v>43971</v>
      </c>
      <c r="E35" s="888">
        <v>41357</v>
      </c>
      <c r="F35" s="164">
        <f t="shared" si="0"/>
        <v>41357</v>
      </c>
      <c r="G35" s="267">
        <v>31796</v>
      </c>
      <c r="H35" s="267">
        <v>7931</v>
      </c>
      <c r="I35" s="267">
        <v>1299</v>
      </c>
      <c r="J35" s="267">
        <v>331</v>
      </c>
      <c r="K35" s="733"/>
      <c r="L35" s="806"/>
      <c r="M35" s="806"/>
      <c r="N35" s="806"/>
      <c r="O35" s="806"/>
      <c r="P35" s="806"/>
      <c r="Q35" s="806"/>
      <c r="R35" s="806"/>
      <c r="S35" s="806"/>
      <c r="T35" s="807"/>
      <c r="U35" s="800"/>
    </row>
    <row r="36" spans="1:21" ht="12.75" customHeight="1">
      <c r="A36" s="560" t="s">
        <v>159</v>
      </c>
      <c r="B36" s="114">
        <v>43941</v>
      </c>
      <c r="C36" s="129">
        <v>0</v>
      </c>
      <c r="D36" s="113">
        <v>43971</v>
      </c>
      <c r="E36" s="164">
        <v>632</v>
      </c>
      <c r="F36" s="164">
        <f t="shared" si="0"/>
        <v>632</v>
      </c>
      <c r="G36" s="267">
        <v>485</v>
      </c>
      <c r="H36" s="267">
        <v>122</v>
      </c>
      <c r="I36" s="267">
        <v>20</v>
      </c>
      <c r="J36" s="267">
        <v>5</v>
      </c>
      <c r="K36" s="733"/>
      <c r="L36" s="806"/>
      <c r="M36" s="806"/>
      <c r="N36" s="806"/>
      <c r="O36" s="806"/>
      <c r="P36" s="806"/>
      <c r="Q36" s="806"/>
      <c r="R36" s="806"/>
      <c r="S36" s="806"/>
      <c r="T36" s="807"/>
      <c r="U36" s="800"/>
    </row>
    <row r="37" spans="1:21" ht="12.75" customHeight="1">
      <c r="A37" s="560" t="s">
        <v>158</v>
      </c>
      <c r="B37" s="114">
        <v>43941</v>
      </c>
      <c r="C37" s="129">
        <v>0</v>
      </c>
      <c r="D37" s="113">
        <v>43971</v>
      </c>
      <c r="E37" s="164">
        <v>519</v>
      </c>
      <c r="F37" s="164">
        <f t="shared" si="0"/>
        <v>519</v>
      </c>
      <c r="G37" s="267">
        <v>399</v>
      </c>
      <c r="H37" s="267">
        <v>99</v>
      </c>
      <c r="I37" s="267">
        <v>17</v>
      </c>
      <c r="J37" s="267">
        <v>4</v>
      </c>
      <c r="K37" s="733"/>
      <c r="L37" s="806"/>
      <c r="M37" s="806"/>
      <c r="N37" s="806"/>
      <c r="O37" s="806"/>
      <c r="P37" s="806"/>
      <c r="Q37" s="806"/>
      <c r="R37" s="806"/>
      <c r="S37" s="806"/>
      <c r="T37" s="807"/>
      <c r="U37" s="800"/>
    </row>
    <row r="38" spans="1:21" ht="12.75" customHeight="1">
      <c r="A38" s="560" t="s">
        <v>157</v>
      </c>
      <c r="B38" s="114">
        <v>43941</v>
      </c>
      <c r="C38" s="129">
        <v>0</v>
      </c>
      <c r="D38" s="113">
        <v>43971</v>
      </c>
      <c r="E38" s="164">
        <v>3323</v>
      </c>
      <c r="F38" s="164">
        <f t="shared" si="0"/>
        <v>3323</v>
      </c>
      <c r="G38" s="267">
        <v>2554</v>
      </c>
      <c r="H38" s="267">
        <v>637</v>
      </c>
      <c r="I38" s="267">
        <v>105</v>
      </c>
      <c r="J38" s="267">
        <v>27</v>
      </c>
      <c r="K38" s="733"/>
      <c r="L38" s="806"/>
      <c r="M38" s="806"/>
      <c r="N38" s="806"/>
      <c r="O38" s="806"/>
      <c r="P38" s="806"/>
      <c r="Q38" s="806"/>
      <c r="R38" s="806"/>
      <c r="S38" s="806"/>
      <c r="T38" s="807"/>
      <c r="U38" s="800"/>
    </row>
    <row r="39" spans="1:21" ht="12.75" customHeight="1">
      <c r="A39" s="560" t="s">
        <v>6</v>
      </c>
      <c r="B39" s="114">
        <v>43941</v>
      </c>
      <c r="C39" s="129">
        <v>0</v>
      </c>
      <c r="D39" s="113">
        <v>43971</v>
      </c>
      <c r="E39" s="164">
        <v>16130</v>
      </c>
      <c r="F39" s="164">
        <f t="shared" si="0"/>
        <v>16130</v>
      </c>
      <c r="G39" s="267">
        <v>12399</v>
      </c>
      <c r="H39" s="267">
        <v>3095</v>
      </c>
      <c r="I39" s="267">
        <v>507</v>
      </c>
      <c r="J39" s="267">
        <v>129</v>
      </c>
      <c r="K39" s="733"/>
      <c r="L39" s="806"/>
      <c r="M39" s="806"/>
      <c r="N39" s="806"/>
      <c r="O39" s="806"/>
      <c r="P39" s="806"/>
      <c r="Q39" s="806"/>
      <c r="R39" s="806"/>
      <c r="S39" s="806"/>
      <c r="T39" s="807"/>
      <c r="U39" s="800"/>
    </row>
    <row r="40" spans="1:21" ht="12.75" customHeight="1">
      <c r="A40" s="560" t="s">
        <v>6</v>
      </c>
      <c r="B40" s="114">
        <v>43819</v>
      </c>
      <c r="C40" s="563">
        <v>2</v>
      </c>
      <c r="D40" s="113">
        <v>43971</v>
      </c>
      <c r="E40" s="888">
        <v>498</v>
      </c>
      <c r="F40" s="164">
        <f t="shared" si="0"/>
        <v>498</v>
      </c>
      <c r="G40" s="267">
        <v>383</v>
      </c>
      <c r="H40" s="267">
        <v>95</v>
      </c>
      <c r="I40" s="267">
        <v>16</v>
      </c>
      <c r="J40" s="267">
        <v>4</v>
      </c>
      <c r="K40" s="733"/>
      <c r="L40" s="806"/>
      <c r="M40" s="806"/>
      <c r="N40" s="806"/>
      <c r="O40" s="806"/>
      <c r="P40" s="806"/>
      <c r="Q40" s="806"/>
      <c r="R40" s="806"/>
      <c r="S40" s="806"/>
      <c r="T40" s="807"/>
      <c r="U40" s="800"/>
    </row>
    <row r="41" spans="1:21" ht="12.75" customHeight="1">
      <c r="A41" s="560" t="s">
        <v>156</v>
      </c>
      <c r="B41" s="114">
        <v>43941</v>
      </c>
      <c r="C41" s="129">
        <v>0</v>
      </c>
      <c r="D41" s="113">
        <v>43971</v>
      </c>
      <c r="E41" s="164">
        <v>241</v>
      </c>
      <c r="F41" s="164">
        <f t="shared" si="0"/>
        <v>241</v>
      </c>
      <c r="G41" s="267">
        <v>185</v>
      </c>
      <c r="H41" s="267">
        <v>46</v>
      </c>
      <c r="I41" s="267">
        <v>8</v>
      </c>
      <c r="J41" s="267">
        <v>2</v>
      </c>
      <c r="K41" s="733"/>
      <c r="L41" s="806"/>
      <c r="M41" s="806"/>
      <c r="N41" s="806"/>
      <c r="O41" s="806"/>
      <c r="P41" s="806"/>
      <c r="Q41" s="806"/>
      <c r="R41" s="806"/>
      <c r="S41" s="806"/>
      <c r="T41" s="807"/>
      <c r="U41" s="800"/>
    </row>
    <row r="42" spans="1:21" ht="12.75" customHeight="1">
      <c r="A42" s="758" t="s">
        <v>154</v>
      </c>
      <c r="B42" s="114">
        <v>43941</v>
      </c>
      <c r="C42" s="129">
        <v>0</v>
      </c>
      <c r="D42" s="113">
        <v>43971</v>
      </c>
      <c r="E42" s="164">
        <v>16544</v>
      </c>
      <c r="F42" s="164">
        <f t="shared" si="0"/>
        <v>16544</v>
      </c>
      <c r="G42" s="753">
        <v>12718</v>
      </c>
      <c r="H42" s="753">
        <v>3174</v>
      </c>
      <c r="I42" s="753">
        <v>520</v>
      </c>
      <c r="J42" s="753">
        <v>132</v>
      </c>
      <c r="K42" s="733"/>
      <c r="L42" s="806"/>
      <c r="M42" s="806"/>
      <c r="N42" s="806"/>
      <c r="O42" s="806"/>
      <c r="P42" s="806"/>
      <c r="Q42" s="806"/>
      <c r="R42" s="806"/>
      <c r="S42" s="806"/>
      <c r="T42" s="807"/>
      <c r="U42" s="800"/>
    </row>
    <row r="43" spans="1:21" ht="12.75" customHeight="1">
      <c r="A43" s="758" t="s">
        <v>1</v>
      </c>
      <c r="B43" s="114">
        <v>43941</v>
      </c>
      <c r="C43" s="129">
        <v>0</v>
      </c>
      <c r="D43" s="113">
        <v>43971</v>
      </c>
      <c r="E43" s="164">
        <v>3705</v>
      </c>
      <c r="F43" s="164">
        <f t="shared" si="0"/>
        <v>3705</v>
      </c>
      <c r="G43" s="753">
        <v>2848</v>
      </c>
      <c r="H43" s="753">
        <v>710</v>
      </c>
      <c r="I43" s="753">
        <v>117</v>
      </c>
      <c r="J43" s="753">
        <v>30</v>
      </c>
      <c r="K43" s="733"/>
      <c r="L43" s="806"/>
      <c r="M43" s="806"/>
      <c r="N43" s="806"/>
      <c r="O43" s="806"/>
      <c r="P43" s="806"/>
      <c r="Q43" s="806"/>
      <c r="R43" s="806"/>
      <c r="S43" s="806"/>
      <c r="T43" s="807"/>
      <c r="U43" s="800"/>
    </row>
    <row r="44" spans="1:21" ht="12.75" customHeight="1" thickBot="1">
      <c r="A44" s="562" t="s">
        <v>1</v>
      </c>
      <c r="B44" s="121">
        <v>43910</v>
      </c>
      <c r="C44" s="750">
        <v>0</v>
      </c>
      <c r="D44" s="121">
        <v>43971</v>
      </c>
      <c r="E44" s="904">
        <v>12</v>
      </c>
      <c r="F44" s="162">
        <f t="shared" si="0"/>
        <v>12</v>
      </c>
      <c r="G44" s="340">
        <v>9</v>
      </c>
      <c r="H44" s="340">
        <v>2</v>
      </c>
      <c r="I44" s="340">
        <v>1</v>
      </c>
      <c r="J44" s="340">
        <v>0</v>
      </c>
      <c r="K44" s="733"/>
      <c r="L44" s="806"/>
      <c r="M44" s="793"/>
      <c r="N44" s="793"/>
      <c r="O44" s="793"/>
      <c r="P44" s="793"/>
      <c r="Q44" s="793"/>
      <c r="R44" s="793"/>
      <c r="S44" s="793"/>
      <c r="T44" s="845"/>
      <c r="U44" s="845"/>
    </row>
    <row r="45" spans="1:21" ht="12.75" customHeight="1">
      <c r="A45" s="757" t="s">
        <v>171</v>
      </c>
      <c r="B45" s="113">
        <v>43952</v>
      </c>
      <c r="C45" s="136">
        <v>0</v>
      </c>
      <c r="D45" s="113">
        <v>44002</v>
      </c>
      <c r="E45" s="135">
        <v>70067</v>
      </c>
      <c r="F45" s="165">
        <f t="shared" si="0"/>
        <v>70067</v>
      </c>
      <c r="G45" s="339">
        <v>53871</v>
      </c>
      <c r="H45" s="339">
        <v>13435</v>
      </c>
      <c r="I45" s="339">
        <v>2200</v>
      </c>
      <c r="J45" s="339">
        <v>561</v>
      </c>
      <c r="K45" s="733"/>
      <c r="L45" s="806"/>
      <c r="M45" s="870"/>
      <c r="N45" s="870"/>
      <c r="O45" s="870"/>
      <c r="P45" s="870"/>
      <c r="Q45" s="870"/>
      <c r="R45" s="870"/>
      <c r="S45" s="870"/>
      <c r="T45" s="794"/>
      <c r="U45" s="792"/>
    </row>
    <row r="46" spans="1:21" ht="12.75" customHeight="1">
      <c r="A46" s="758" t="s">
        <v>171</v>
      </c>
      <c r="B46" s="334">
        <v>43647</v>
      </c>
      <c r="C46" s="563">
        <v>2</v>
      </c>
      <c r="D46" s="113">
        <v>44002</v>
      </c>
      <c r="E46" s="135">
        <v>-13</v>
      </c>
      <c r="F46" s="164">
        <f t="shared" si="0"/>
        <v>-13</v>
      </c>
      <c r="G46" s="339">
        <v>-10</v>
      </c>
      <c r="H46" s="339">
        <v>-2</v>
      </c>
      <c r="I46" s="339">
        <v>-1</v>
      </c>
      <c r="J46" s="339">
        <v>0</v>
      </c>
      <c r="K46" s="733"/>
      <c r="L46" s="806"/>
      <c r="M46" s="806"/>
      <c r="N46" s="806"/>
      <c r="O46" s="806"/>
      <c r="P46" s="806"/>
      <c r="Q46" s="806"/>
      <c r="R46" s="806"/>
      <c r="S46" s="806"/>
      <c r="T46" s="807"/>
      <c r="U46" s="800"/>
    </row>
    <row r="47" spans="1:21" ht="12.75" customHeight="1">
      <c r="A47" s="758" t="s">
        <v>171</v>
      </c>
      <c r="B47" s="334">
        <v>43678</v>
      </c>
      <c r="C47" s="563">
        <v>2</v>
      </c>
      <c r="D47" s="113">
        <v>44002</v>
      </c>
      <c r="E47" s="158">
        <v>-311</v>
      </c>
      <c r="F47" s="164">
        <f t="shared" si="0"/>
        <v>-311</v>
      </c>
      <c r="G47" s="267">
        <v>-240</v>
      </c>
      <c r="H47" s="267">
        <v>-59</v>
      </c>
      <c r="I47" s="267">
        <v>-10</v>
      </c>
      <c r="J47" s="267">
        <v>-2</v>
      </c>
      <c r="K47" s="733"/>
      <c r="L47" s="806"/>
      <c r="M47" s="806"/>
      <c r="N47" s="806"/>
      <c r="O47" s="806"/>
      <c r="P47" s="806"/>
      <c r="Q47" s="806"/>
      <c r="R47" s="806"/>
      <c r="S47" s="806"/>
      <c r="T47" s="807"/>
      <c r="U47" s="800"/>
    </row>
    <row r="48" spans="1:21" ht="12.75" customHeight="1">
      <c r="A48" s="758" t="s">
        <v>171</v>
      </c>
      <c r="B48" s="334">
        <v>43739</v>
      </c>
      <c r="C48" s="563">
        <v>1</v>
      </c>
      <c r="D48" s="113">
        <v>44002</v>
      </c>
      <c r="E48" s="158">
        <v>145</v>
      </c>
      <c r="F48" s="164">
        <f t="shared" si="0"/>
        <v>145</v>
      </c>
      <c r="G48" s="267">
        <v>112</v>
      </c>
      <c r="H48" s="267">
        <v>27</v>
      </c>
      <c r="I48" s="267">
        <v>5</v>
      </c>
      <c r="J48" s="267">
        <v>1</v>
      </c>
      <c r="K48" s="733"/>
      <c r="L48" s="806"/>
      <c r="M48" s="806"/>
      <c r="N48" s="806"/>
      <c r="O48" s="806"/>
      <c r="P48" s="806"/>
      <c r="Q48" s="806"/>
      <c r="R48" s="806"/>
      <c r="S48" s="806"/>
      <c r="T48" s="807"/>
      <c r="U48" s="800"/>
    </row>
    <row r="49" spans="1:21" ht="12.75" customHeight="1">
      <c r="A49" s="758" t="s">
        <v>171</v>
      </c>
      <c r="B49" s="334">
        <v>43770</v>
      </c>
      <c r="C49" s="563">
        <v>0</v>
      </c>
      <c r="D49" s="113">
        <v>44002</v>
      </c>
      <c r="E49" s="158">
        <v>3590</v>
      </c>
      <c r="F49" s="164">
        <f t="shared" si="0"/>
        <v>3590</v>
      </c>
      <c r="G49" s="267">
        <v>2759</v>
      </c>
      <c r="H49" s="267">
        <v>689</v>
      </c>
      <c r="I49" s="267">
        <v>113</v>
      </c>
      <c r="J49" s="267">
        <v>29</v>
      </c>
      <c r="K49" s="733"/>
      <c r="L49" s="806"/>
      <c r="M49" s="806"/>
      <c r="N49" s="806"/>
      <c r="O49" s="806"/>
      <c r="P49" s="806"/>
      <c r="Q49" s="806"/>
      <c r="R49" s="806"/>
      <c r="S49" s="806"/>
      <c r="T49" s="807"/>
      <c r="U49" s="800"/>
    </row>
    <row r="50" spans="1:21" ht="12.75" customHeight="1">
      <c r="A50" s="758" t="s">
        <v>171</v>
      </c>
      <c r="B50" s="334">
        <v>43800</v>
      </c>
      <c r="C50" s="563">
        <v>0</v>
      </c>
      <c r="D50" s="113">
        <v>44002</v>
      </c>
      <c r="E50" s="158">
        <v>1461</v>
      </c>
      <c r="F50" s="164">
        <f t="shared" si="0"/>
        <v>1461</v>
      </c>
      <c r="G50" s="267">
        <v>1123</v>
      </c>
      <c r="H50" s="267">
        <v>280</v>
      </c>
      <c r="I50" s="267">
        <v>46</v>
      </c>
      <c r="J50" s="267">
        <v>12</v>
      </c>
      <c r="K50" s="733"/>
      <c r="L50" s="806"/>
      <c r="M50" s="806"/>
      <c r="N50" s="806"/>
      <c r="O50" s="806"/>
      <c r="P50" s="806"/>
      <c r="Q50" s="806"/>
      <c r="R50" s="806"/>
      <c r="S50" s="806"/>
      <c r="T50" s="807"/>
      <c r="U50" s="800"/>
    </row>
    <row r="51" spans="1:21" ht="12.75" customHeight="1">
      <c r="A51" s="758" t="s">
        <v>171</v>
      </c>
      <c r="B51" s="334">
        <v>43831</v>
      </c>
      <c r="C51" s="563">
        <v>1</v>
      </c>
      <c r="D51" s="113">
        <v>44002</v>
      </c>
      <c r="E51" s="158">
        <v>721</v>
      </c>
      <c r="F51" s="164">
        <f t="shared" si="0"/>
        <v>721</v>
      </c>
      <c r="G51" s="267">
        <v>553</v>
      </c>
      <c r="H51" s="267">
        <v>139</v>
      </c>
      <c r="I51" s="267">
        <v>23</v>
      </c>
      <c r="J51" s="267">
        <v>6</v>
      </c>
      <c r="K51" s="733"/>
      <c r="L51" s="806"/>
      <c r="M51" s="806"/>
      <c r="N51" s="806"/>
      <c r="O51" s="806"/>
      <c r="P51" s="806"/>
      <c r="Q51" s="806"/>
      <c r="R51" s="806"/>
      <c r="S51" s="806"/>
      <c r="T51" s="807"/>
      <c r="U51" s="800"/>
    </row>
    <row r="52" spans="1:21" ht="12.75" customHeight="1">
      <c r="A52" s="758" t="s">
        <v>171</v>
      </c>
      <c r="B52" s="334">
        <v>43891</v>
      </c>
      <c r="C52" s="563">
        <v>1</v>
      </c>
      <c r="D52" s="113">
        <v>44002</v>
      </c>
      <c r="E52" s="158">
        <v>103</v>
      </c>
      <c r="F52" s="158">
        <f t="shared" si="0"/>
        <v>103</v>
      </c>
      <c r="G52" s="267">
        <v>78</v>
      </c>
      <c r="H52" s="267">
        <v>20</v>
      </c>
      <c r="I52" s="267">
        <v>4</v>
      </c>
      <c r="J52" s="267">
        <v>1</v>
      </c>
      <c r="K52" s="733"/>
      <c r="L52" s="806"/>
      <c r="M52" s="806"/>
      <c r="N52" s="806"/>
      <c r="O52" s="806"/>
      <c r="P52" s="806"/>
      <c r="Q52" s="806"/>
      <c r="R52" s="806"/>
      <c r="S52" s="806"/>
      <c r="T52" s="807"/>
      <c r="U52" s="800"/>
    </row>
    <row r="53" spans="1:21" ht="12.75" customHeight="1">
      <c r="A53" s="755" t="s">
        <v>170</v>
      </c>
      <c r="B53" s="113">
        <v>43952</v>
      </c>
      <c r="C53" s="129">
        <v>0</v>
      </c>
      <c r="D53" s="113">
        <v>44002</v>
      </c>
      <c r="E53" s="158">
        <v>127163</v>
      </c>
      <c r="F53" s="158">
        <f t="shared" si="0"/>
        <v>127163</v>
      </c>
      <c r="G53" s="267">
        <v>97771</v>
      </c>
      <c r="H53" s="267">
        <v>24383</v>
      </c>
      <c r="I53" s="267">
        <v>3992</v>
      </c>
      <c r="J53" s="267">
        <v>1017</v>
      </c>
      <c r="K53" s="733"/>
      <c r="L53" s="806"/>
      <c r="M53" s="806"/>
      <c r="N53" s="806"/>
      <c r="O53" s="806"/>
      <c r="P53" s="806"/>
      <c r="Q53" s="806"/>
      <c r="R53" s="806"/>
      <c r="S53" s="806"/>
      <c r="T53" s="807"/>
      <c r="U53" s="800"/>
    </row>
    <row r="54" spans="1:21" ht="12.75" customHeight="1">
      <c r="A54" s="758" t="s">
        <v>170</v>
      </c>
      <c r="B54" s="113">
        <v>43891</v>
      </c>
      <c r="C54" s="563">
        <v>2</v>
      </c>
      <c r="D54" s="113">
        <v>44002</v>
      </c>
      <c r="E54" s="266">
        <v>14290</v>
      </c>
      <c r="F54" s="158">
        <f t="shared" si="0"/>
        <v>14290</v>
      </c>
      <c r="G54" s="267">
        <v>10986</v>
      </c>
      <c r="H54" s="267">
        <v>2741</v>
      </c>
      <c r="I54" s="267">
        <v>449</v>
      </c>
      <c r="J54" s="267">
        <v>114</v>
      </c>
      <c r="K54" s="733"/>
      <c r="L54" s="806"/>
      <c r="M54" s="806"/>
      <c r="N54" s="806"/>
      <c r="O54" s="806"/>
      <c r="P54" s="806"/>
      <c r="Q54" s="806"/>
      <c r="R54" s="806"/>
      <c r="S54" s="806"/>
      <c r="T54" s="807"/>
      <c r="U54" s="800"/>
    </row>
    <row r="55" spans="1:21" ht="12.75" customHeight="1">
      <c r="A55" s="758" t="s">
        <v>170</v>
      </c>
      <c r="B55" s="113">
        <v>43922</v>
      </c>
      <c r="C55" s="563">
        <v>1</v>
      </c>
      <c r="D55" s="113">
        <v>44002</v>
      </c>
      <c r="E55" s="266">
        <v>14289</v>
      </c>
      <c r="F55" s="158">
        <f t="shared" si="0"/>
        <v>14289</v>
      </c>
      <c r="G55" s="267">
        <v>10985</v>
      </c>
      <c r="H55" s="267">
        <v>2741</v>
      </c>
      <c r="I55" s="267">
        <v>449</v>
      </c>
      <c r="J55" s="267">
        <v>114</v>
      </c>
      <c r="K55" s="733"/>
      <c r="L55" s="806"/>
      <c r="M55" s="806"/>
      <c r="N55" s="806"/>
      <c r="O55" s="806"/>
      <c r="P55" s="806"/>
      <c r="Q55" s="806"/>
      <c r="R55" s="806"/>
      <c r="S55" s="806"/>
      <c r="T55" s="807"/>
      <c r="U55" s="800"/>
    </row>
    <row r="56" spans="1:21" ht="12.75" customHeight="1">
      <c r="A56" s="758" t="s">
        <v>34</v>
      </c>
      <c r="B56" s="113">
        <v>43952</v>
      </c>
      <c r="C56" s="129">
        <v>0</v>
      </c>
      <c r="D56" s="113">
        <v>44002</v>
      </c>
      <c r="E56" s="266">
        <v>240</v>
      </c>
      <c r="F56" s="158">
        <f t="shared" si="0"/>
        <v>240</v>
      </c>
      <c r="G56" s="267">
        <v>184</v>
      </c>
      <c r="H56" s="267">
        <v>46</v>
      </c>
      <c r="I56" s="267">
        <v>8</v>
      </c>
      <c r="J56" s="267">
        <v>2</v>
      </c>
      <c r="K56" s="733"/>
      <c r="L56" s="806"/>
      <c r="M56" s="806"/>
      <c r="N56" s="806"/>
      <c r="O56" s="806"/>
      <c r="P56" s="806"/>
      <c r="Q56" s="806"/>
      <c r="R56" s="806"/>
      <c r="S56" s="806"/>
      <c r="T56" s="807"/>
      <c r="U56" s="800"/>
    </row>
    <row r="57" spans="1:21" ht="12.75" customHeight="1">
      <c r="A57" s="758" t="s">
        <v>169</v>
      </c>
      <c r="B57" s="113">
        <v>43952</v>
      </c>
      <c r="C57" s="129">
        <v>0</v>
      </c>
      <c r="D57" s="113">
        <v>44002</v>
      </c>
      <c r="E57" s="266">
        <v>550</v>
      </c>
      <c r="F57" s="158">
        <f t="shared" si="0"/>
        <v>550</v>
      </c>
      <c r="G57" s="267">
        <v>423</v>
      </c>
      <c r="H57" s="267">
        <v>105</v>
      </c>
      <c r="I57" s="267">
        <v>18</v>
      </c>
      <c r="J57" s="267">
        <v>4</v>
      </c>
      <c r="K57" s="733"/>
      <c r="L57" s="806"/>
      <c r="M57" s="806"/>
      <c r="N57" s="806"/>
      <c r="O57" s="806"/>
      <c r="P57" s="806"/>
      <c r="Q57" s="806"/>
      <c r="R57" s="806"/>
      <c r="S57" s="806"/>
      <c r="T57" s="807"/>
      <c r="U57" s="800"/>
    </row>
    <row r="58" spans="1:21" ht="12.75" customHeight="1">
      <c r="A58" s="758" t="s">
        <v>32</v>
      </c>
      <c r="B58" s="113">
        <v>43647</v>
      </c>
      <c r="C58" s="563">
        <v>1</v>
      </c>
      <c r="D58" s="113">
        <v>44002</v>
      </c>
      <c r="E58" s="266">
        <v>839</v>
      </c>
      <c r="F58" s="158">
        <f t="shared" si="0"/>
        <v>839</v>
      </c>
      <c r="G58" s="267">
        <v>644</v>
      </c>
      <c r="H58" s="267">
        <v>161</v>
      </c>
      <c r="I58" s="267">
        <v>27</v>
      </c>
      <c r="J58" s="267">
        <v>7</v>
      </c>
      <c r="K58" s="733"/>
      <c r="L58" s="806"/>
      <c r="M58" s="806"/>
      <c r="N58" s="806"/>
      <c r="O58" s="806"/>
      <c r="P58" s="806"/>
      <c r="Q58" s="806"/>
      <c r="R58" s="806"/>
      <c r="S58" s="806"/>
      <c r="T58" s="807"/>
      <c r="U58" s="800"/>
    </row>
    <row r="59" spans="1:21" ht="12.75" customHeight="1">
      <c r="A59" s="758" t="s">
        <v>29</v>
      </c>
      <c r="B59" s="113">
        <v>43952</v>
      </c>
      <c r="C59" s="129">
        <v>0</v>
      </c>
      <c r="D59" s="113">
        <v>44002</v>
      </c>
      <c r="E59" s="266">
        <v>13555</v>
      </c>
      <c r="F59" s="158">
        <f t="shared" si="0"/>
        <v>13555</v>
      </c>
      <c r="G59" s="267">
        <v>9783</v>
      </c>
      <c r="H59" s="267">
        <v>2600</v>
      </c>
      <c r="I59" s="267">
        <v>1064</v>
      </c>
      <c r="J59" s="267">
        <v>108</v>
      </c>
      <c r="K59" s="733"/>
      <c r="L59" s="806"/>
      <c r="M59" s="806"/>
      <c r="N59" s="806"/>
      <c r="O59" s="806"/>
      <c r="P59" s="806"/>
      <c r="Q59" s="806"/>
      <c r="R59" s="806"/>
      <c r="S59" s="806"/>
      <c r="T59" s="807"/>
      <c r="U59" s="800"/>
    </row>
    <row r="60" spans="1:21" ht="12.75" customHeight="1">
      <c r="A60" s="758" t="s">
        <v>25</v>
      </c>
      <c r="B60" s="113">
        <v>43952</v>
      </c>
      <c r="C60" s="129">
        <v>0</v>
      </c>
      <c r="D60" s="113">
        <v>44002</v>
      </c>
      <c r="E60" s="266">
        <v>5223</v>
      </c>
      <c r="F60" s="158">
        <f t="shared" si="0"/>
        <v>5223</v>
      </c>
      <c r="G60" s="267">
        <v>4015</v>
      </c>
      <c r="H60" s="267">
        <v>1002</v>
      </c>
      <c r="I60" s="267">
        <v>164</v>
      </c>
      <c r="J60" s="267">
        <v>42</v>
      </c>
      <c r="K60" s="733"/>
      <c r="L60" s="806"/>
      <c r="M60" s="806"/>
      <c r="N60" s="806"/>
      <c r="O60" s="806"/>
      <c r="P60" s="806"/>
      <c r="Q60" s="806"/>
      <c r="R60" s="806"/>
      <c r="S60" s="806"/>
      <c r="T60" s="807"/>
      <c r="U60" s="800"/>
    </row>
    <row r="61" spans="1:21" ht="12.75" customHeight="1">
      <c r="A61" s="758" t="s">
        <v>20</v>
      </c>
      <c r="B61" s="113">
        <v>43922</v>
      </c>
      <c r="C61" s="563">
        <v>1</v>
      </c>
      <c r="D61" s="113">
        <v>44002</v>
      </c>
      <c r="E61" s="266">
        <v>-152</v>
      </c>
      <c r="F61" s="158">
        <f t="shared" si="0"/>
        <v>-152</v>
      </c>
      <c r="G61" s="267">
        <v>-117</v>
      </c>
      <c r="H61" s="267">
        <v>-29</v>
      </c>
      <c r="I61" s="267">
        <v>-5</v>
      </c>
      <c r="J61" s="267">
        <v>-1</v>
      </c>
      <c r="K61" s="733"/>
      <c r="L61" s="806"/>
      <c r="M61" s="806"/>
      <c r="N61" s="806"/>
      <c r="O61" s="806"/>
      <c r="P61" s="806"/>
      <c r="Q61" s="806"/>
      <c r="R61" s="806"/>
      <c r="S61" s="806"/>
      <c r="T61" s="807"/>
      <c r="U61" s="800"/>
    </row>
    <row r="62" spans="1:21" ht="12.75" customHeight="1">
      <c r="A62" s="758" t="s">
        <v>17</v>
      </c>
      <c r="B62" s="113">
        <v>43952</v>
      </c>
      <c r="C62" s="129">
        <v>0</v>
      </c>
      <c r="D62" s="113">
        <v>44002</v>
      </c>
      <c r="E62" s="266">
        <v>23863</v>
      </c>
      <c r="F62" s="158">
        <f t="shared" si="0"/>
        <v>23863</v>
      </c>
      <c r="G62" s="267">
        <v>18347</v>
      </c>
      <c r="H62" s="267">
        <v>4575</v>
      </c>
      <c r="I62" s="267">
        <v>750</v>
      </c>
      <c r="J62" s="267">
        <v>191</v>
      </c>
      <c r="K62" s="733"/>
      <c r="L62" s="806"/>
      <c r="M62" s="806"/>
      <c r="N62" s="806"/>
      <c r="O62" s="806"/>
      <c r="P62" s="806"/>
      <c r="Q62" s="806"/>
      <c r="R62" s="806"/>
      <c r="S62" s="806"/>
      <c r="T62" s="807"/>
      <c r="U62" s="800"/>
    </row>
    <row r="63" spans="1:21" ht="12.75" customHeight="1">
      <c r="A63" s="758" t="s">
        <v>168</v>
      </c>
      <c r="B63" s="113">
        <v>43952</v>
      </c>
      <c r="C63" s="129">
        <v>0</v>
      </c>
      <c r="D63" s="113">
        <v>44002</v>
      </c>
      <c r="E63" s="266">
        <v>174633</v>
      </c>
      <c r="F63" s="158">
        <f t="shared" si="0"/>
        <v>174633</v>
      </c>
      <c r="G63" s="267">
        <v>133608</v>
      </c>
      <c r="H63" s="267">
        <v>33487</v>
      </c>
      <c r="I63" s="267">
        <v>6141</v>
      </c>
      <c r="J63" s="267">
        <v>1397</v>
      </c>
      <c r="K63" s="733"/>
      <c r="L63" s="806"/>
      <c r="M63" s="806"/>
      <c r="N63" s="806"/>
      <c r="O63" s="806"/>
      <c r="P63" s="975" t="s">
        <v>316</v>
      </c>
      <c r="Q63" s="976"/>
      <c r="R63" s="976"/>
      <c r="S63" s="977"/>
      <c r="T63" s="807"/>
      <c r="U63" s="800"/>
    </row>
    <row r="64" spans="1:21" ht="12.75" customHeight="1">
      <c r="A64" s="758" t="s">
        <v>167</v>
      </c>
      <c r="B64" s="113">
        <v>43952</v>
      </c>
      <c r="C64" s="129">
        <v>0</v>
      </c>
      <c r="D64" s="113">
        <v>44002</v>
      </c>
      <c r="E64" s="266">
        <v>41415</v>
      </c>
      <c r="F64" s="158">
        <f t="shared" si="0"/>
        <v>41415</v>
      </c>
      <c r="G64" s="266">
        <v>31842</v>
      </c>
      <c r="H64" s="266">
        <v>7942</v>
      </c>
      <c r="I64" s="266">
        <v>1300</v>
      </c>
      <c r="J64" s="266">
        <v>331</v>
      </c>
      <c r="K64" s="733"/>
      <c r="L64" s="806"/>
      <c r="M64" s="806"/>
      <c r="N64" s="806"/>
      <c r="O64" s="806"/>
      <c r="P64" s="978"/>
      <c r="Q64" s="979"/>
      <c r="R64" s="979"/>
      <c r="S64" s="980"/>
      <c r="T64" s="807"/>
      <c r="U64" s="800"/>
    </row>
    <row r="65" spans="1:21" ht="12.75" customHeight="1">
      <c r="A65" s="758" t="s">
        <v>13</v>
      </c>
      <c r="B65" s="113">
        <v>43952</v>
      </c>
      <c r="C65" s="129">
        <v>0</v>
      </c>
      <c r="D65" s="113">
        <v>44002</v>
      </c>
      <c r="E65" s="266">
        <v>48649</v>
      </c>
      <c r="F65" s="158">
        <f t="shared" si="0"/>
        <v>48649</v>
      </c>
      <c r="G65" s="266">
        <v>36445</v>
      </c>
      <c r="H65" s="266">
        <v>9328</v>
      </c>
      <c r="I65" s="266">
        <v>2487</v>
      </c>
      <c r="J65" s="266">
        <v>389</v>
      </c>
      <c r="L65" s="806"/>
      <c r="M65" s="806"/>
      <c r="N65" s="806"/>
      <c r="O65" s="806"/>
      <c r="P65" s="978"/>
      <c r="Q65" s="979"/>
      <c r="R65" s="979"/>
      <c r="S65" s="980"/>
      <c r="T65" s="807"/>
      <c r="U65" s="800"/>
    </row>
    <row r="66" spans="1:21" ht="12.75" customHeight="1">
      <c r="A66" s="758" t="s">
        <v>166</v>
      </c>
      <c r="B66" s="113">
        <v>43952</v>
      </c>
      <c r="C66" s="129">
        <v>0</v>
      </c>
      <c r="D66" s="113">
        <v>44002</v>
      </c>
      <c r="E66" s="266">
        <v>186765</v>
      </c>
      <c r="F66" s="158">
        <f t="shared" si="0"/>
        <v>186765</v>
      </c>
      <c r="G66" s="266">
        <v>140943</v>
      </c>
      <c r="H66" s="266">
        <v>35813</v>
      </c>
      <c r="I66" s="266">
        <v>8515</v>
      </c>
      <c r="J66" s="266">
        <v>1494</v>
      </c>
      <c r="K66" s="733"/>
      <c r="L66" s="806"/>
      <c r="M66" s="806"/>
      <c r="N66" s="806"/>
      <c r="O66" s="806"/>
      <c r="P66" s="978"/>
      <c r="Q66" s="979"/>
      <c r="R66" s="979"/>
      <c r="S66" s="980"/>
      <c r="T66" s="807"/>
      <c r="U66" s="800"/>
    </row>
    <row r="67" spans="1:21" ht="12.75" customHeight="1">
      <c r="A67" s="758" t="s">
        <v>11</v>
      </c>
      <c r="B67" s="113">
        <v>43952</v>
      </c>
      <c r="C67" s="129">
        <v>0</v>
      </c>
      <c r="D67" s="113">
        <v>44002</v>
      </c>
      <c r="E67" s="266">
        <v>9918005</v>
      </c>
      <c r="F67" s="158">
        <f t="shared" si="0"/>
        <v>9918005</v>
      </c>
      <c r="G67" s="266">
        <v>7552146</v>
      </c>
      <c r="H67" s="266">
        <v>1761858</v>
      </c>
      <c r="I67" s="266">
        <v>398579</v>
      </c>
      <c r="J67" s="266">
        <v>205422</v>
      </c>
      <c r="K67" s="733"/>
      <c r="L67" s="806"/>
      <c r="M67" s="806"/>
      <c r="N67" s="806"/>
      <c r="O67" s="806"/>
      <c r="P67" s="978"/>
      <c r="Q67" s="979"/>
      <c r="R67" s="979"/>
      <c r="S67" s="980"/>
      <c r="T67" s="807"/>
      <c r="U67" s="800"/>
    </row>
    <row r="68" spans="1:21" ht="12.75" customHeight="1">
      <c r="A68" s="758" t="s">
        <v>165</v>
      </c>
      <c r="B68" s="113">
        <v>43952</v>
      </c>
      <c r="C68" s="129">
        <v>0</v>
      </c>
      <c r="D68" s="113">
        <v>44002</v>
      </c>
      <c r="E68" s="266">
        <v>65979</v>
      </c>
      <c r="F68" s="158">
        <f t="shared" si="0"/>
        <v>65979</v>
      </c>
      <c r="G68" s="266">
        <v>50728</v>
      </c>
      <c r="H68" s="266">
        <v>12651</v>
      </c>
      <c r="I68" s="266">
        <v>2072</v>
      </c>
      <c r="J68" s="266">
        <v>528</v>
      </c>
      <c r="K68" s="733"/>
      <c r="L68" s="806"/>
      <c r="M68" s="806"/>
      <c r="N68" s="806"/>
      <c r="O68" s="806"/>
      <c r="P68" s="978"/>
      <c r="Q68" s="979"/>
      <c r="R68" s="979"/>
      <c r="S68" s="980"/>
      <c r="T68" s="807"/>
      <c r="U68" s="800"/>
    </row>
    <row r="69" spans="1:21" ht="12.75" customHeight="1">
      <c r="A69" s="758" t="s">
        <v>165</v>
      </c>
      <c r="B69" s="113">
        <v>43709</v>
      </c>
      <c r="C69" s="563">
        <v>0</v>
      </c>
      <c r="D69" s="113">
        <v>44002</v>
      </c>
      <c r="E69" s="266">
        <v>1348</v>
      </c>
      <c r="F69" s="158">
        <f t="shared" si="0"/>
        <v>1348</v>
      </c>
      <c r="G69" s="266">
        <v>1034</v>
      </c>
      <c r="H69" s="266">
        <v>260</v>
      </c>
      <c r="I69" s="266">
        <v>43</v>
      </c>
      <c r="J69" s="266">
        <v>11</v>
      </c>
      <c r="K69" s="733"/>
      <c r="L69" s="806"/>
      <c r="M69" s="806"/>
      <c r="N69" s="806"/>
      <c r="O69" s="806"/>
      <c r="P69" s="978"/>
      <c r="Q69" s="979"/>
      <c r="R69" s="979"/>
      <c r="S69" s="980"/>
      <c r="T69" s="807"/>
      <c r="U69" s="800"/>
    </row>
    <row r="70" spans="1:21" ht="12.75" customHeight="1">
      <c r="A70" s="758" t="s">
        <v>165</v>
      </c>
      <c r="B70" s="113">
        <v>43739</v>
      </c>
      <c r="C70" s="563">
        <v>0</v>
      </c>
      <c r="D70" s="113">
        <v>44002</v>
      </c>
      <c r="E70" s="266">
        <v>836</v>
      </c>
      <c r="F70" s="158">
        <f t="shared" si="0"/>
        <v>836</v>
      </c>
      <c r="G70" s="266">
        <v>641</v>
      </c>
      <c r="H70" s="266">
        <v>161</v>
      </c>
      <c r="I70" s="266">
        <v>27</v>
      </c>
      <c r="J70" s="266">
        <v>7</v>
      </c>
      <c r="K70" s="733"/>
      <c r="L70" s="806"/>
      <c r="M70" s="806"/>
      <c r="N70" s="806"/>
      <c r="O70" s="806"/>
      <c r="P70" s="978"/>
      <c r="Q70" s="979"/>
      <c r="R70" s="979"/>
      <c r="S70" s="980"/>
      <c r="T70" s="807"/>
      <c r="U70" s="800"/>
    </row>
    <row r="71" spans="1:21" ht="12.75" customHeight="1">
      <c r="A71" s="758" t="s">
        <v>165</v>
      </c>
      <c r="B71" s="113">
        <v>43770</v>
      </c>
      <c r="C71" s="563">
        <v>1</v>
      </c>
      <c r="D71" s="113">
        <v>44002</v>
      </c>
      <c r="E71" s="266">
        <v>295</v>
      </c>
      <c r="F71" s="158">
        <f t="shared" si="0"/>
        <v>295</v>
      </c>
      <c r="G71" s="266">
        <v>226</v>
      </c>
      <c r="H71" s="266">
        <v>57</v>
      </c>
      <c r="I71" s="266">
        <v>10</v>
      </c>
      <c r="J71" s="266">
        <v>2</v>
      </c>
      <c r="K71" s="733"/>
      <c r="L71" s="797"/>
      <c r="M71" s="797"/>
      <c r="N71" s="797"/>
      <c r="O71" s="797"/>
      <c r="P71" s="978"/>
      <c r="Q71" s="979"/>
      <c r="R71" s="979"/>
      <c r="S71" s="980"/>
      <c r="T71" s="797"/>
      <c r="U71" s="797"/>
    </row>
    <row r="72" spans="1:21" ht="12.75" customHeight="1">
      <c r="A72" s="758" t="s">
        <v>165</v>
      </c>
      <c r="B72" s="113">
        <v>43831</v>
      </c>
      <c r="C72" s="563">
        <v>1</v>
      </c>
      <c r="D72" s="113">
        <v>44002</v>
      </c>
      <c r="E72" s="266">
        <v>799</v>
      </c>
      <c r="F72" s="158">
        <f t="shared" si="0"/>
        <v>799</v>
      </c>
      <c r="G72" s="266">
        <v>614</v>
      </c>
      <c r="H72" s="266">
        <v>153</v>
      </c>
      <c r="I72" s="266">
        <v>26</v>
      </c>
      <c r="J72" s="266">
        <v>6</v>
      </c>
      <c r="K72" s="733"/>
      <c r="L72" s="870"/>
      <c r="M72" s="870"/>
      <c r="N72" s="870"/>
      <c r="O72" s="870"/>
      <c r="P72" s="978"/>
      <c r="Q72" s="979"/>
      <c r="R72" s="979"/>
      <c r="S72" s="980"/>
      <c r="T72" s="794"/>
      <c r="U72" s="792"/>
    </row>
    <row r="73" spans="1:21" ht="12.75" customHeight="1">
      <c r="A73" s="758" t="s">
        <v>165</v>
      </c>
      <c r="B73" s="113">
        <v>43862</v>
      </c>
      <c r="C73" s="563">
        <v>1</v>
      </c>
      <c r="D73" s="113">
        <v>44002</v>
      </c>
      <c r="E73" s="266">
        <v>122</v>
      </c>
      <c r="F73" s="158">
        <f t="shared" si="0"/>
        <v>122</v>
      </c>
      <c r="G73" s="267">
        <v>94</v>
      </c>
      <c r="H73" s="267">
        <v>23</v>
      </c>
      <c r="I73" s="267">
        <v>4</v>
      </c>
      <c r="J73" s="267">
        <v>1</v>
      </c>
      <c r="K73" s="733"/>
      <c r="L73" s="806"/>
      <c r="M73" s="806"/>
      <c r="N73" s="806"/>
      <c r="O73" s="806"/>
      <c r="P73" s="978"/>
      <c r="Q73" s="979"/>
      <c r="R73" s="979"/>
      <c r="S73" s="980"/>
      <c r="T73" s="807"/>
      <c r="U73" s="800"/>
    </row>
    <row r="74" spans="1:21" ht="12.75" customHeight="1">
      <c r="A74" s="758" t="s">
        <v>164</v>
      </c>
      <c r="B74" s="113">
        <v>43952</v>
      </c>
      <c r="C74" s="129">
        <v>0</v>
      </c>
      <c r="D74" s="113">
        <v>44002</v>
      </c>
      <c r="E74" s="266">
        <v>14680</v>
      </c>
      <c r="F74" s="158">
        <f t="shared" si="0"/>
        <v>14680</v>
      </c>
      <c r="G74" s="267">
        <v>11287</v>
      </c>
      <c r="H74" s="267">
        <v>2815</v>
      </c>
      <c r="I74" s="267">
        <v>461</v>
      </c>
      <c r="J74" s="267">
        <v>117</v>
      </c>
      <c r="K74" s="733"/>
      <c r="L74" s="806"/>
      <c r="M74" s="806"/>
      <c r="N74" s="806"/>
      <c r="O74" s="806"/>
      <c r="P74" s="981"/>
      <c r="Q74" s="982"/>
      <c r="R74" s="982"/>
      <c r="S74" s="983"/>
      <c r="T74" s="807"/>
      <c r="U74" s="800"/>
    </row>
    <row r="75" spans="1:21" ht="12.75" customHeight="1">
      <c r="A75" s="758" t="s">
        <v>163</v>
      </c>
      <c r="B75" s="113">
        <v>43952</v>
      </c>
      <c r="C75" s="129">
        <v>0</v>
      </c>
      <c r="D75" s="113">
        <v>44002</v>
      </c>
      <c r="E75" s="266">
        <v>12597</v>
      </c>
      <c r="F75" s="158">
        <f t="shared" si="0"/>
        <v>12597</v>
      </c>
      <c r="G75" s="267">
        <v>9685</v>
      </c>
      <c r="H75" s="267">
        <v>2415</v>
      </c>
      <c r="I75" s="267">
        <v>396</v>
      </c>
      <c r="J75" s="267">
        <v>101</v>
      </c>
      <c r="K75" s="733"/>
      <c r="L75" s="806"/>
      <c r="M75" s="806"/>
      <c r="N75" s="806"/>
      <c r="O75" s="806"/>
      <c r="P75" s="806"/>
      <c r="Q75" s="806"/>
      <c r="R75" s="806"/>
      <c r="S75" s="806"/>
      <c r="T75" s="807"/>
      <c r="U75" s="800"/>
    </row>
    <row r="76" spans="1:21" ht="12.75" customHeight="1">
      <c r="A76" s="758" t="s">
        <v>162</v>
      </c>
      <c r="B76" s="113">
        <v>43952</v>
      </c>
      <c r="C76" s="129">
        <v>0</v>
      </c>
      <c r="D76" s="113">
        <v>44002</v>
      </c>
      <c r="E76" s="266">
        <v>33050</v>
      </c>
      <c r="F76" s="158">
        <f t="shared" si="0"/>
        <v>33050</v>
      </c>
      <c r="G76" s="267">
        <v>25411</v>
      </c>
      <c r="H76" s="267">
        <v>6337</v>
      </c>
      <c r="I76" s="267">
        <v>1038</v>
      </c>
      <c r="J76" s="267">
        <v>264</v>
      </c>
      <c r="K76" s="733"/>
      <c r="L76" s="806"/>
      <c r="M76" s="806"/>
      <c r="N76" s="806"/>
      <c r="O76" s="806"/>
      <c r="P76" s="806"/>
      <c r="Q76" s="806"/>
      <c r="R76" s="806"/>
      <c r="S76" s="806"/>
      <c r="T76" s="807"/>
      <c r="U76" s="800"/>
    </row>
    <row r="77" spans="1:21" ht="12.75" customHeight="1">
      <c r="A77" s="758" t="s">
        <v>161</v>
      </c>
      <c r="B77" s="113">
        <v>43952</v>
      </c>
      <c r="C77" s="129">
        <v>0</v>
      </c>
      <c r="D77" s="113">
        <v>44002</v>
      </c>
      <c r="E77" s="266">
        <v>33789</v>
      </c>
      <c r="F77" s="158">
        <f t="shared" si="0"/>
        <v>33789</v>
      </c>
      <c r="G77" s="267">
        <v>25980</v>
      </c>
      <c r="H77" s="267">
        <v>6478</v>
      </c>
      <c r="I77" s="267">
        <v>1061</v>
      </c>
      <c r="J77" s="267">
        <v>270</v>
      </c>
      <c r="K77" s="733"/>
      <c r="L77" s="806"/>
      <c r="M77" s="806"/>
      <c r="N77" s="806"/>
      <c r="O77" s="806"/>
      <c r="P77" s="806"/>
      <c r="Q77" s="806"/>
      <c r="R77" s="806"/>
      <c r="S77" s="806"/>
      <c r="T77" s="807"/>
      <c r="U77" s="800"/>
    </row>
    <row r="78" spans="1:21" ht="12.75" customHeight="1">
      <c r="A78" s="758" t="s">
        <v>161</v>
      </c>
      <c r="B78" s="113">
        <v>43709</v>
      </c>
      <c r="C78" s="563">
        <v>2</v>
      </c>
      <c r="D78" s="113">
        <v>44002</v>
      </c>
      <c r="E78" s="266">
        <v>-7571</v>
      </c>
      <c r="F78" s="158">
        <f t="shared" si="0"/>
        <v>-7571</v>
      </c>
      <c r="G78" s="267">
        <v>-5820</v>
      </c>
      <c r="H78" s="267">
        <v>-1452</v>
      </c>
      <c r="I78" s="267">
        <v>-238</v>
      </c>
      <c r="J78" s="267">
        <v>-61</v>
      </c>
      <c r="K78" s="733"/>
      <c r="L78" s="806"/>
      <c r="M78" s="806"/>
      <c r="N78" s="806"/>
      <c r="O78" s="806"/>
      <c r="P78" s="806"/>
      <c r="Q78" s="806"/>
      <c r="R78" s="806"/>
      <c r="S78" s="806"/>
      <c r="T78" s="807"/>
      <c r="U78" s="800"/>
    </row>
    <row r="79" spans="1:21" ht="12.75" customHeight="1">
      <c r="A79" s="758" t="s">
        <v>161</v>
      </c>
      <c r="B79" s="113">
        <v>43770</v>
      </c>
      <c r="C79" s="563">
        <v>2</v>
      </c>
      <c r="D79" s="113">
        <v>44002</v>
      </c>
      <c r="E79" s="266">
        <v>-15196</v>
      </c>
      <c r="F79" s="158">
        <f t="shared" si="0"/>
        <v>-15196</v>
      </c>
      <c r="G79" s="267">
        <v>-11683</v>
      </c>
      <c r="H79" s="267">
        <v>-2914</v>
      </c>
      <c r="I79" s="267">
        <v>-477</v>
      </c>
      <c r="J79" s="267">
        <v>-122</v>
      </c>
      <c r="K79" s="733"/>
      <c r="L79" s="806"/>
      <c r="M79" s="806"/>
      <c r="N79" s="806"/>
      <c r="O79" s="806"/>
      <c r="P79" s="806"/>
      <c r="Q79" s="806"/>
      <c r="R79" s="806"/>
      <c r="S79" s="806"/>
      <c r="T79" s="807"/>
      <c r="U79" s="800"/>
    </row>
    <row r="80" spans="1:21" ht="12.75" customHeight="1">
      <c r="A80" s="758" t="s">
        <v>161</v>
      </c>
      <c r="B80" s="113">
        <v>43862</v>
      </c>
      <c r="C80" s="563">
        <v>1</v>
      </c>
      <c r="D80" s="113">
        <v>44002</v>
      </c>
      <c r="E80" s="266">
        <v>0</v>
      </c>
      <c r="F80" s="158">
        <f t="shared" si="0"/>
        <v>0</v>
      </c>
      <c r="G80" s="267">
        <v>0</v>
      </c>
      <c r="H80" s="267">
        <v>0</v>
      </c>
      <c r="I80" s="267">
        <v>0</v>
      </c>
      <c r="J80" s="267">
        <v>0</v>
      </c>
      <c r="K80" s="733"/>
      <c r="L80" s="806"/>
      <c r="M80" s="806"/>
      <c r="N80" s="806"/>
      <c r="O80" s="806"/>
      <c r="P80" s="806"/>
      <c r="Q80" s="806"/>
      <c r="R80" s="806"/>
      <c r="S80" s="806"/>
      <c r="T80" s="807"/>
      <c r="U80" s="800"/>
    </row>
    <row r="81" spans="1:21" ht="12.75" customHeight="1">
      <c r="A81" s="758" t="s">
        <v>160</v>
      </c>
      <c r="B81" s="113">
        <v>43952</v>
      </c>
      <c r="C81" s="129">
        <v>0</v>
      </c>
      <c r="D81" s="113">
        <v>44002</v>
      </c>
      <c r="E81" s="266">
        <v>118048</v>
      </c>
      <c r="F81" s="158">
        <f t="shared" si="0"/>
        <v>118048</v>
      </c>
      <c r="G81" s="267">
        <v>90763</v>
      </c>
      <c r="H81" s="267">
        <v>22635</v>
      </c>
      <c r="I81" s="267">
        <v>3706</v>
      </c>
      <c r="J81" s="267">
        <v>944</v>
      </c>
      <c r="K81" s="733"/>
      <c r="L81" s="806"/>
      <c r="M81" s="806"/>
      <c r="N81" s="806"/>
      <c r="O81" s="806"/>
      <c r="P81" s="806"/>
      <c r="Q81" s="806"/>
      <c r="R81" s="806"/>
      <c r="S81" s="806"/>
      <c r="T81" s="807"/>
      <c r="U81" s="800"/>
    </row>
    <row r="82" spans="1:21" ht="12.75" customHeight="1">
      <c r="A82" s="758" t="s">
        <v>159</v>
      </c>
      <c r="B82" s="113">
        <v>43952</v>
      </c>
      <c r="C82" s="129">
        <v>0</v>
      </c>
      <c r="D82" s="113">
        <v>44002</v>
      </c>
      <c r="E82" s="266">
        <v>552</v>
      </c>
      <c r="F82" s="158">
        <f t="shared" si="0"/>
        <v>552</v>
      </c>
      <c r="G82" s="267">
        <v>425</v>
      </c>
      <c r="H82" s="267">
        <v>105</v>
      </c>
      <c r="I82" s="267">
        <v>18</v>
      </c>
      <c r="J82" s="267">
        <v>4</v>
      </c>
      <c r="K82" s="733"/>
      <c r="L82" s="806"/>
      <c r="M82" s="806"/>
      <c r="N82" s="806"/>
      <c r="O82" s="806"/>
      <c r="P82" s="806"/>
      <c r="Q82" s="806"/>
      <c r="R82" s="806"/>
      <c r="S82" s="806"/>
      <c r="T82" s="807"/>
      <c r="U82" s="800"/>
    </row>
    <row r="83" spans="1:21" ht="12.75" customHeight="1">
      <c r="A83" s="758" t="s">
        <v>158</v>
      </c>
      <c r="B83" s="113">
        <v>43952</v>
      </c>
      <c r="C83" s="129">
        <v>0</v>
      </c>
      <c r="D83" s="113">
        <v>44002</v>
      </c>
      <c r="E83" s="266">
        <v>9320</v>
      </c>
      <c r="F83" s="158">
        <f t="shared" si="0"/>
        <v>9320</v>
      </c>
      <c r="G83" s="267">
        <v>7165</v>
      </c>
      <c r="H83" s="267">
        <v>1787</v>
      </c>
      <c r="I83" s="267">
        <v>293</v>
      </c>
      <c r="J83" s="267">
        <v>75</v>
      </c>
      <c r="K83" s="733"/>
      <c r="L83" s="806"/>
      <c r="M83" s="806"/>
      <c r="N83" s="806"/>
      <c r="O83" s="806"/>
      <c r="P83" s="806"/>
      <c r="Q83" s="806"/>
      <c r="R83" s="806"/>
      <c r="S83" s="806"/>
      <c r="T83" s="807"/>
      <c r="U83" s="800"/>
    </row>
    <row r="84" spans="1:21" ht="12.75" customHeight="1">
      <c r="A84" s="758" t="s">
        <v>157</v>
      </c>
      <c r="B84" s="113">
        <v>43952</v>
      </c>
      <c r="C84" s="129">
        <v>0</v>
      </c>
      <c r="D84" s="113">
        <v>44002</v>
      </c>
      <c r="E84" s="266">
        <v>263</v>
      </c>
      <c r="F84" s="158">
        <f t="shared" si="0"/>
        <v>263</v>
      </c>
      <c r="G84" s="267">
        <v>201</v>
      </c>
      <c r="H84" s="267">
        <v>51</v>
      </c>
      <c r="I84" s="267">
        <v>9</v>
      </c>
      <c r="J84" s="267">
        <v>2</v>
      </c>
      <c r="K84" s="733"/>
      <c r="L84" s="806"/>
      <c r="M84" s="806"/>
      <c r="N84" s="806"/>
      <c r="O84" s="806"/>
      <c r="P84" s="806"/>
      <c r="Q84" s="806"/>
      <c r="R84" s="806"/>
      <c r="S84" s="806"/>
      <c r="T84" s="807"/>
      <c r="U84" s="800"/>
    </row>
    <row r="85" spans="1:21" ht="12.75" customHeight="1">
      <c r="A85" s="758" t="s">
        <v>6</v>
      </c>
      <c r="B85" s="113">
        <v>43952</v>
      </c>
      <c r="C85" s="129">
        <v>0</v>
      </c>
      <c r="D85" s="113">
        <v>44002</v>
      </c>
      <c r="E85" s="266">
        <v>17550</v>
      </c>
      <c r="F85" s="158">
        <f t="shared" si="0"/>
        <v>17550</v>
      </c>
      <c r="G85" s="267">
        <v>13493</v>
      </c>
      <c r="H85" s="267">
        <v>3366</v>
      </c>
      <c r="I85" s="267">
        <v>551</v>
      </c>
      <c r="J85" s="267">
        <v>140</v>
      </c>
      <c r="K85" s="733"/>
      <c r="L85" s="806"/>
      <c r="M85" s="806"/>
      <c r="N85" s="806"/>
      <c r="O85" s="806"/>
      <c r="P85" s="806"/>
      <c r="Q85" s="806"/>
      <c r="R85" s="806"/>
      <c r="S85" s="806"/>
      <c r="T85" s="807"/>
      <c r="U85" s="800"/>
    </row>
    <row r="86" spans="1:21" ht="12.75" customHeight="1">
      <c r="A86" s="758" t="s">
        <v>3</v>
      </c>
      <c r="B86" s="113">
        <v>43862</v>
      </c>
      <c r="C86" s="563">
        <v>0</v>
      </c>
      <c r="D86" s="113">
        <v>44002</v>
      </c>
      <c r="E86" s="266">
        <v>629</v>
      </c>
      <c r="F86" s="158">
        <f t="shared" si="0"/>
        <v>629</v>
      </c>
      <c r="G86" s="267">
        <v>482</v>
      </c>
      <c r="H86" s="267">
        <v>122</v>
      </c>
      <c r="I86" s="267">
        <v>20</v>
      </c>
      <c r="J86" s="267">
        <v>5</v>
      </c>
      <c r="K86" s="733"/>
      <c r="L86" s="806"/>
      <c r="M86" s="806"/>
      <c r="N86" s="806"/>
      <c r="O86" s="806"/>
      <c r="P86" s="806"/>
      <c r="Q86" s="806"/>
      <c r="R86" s="806"/>
      <c r="S86" s="806"/>
      <c r="T86" s="807"/>
      <c r="U86" s="800"/>
    </row>
    <row r="87" spans="1:21" ht="12.75" customHeight="1">
      <c r="A87" s="889" t="s">
        <v>3</v>
      </c>
      <c r="B87" s="113">
        <v>43831</v>
      </c>
      <c r="C87" s="563">
        <v>0</v>
      </c>
      <c r="D87" s="113">
        <v>44002</v>
      </c>
      <c r="E87" s="266">
        <v>616</v>
      </c>
      <c r="F87" s="158">
        <f t="shared" si="0"/>
        <v>616</v>
      </c>
      <c r="G87" s="267">
        <v>471</v>
      </c>
      <c r="H87" s="267">
        <v>120</v>
      </c>
      <c r="I87" s="267">
        <v>20</v>
      </c>
      <c r="J87" s="267">
        <v>5</v>
      </c>
      <c r="K87" s="733"/>
      <c r="L87" s="806"/>
      <c r="M87" s="806"/>
      <c r="N87" s="806"/>
      <c r="O87" s="806"/>
      <c r="P87" s="806"/>
      <c r="Q87" s="806"/>
      <c r="R87" s="806"/>
      <c r="S87" s="806"/>
      <c r="T87" s="807"/>
      <c r="U87" s="800"/>
    </row>
    <row r="88" spans="1:21" ht="12.75" customHeight="1">
      <c r="A88" s="755" t="s">
        <v>155</v>
      </c>
      <c r="B88" s="113">
        <v>43952</v>
      </c>
      <c r="C88" s="129">
        <v>0</v>
      </c>
      <c r="D88" s="113">
        <v>44002</v>
      </c>
      <c r="E88" s="846">
        <v>25287</v>
      </c>
      <c r="F88" s="158">
        <f t="shared" si="0"/>
        <v>25287</v>
      </c>
      <c r="G88" s="753">
        <v>19441</v>
      </c>
      <c r="H88" s="753">
        <v>4850</v>
      </c>
      <c r="I88" s="753">
        <v>794</v>
      </c>
      <c r="J88" s="753">
        <v>202</v>
      </c>
      <c r="K88" s="733"/>
      <c r="L88" s="806"/>
      <c r="M88" s="806"/>
      <c r="N88" s="806"/>
      <c r="O88" s="806"/>
      <c r="P88" s="806"/>
      <c r="Q88" s="806"/>
      <c r="R88" s="806"/>
      <c r="S88" s="806"/>
      <c r="T88" s="807"/>
      <c r="U88" s="800"/>
    </row>
    <row r="89" spans="1:21" ht="12.75" customHeight="1">
      <c r="A89" s="755" t="s">
        <v>155</v>
      </c>
      <c r="B89" s="113">
        <v>43891</v>
      </c>
      <c r="C89" s="563">
        <v>0</v>
      </c>
      <c r="D89" s="113">
        <v>44002</v>
      </c>
      <c r="E89" s="846">
        <v>261135</v>
      </c>
      <c r="F89" s="158">
        <f t="shared" si="0"/>
        <v>261135</v>
      </c>
      <c r="G89" s="753">
        <v>200776</v>
      </c>
      <c r="H89" s="753">
        <v>50073</v>
      </c>
      <c r="I89" s="753">
        <v>8197</v>
      </c>
      <c r="J89" s="753">
        <v>2089</v>
      </c>
      <c r="K89" s="733"/>
      <c r="L89" s="806"/>
      <c r="M89" s="806"/>
      <c r="N89" s="806"/>
      <c r="O89" s="806"/>
      <c r="P89" s="806"/>
      <c r="Q89" s="806"/>
      <c r="R89" s="806"/>
      <c r="S89" s="806"/>
      <c r="T89" s="807"/>
      <c r="U89" s="800"/>
    </row>
    <row r="90" spans="1:21" ht="12.75" customHeight="1">
      <c r="A90" s="755" t="s">
        <v>154</v>
      </c>
      <c r="B90" s="113">
        <v>43952</v>
      </c>
      <c r="C90" s="129">
        <v>0</v>
      </c>
      <c r="D90" s="113">
        <v>44002</v>
      </c>
      <c r="E90" s="846">
        <v>30126</v>
      </c>
      <c r="F90" s="158">
        <f t="shared" si="0"/>
        <v>30126</v>
      </c>
      <c r="G90" s="753">
        <v>23162</v>
      </c>
      <c r="H90" s="753">
        <v>5777</v>
      </c>
      <c r="I90" s="753">
        <v>946</v>
      </c>
      <c r="J90" s="753">
        <v>241</v>
      </c>
      <c r="K90" s="733"/>
      <c r="L90" s="806"/>
      <c r="M90" s="806"/>
      <c r="N90" s="806"/>
      <c r="O90" s="806"/>
      <c r="P90" s="806"/>
      <c r="Q90" s="806"/>
      <c r="R90" s="806"/>
      <c r="S90" s="806"/>
      <c r="T90" s="807"/>
      <c r="U90" s="800"/>
    </row>
    <row r="91" spans="1:21" ht="12.75" customHeight="1" thickBot="1">
      <c r="A91" s="562" t="s">
        <v>1</v>
      </c>
      <c r="B91" s="121">
        <v>43952</v>
      </c>
      <c r="C91" s="133">
        <v>0</v>
      </c>
      <c r="D91" s="121">
        <v>44002</v>
      </c>
      <c r="E91" s="132">
        <v>6606</v>
      </c>
      <c r="F91" s="132">
        <f t="shared" si="0"/>
        <v>6606</v>
      </c>
      <c r="G91" s="340">
        <v>5078</v>
      </c>
      <c r="H91" s="340">
        <v>1267</v>
      </c>
      <c r="I91" s="340">
        <v>208</v>
      </c>
      <c r="J91" s="340">
        <v>53</v>
      </c>
      <c r="K91" s="733"/>
      <c r="L91" s="793"/>
      <c r="M91" s="793"/>
      <c r="N91" s="793"/>
      <c r="O91" s="793"/>
      <c r="P91" s="793"/>
      <c r="Q91" s="793"/>
      <c r="R91" s="793"/>
      <c r="S91" s="793"/>
      <c r="T91" s="845"/>
      <c r="U91" s="845"/>
    </row>
    <row r="92" spans="1:21" ht="12.75" customHeight="1">
      <c r="A92" s="758" t="s">
        <v>171</v>
      </c>
      <c r="B92" s="744">
        <v>44002</v>
      </c>
      <c r="C92" s="136">
        <v>0</v>
      </c>
      <c r="D92" s="131">
        <v>44032</v>
      </c>
      <c r="E92" s="902">
        <v>49789</v>
      </c>
      <c r="F92" s="135">
        <f t="shared" si="0"/>
        <v>49789</v>
      </c>
      <c r="G92" s="759">
        <v>38281</v>
      </c>
      <c r="H92" s="759">
        <v>9547</v>
      </c>
      <c r="I92" s="759">
        <v>1563</v>
      </c>
      <c r="J92" s="759">
        <v>398</v>
      </c>
      <c r="K92" s="733"/>
      <c r="L92" s="870"/>
      <c r="M92" s="870"/>
      <c r="N92" s="870"/>
      <c r="O92" s="870"/>
      <c r="P92" s="870"/>
      <c r="Q92" s="870"/>
      <c r="R92" s="870"/>
      <c r="S92" s="870"/>
      <c r="T92" s="794"/>
      <c r="U92" s="792"/>
    </row>
    <row r="93" spans="1:21" ht="12.75" customHeight="1">
      <c r="A93" s="755" t="s">
        <v>170</v>
      </c>
      <c r="B93" s="744">
        <v>44002</v>
      </c>
      <c r="C93" s="129">
        <v>0</v>
      </c>
      <c r="D93" s="744">
        <v>44032</v>
      </c>
      <c r="E93" s="271">
        <v>132698</v>
      </c>
      <c r="F93" s="158">
        <f t="shared" si="0"/>
        <v>132698</v>
      </c>
      <c r="G93" s="753">
        <v>102025</v>
      </c>
      <c r="H93" s="753">
        <v>25445</v>
      </c>
      <c r="I93" s="753">
        <v>4166</v>
      </c>
      <c r="J93" s="753">
        <v>1062</v>
      </c>
      <c r="K93" s="733"/>
      <c r="L93" s="806"/>
      <c r="M93" s="806"/>
      <c r="N93" s="806"/>
      <c r="O93" s="806"/>
      <c r="P93" s="806"/>
      <c r="Q93" s="806"/>
      <c r="R93" s="806"/>
      <c r="S93" s="806"/>
      <c r="T93" s="807"/>
      <c r="U93" s="800"/>
    </row>
    <row r="94" spans="1:21" ht="12.75" customHeight="1">
      <c r="A94" s="758" t="s">
        <v>169</v>
      </c>
      <c r="B94" s="114">
        <v>44002</v>
      </c>
      <c r="C94" s="129">
        <v>0</v>
      </c>
      <c r="D94" s="114">
        <v>44032</v>
      </c>
      <c r="E94" s="266">
        <v>785</v>
      </c>
      <c r="F94" s="158">
        <f t="shared" si="0"/>
        <v>785</v>
      </c>
      <c r="G94" s="267">
        <v>603</v>
      </c>
      <c r="H94" s="267">
        <v>151</v>
      </c>
      <c r="I94" s="267">
        <v>25</v>
      </c>
      <c r="J94" s="267">
        <v>6</v>
      </c>
      <c r="K94" s="733"/>
      <c r="L94" s="806"/>
      <c r="M94" s="806"/>
      <c r="N94" s="806"/>
      <c r="O94" s="806"/>
      <c r="P94" s="806"/>
      <c r="Q94" s="806"/>
      <c r="R94" s="806"/>
      <c r="S94" s="806"/>
      <c r="T94" s="807"/>
      <c r="U94" s="800"/>
    </row>
    <row r="95" spans="1:21" ht="12.75" customHeight="1">
      <c r="A95" s="758" t="s">
        <v>169</v>
      </c>
      <c r="B95" s="114">
        <v>43971</v>
      </c>
      <c r="C95" s="563">
        <v>1</v>
      </c>
      <c r="D95" s="114">
        <v>44032</v>
      </c>
      <c r="E95" s="266">
        <v>0</v>
      </c>
      <c r="F95" s="158">
        <v>0</v>
      </c>
      <c r="G95" s="267">
        <v>0</v>
      </c>
      <c r="H95" s="267">
        <v>0</v>
      </c>
      <c r="I95" s="267">
        <v>0</v>
      </c>
      <c r="J95" s="267">
        <v>0</v>
      </c>
      <c r="K95" s="733"/>
      <c r="L95" s="806"/>
      <c r="M95" s="806"/>
      <c r="N95" s="806"/>
      <c r="O95" s="806"/>
      <c r="P95" s="806"/>
      <c r="Q95" s="806"/>
      <c r="R95" s="806"/>
      <c r="S95" s="806"/>
      <c r="T95" s="807"/>
      <c r="U95" s="800"/>
    </row>
    <row r="96" spans="1:21" ht="12.75" customHeight="1">
      <c r="A96" s="758" t="s">
        <v>32</v>
      </c>
      <c r="B96" s="113">
        <v>43678</v>
      </c>
      <c r="C96" s="563">
        <v>1</v>
      </c>
      <c r="D96" s="114">
        <v>44032</v>
      </c>
      <c r="E96" s="266">
        <v>534</v>
      </c>
      <c r="F96" s="158">
        <f t="shared" si="0"/>
        <v>534</v>
      </c>
      <c r="G96" s="267">
        <v>411</v>
      </c>
      <c r="H96" s="267">
        <v>102</v>
      </c>
      <c r="I96" s="267">
        <v>17</v>
      </c>
      <c r="J96" s="267">
        <v>4</v>
      </c>
      <c r="K96" s="733"/>
      <c r="L96" s="806"/>
      <c r="M96" s="806"/>
      <c r="N96" s="806"/>
      <c r="O96" s="806"/>
      <c r="P96" s="806"/>
      <c r="Q96" s="806"/>
      <c r="R96" s="806"/>
      <c r="S96" s="806"/>
      <c r="T96" s="807"/>
      <c r="U96" s="800"/>
    </row>
    <row r="97" spans="1:21" ht="12.75" customHeight="1">
      <c r="A97" s="758" t="s">
        <v>32</v>
      </c>
      <c r="B97" s="113">
        <v>43709</v>
      </c>
      <c r="C97" s="563">
        <v>1</v>
      </c>
      <c r="D97" s="114">
        <v>44032</v>
      </c>
      <c r="E97" s="266">
        <v>688</v>
      </c>
      <c r="F97" s="158">
        <f t="shared" si="0"/>
        <v>688</v>
      </c>
      <c r="G97" s="267">
        <v>528</v>
      </c>
      <c r="H97" s="267">
        <v>132</v>
      </c>
      <c r="I97" s="267">
        <v>22</v>
      </c>
      <c r="J97" s="267">
        <v>6</v>
      </c>
      <c r="K97" s="733"/>
      <c r="L97" s="806"/>
      <c r="M97" s="806"/>
      <c r="N97" s="806"/>
      <c r="O97" s="806"/>
      <c r="P97" s="806"/>
      <c r="Q97" s="806"/>
      <c r="R97" s="806"/>
      <c r="S97" s="806"/>
      <c r="T97" s="807"/>
      <c r="U97" s="800"/>
    </row>
    <row r="98" spans="1:21" ht="12.75" customHeight="1">
      <c r="A98" s="758" t="s">
        <v>32</v>
      </c>
      <c r="B98" s="113">
        <v>43739</v>
      </c>
      <c r="C98" s="563">
        <v>0</v>
      </c>
      <c r="D98" s="114">
        <v>44032</v>
      </c>
      <c r="E98" s="266">
        <v>1476</v>
      </c>
      <c r="F98" s="158">
        <f t="shared" si="0"/>
        <v>1476</v>
      </c>
      <c r="G98" s="267">
        <v>1134</v>
      </c>
      <c r="H98" s="267">
        <v>283</v>
      </c>
      <c r="I98" s="267">
        <v>47</v>
      </c>
      <c r="J98" s="267">
        <v>12</v>
      </c>
      <c r="K98" s="733"/>
      <c r="L98" s="806"/>
      <c r="M98" s="806"/>
      <c r="N98" s="806"/>
      <c r="O98" s="806"/>
      <c r="P98" s="806"/>
      <c r="Q98" s="806"/>
      <c r="R98" s="806"/>
      <c r="S98" s="806"/>
      <c r="T98" s="807"/>
      <c r="U98" s="800"/>
    </row>
    <row r="99" spans="1:21" ht="12.75" customHeight="1">
      <c r="A99" s="758" t="s">
        <v>32</v>
      </c>
      <c r="B99" s="113">
        <v>43770</v>
      </c>
      <c r="C99" s="563">
        <v>0</v>
      </c>
      <c r="D99" s="114">
        <v>44032</v>
      </c>
      <c r="E99" s="266">
        <v>543</v>
      </c>
      <c r="F99" s="158">
        <f t="shared" si="0"/>
        <v>543</v>
      </c>
      <c r="G99" s="267">
        <v>417</v>
      </c>
      <c r="H99" s="267">
        <v>104</v>
      </c>
      <c r="I99" s="267">
        <v>18</v>
      </c>
      <c r="J99" s="267">
        <v>4</v>
      </c>
      <c r="K99" s="733"/>
      <c r="L99" s="806"/>
      <c r="M99" s="806"/>
      <c r="N99" s="806"/>
      <c r="O99" s="806"/>
      <c r="P99" s="806"/>
      <c r="Q99" s="806"/>
      <c r="R99" s="806"/>
      <c r="S99" s="806"/>
      <c r="T99" s="807"/>
      <c r="U99" s="800"/>
    </row>
    <row r="100" spans="1:21" ht="12.75" customHeight="1">
      <c r="A100" s="758" t="s">
        <v>32</v>
      </c>
      <c r="B100" s="113">
        <v>43800</v>
      </c>
      <c r="C100" s="563">
        <v>0</v>
      </c>
      <c r="D100" s="114">
        <v>44032</v>
      </c>
      <c r="E100" s="266">
        <v>849</v>
      </c>
      <c r="F100" s="158">
        <f t="shared" si="0"/>
        <v>849</v>
      </c>
      <c r="G100" s="267">
        <v>652</v>
      </c>
      <c r="H100" s="267">
        <v>163</v>
      </c>
      <c r="I100" s="267">
        <v>27</v>
      </c>
      <c r="J100" s="267">
        <v>7</v>
      </c>
      <c r="K100" s="733"/>
      <c r="L100" s="806"/>
      <c r="M100" s="806"/>
      <c r="N100" s="806"/>
      <c r="O100" s="806"/>
      <c r="P100" s="806"/>
      <c r="Q100" s="806"/>
      <c r="R100" s="806"/>
      <c r="S100" s="806"/>
      <c r="T100" s="807"/>
      <c r="U100" s="800"/>
    </row>
    <row r="101" spans="1:21" ht="12.75" customHeight="1">
      <c r="A101" s="758" t="s">
        <v>32</v>
      </c>
      <c r="B101" s="113">
        <v>43831</v>
      </c>
      <c r="C101" s="563">
        <v>0</v>
      </c>
      <c r="D101" s="114">
        <v>44032</v>
      </c>
      <c r="E101" s="266">
        <v>1226</v>
      </c>
      <c r="F101" s="158">
        <f>SUM(G101:J101)</f>
        <v>1226</v>
      </c>
      <c r="G101" s="267">
        <v>942</v>
      </c>
      <c r="H101" s="267">
        <v>235</v>
      </c>
      <c r="I101" s="267">
        <v>39</v>
      </c>
      <c r="J101" s="267">
        <v>10</v>
      </c>
      <c r="K101" s="733"/>
      <c r="L101" s="806"/>
      <c r="M101" s="806"/>
      <c r="N101" s="806"/>
      <c r="O101" s="806"/>
      <c r="P101" s="806"/>
      <c r="Q101" s="806"/>
      <c r="R101" s="806"/>
      <c r="S101" s="806"/>
      <c r="T101" s="807"/>
      <c r="U101" s="800"/>
    </row>
    <row r="102" spans="1:21" ht="12.75" customHeight="1">
      <c r="A102" s="758" t="s">
        <v>32</v>
      </c>
      <c r="B102" s="113">
        <v>43862</v>
      </c>
      <c r="C102" s="563">
        <v>0</v>
      </c>
      <c r="D102" s="114">
        <v>44032</v>
      </c>
      <c r="E102" s="266">
        <v>658</v>
      </c>
      <c r="F102" s="158">
        <f t="shared" si="0"/>
        <v>658</v>
      </c>
      <c r="G102" s="267">
        <v>505</v>
      </c>
      <c r="H102" s="267">
        <v>127</v>
      </c>
      <c r="I102" s="267">
        <v>21</v>
      </c>
      <c r="J102" s="267">
        <v>5</v>
      </c>
      <c r="K102" s="733"/>
      <c r="L102" s="806"/>
      <c r="M102" s="806"/>
      <c r="N102" s="806"/>
      <c r="O102" s="806"/>
      <c r="P102" s="806"/>
      <c r="Q102" s="806"/>
      <c r="R102" s="806"/>
      <c r="S102" s="806"/>
      <c r="T102" s="807"/>
      <c r="U102" s="800"/>
    </row>
    <row r="103" spans="1:21" ht="12.75" customHeight="1">
      <c r="A103" s="758" t="s">
        <v>32</v>
      </c>
      <c r="B103" s="113">
        <v>43891</v>
      </c>
      <c r="C103" s="563">
        <v>0</v>
      </c>
      <c r="D103" s="114">
        <v>44032</v>
      </c>
      <c r="E103" s="266">
        <v>1633</v>
      </c>
      <c r="F103" s="158">
        <f t="shared" si="0"/>
        <v>1633</v>
      </c>
      <c r="G103" s="267">
        <v>1256</v>
      </c>
      <c r="H103" s="267">
        <v>312</v>
      </c>
      <c r="I103" s="267">
        <v>52</v>
      </c>
      <c r="J103" s="267">
        <v>13</v>
      </c>
      <c r="K103" s="733"/>
      <c r="L103" s="806"/>
      <c r="M103" s="806"/>
      <c r="N103" s="806"/>
      <c r="O103" s="806"/>
      <c r="P103" s="806"/>
      <c r="Q103" s="806"/>
      <c r="R103" s="806"/>
      <c r="S103" s="806"/>
      <c r="T103" s="807"/>
      <c r="U103" s="800"/>
    </row>
    <row r="104" spans="1:21" ht="12.75" customHeight="1">
      <c r="A104" s="758" t="s">
        <v>32</v>
      </c>
      <c r="B104" s="113">
        <v>43952</v>
      </c>
      <c r="C104" s="563">
        <v>0</v>
      </c>
      <c r="D104" s="114">
        <v>44032</v>
      </c>
      <c r="E104" s="266">
        <v>981</v>
      </c>
      <c r="F104" s="158">
        <f t="shared" si="0"/>
        <v>981</v>
      </c>
      <c r="G104" s="267">
        <v>754</v>
      </c>
      <c r="H104" s="267">
        <v>188</v>
      </c>
      <c r="I104" s="267">
        <v>31</v>
      </c>
      <c r="J104" s="267">
        <v>8</v>
      </c>
      <c r="K104" s="733"/>
      <c r="L104" s="806"/>
      <c r="M104" s="806"/>
      <c r="N104" s="806"/>
      <c r="O104" s="806"/>
      <c r="P104" s="806"/>
      <c r="Q104" s="806"/>
      <c r="R104" s="806"/>
      <c r="S104" s="806"/>
      <c r="T104" s="807"/>
      <c r="U104" s="800"/>
    </row>
    <row r="105" spans="1:21" ht="12.75" customHeight="1">
      <c r="A105" s="758" t="s">
        <v>29</v>
      </c>
      <c r="B105" s="113">
        <v>43983</v>
      </c>
      <c r="C105" s="129">
        <v>0</v>
      </c>
      <c r="D105" s="114">
        <v>44032</v>
      </c>
      <c r="E105" s="266">
        <v>14654</v>
      </c>
      <c r="F105" s="158">
        <f t="shared" si="0"/>
        <v>14654</v>
      </c>
      <c r="G105" s="267">
        <v>10577</v>
      </c>
      <c r="H105" s="267">
        <v>2810</v>
      </c>
      <c r="I105" s="267">
        <v>1150</v>
      </c>
      <c r="J105" s="267">
        <v>117</v>
      </c>
      <c r="K105" s="733"/>
      <c r="L105" s="806"/>
      <c r="M105" s="806"/>
      <c r="N105" s="806"/>
      <c r="O105" s="806"/>
      <c r="P105" s="806"/>
      <c r="Q105" s="806"/>
      <c r="R105" s="806"/>
      <c r="S105" s="806"/>
      <c r="T105" s="807"/>
      <c r="U105" s="800"/>
    </row>
    <row r="106" spans="1:21" ht="12.75" customHeight="1">
      <c r="A106" s="758" t="s">
        <v>25</v>
      </c>
      <c r="B106" s="113">
        <v>44002</v>
      </c>
      <c r="C106" s="129">
        <v>0</v>
      </c>
      <c r="D106" s="113">
        <v>44032</v>
      </c>
      <c r="E106" s="266">
        <v>971</v>
      </c>
      <c r="F106" s="158">
        <f t="shared" si="0"/>
        <v>971</v>
      </c>
      <c r="G106" s="267">
        <v>745</v>
      </c>
      <c r="H106" s="267">
        <v>187</v>
      </c>
      <c r="I106" s="267">
        <v>31</v>
      </c>
      <c r="J106" s="267">
        <v>8</v>
      </c>
      <c r="K106" s="733"/>
      <c r="L106" s="806"/>
      <c r="M106" s="806"/>
      <c r="N106" s="806"/>
      <c r="O106" s="806"/>
      <c r="P106" s="806"/>
      <c r="Q106" s="806"/>
      <c r="R106" s="807"/>
      <c r="S106" s="800"/>
      <c r="T106" s="806"/>
      <c r="U106" s="806"/>
    </row>
    <row r="107" spans="1:21" ht="12.75" customHeight="1">
      <c r="A107" s="758" t="s">
        <v>17</v>
      </c>
      <c r="B107" s="113">
        <v>44002</v>
      </c>
      <c r="C107" s="129">
        <v>0</v>
      </c>
      <c r="D107" s="113">
        <v>44032</v>
      </c>
      <c r="E107" s="266">
        <v>14279</v>
      </c>
      <c r="F107" s="158">
        <f t="shared" si="0"/>
        <v>14279</v>
      </c>
      <c r="G107" s="267">
        <v>10977</v>
      </c>
      <c r="H107" s="267">
        <v>2739</v>
      </c>
      <c r="I107" s="267">
        <v>449</v>
      </c>
      <c r="J107" s="267">
        <v>114</v>
      </c>
      <c r="K107" s="733"/>
      <c r="L107" s="806"/>
      <c r="M107" s="806"/>
      <c r="N107" s="806"/>
      <c r="O107" s="806"/>
      <c r="P107" s="806"/>
      <c r="Q107" s="806"/>
      <c r="R107" s="807"/>
      <c r="S107" s="800"/>
      <c r="T107" s="806"/>
      <c r="U107" s="806"/>
    </row>
    <row r="108" spans="1:21" ht="12.75" customHeight="1">
      <c r="A108" s="758" t="s">
        <v>168</v>
      </c>
      <c r="B108" s="113">
        <v>44002</v>
      </c>
      <c r="C108" s="129">
        <v>0</v>
      </c>
      <c r="D108" s="113">
        <v>44032</v>
      </c>
      <c r="E108" s="266">
        <v>35388</v>
      </c>
      <c r="F108" s="158">
        <f t="shared" si="0"/>
        <v>35388</v>
      </c>
      <c r="G108" s="267">
        <v>26768</v>
      </c>
      <c r="H108" s="267">
        <v>6786</v>
      </c>
      <c r="I108" s="267">
        <v>1550</v>
      </c>
      <c r="J108" s="267">
        <v>284</v>
      </c>
      <c r="K108" s="733"/>
      <c r="L108" s="806"/>
      <c r="M108" s="806"/>
      <c r="N108" s="806"/>
      <c r="O108" s="806"/>
      <c r="P108" s="806"/>
      <c r="Q108" s="806"/>
      <c r="R108" s="807"/>
      <c r="S108" s="800"/>
      <c r="T108" s="806"/>
      <c r="U108" s="806"/>
    </row>
    <row r="109" spans="1:21" ht="12.75" customHeight="1">
      <c r="A109" s="758" t="s">
        <v>167</v>
      </c>
      <c r="B109" s="113">
        <v>44002</v>
      </c>
      <c r="C109" s="129">
        <v>0</v>
      </c>
      <c r="D109" s="113">
        <v>44032</v>
      </c>
      <c r="E109" s="266">
        <v>42727</v>
      </c>
      <c r="F109" s="158">
        <f t="shared" si="0"/>
        <v>42727</v>
      </c>
      <c r="G109" s="267">
        <v>32851</v>
      </c>
      <c r="H109" s="267">
        <v>8192</v>
      </c>
      <c r="I109" s="267">
        <v>1342</v>
      </c>
      <c r="J109" s="267">
        <v>342</v>
      </c>
      <c r="K109" s="733"/>
      <c r="L109" s="806"/>
      <c r="M109" s="806"/>
      <c r="N109" s="806"/>
      <c r="O109" s="806"/>
      <c r="P109" s="806"/>
      <c r="Q109" s="806"/>
      <c r="R109" s="807"/>
      <c r="S109" s="800"/>
      <c r="T109" s="806"/>
      <c r="U109" s="806"/>
    </row>
    <row r="110" spans="1:21" ht="12.75" customHeight="1">
      <c r="A110" s="758" t="s">
        <v>13</v>
      </c>
      <c r="B110" s="113">
        <v>44002</v>
      </c>
      <c r="C110" s="129">
        <v>0</v>
      </c>
      <c r="D110" s="113">
        <v>44032</v>
      </c>
      <c r="E110" s="266">
        <v>47603</v>
      </c>
      <c r="F110" s="158">
        <f t="shared" si="0"/>
        <v>47603</v>
      </c>
      <c r="G110" s="267">
        <v>35646</v>
      </c>
      <c r="H110" s="267">
        <v>9129</v>
      </c>
      <c r="I110" s="267">
        <v>2447</v>
      </c>
      <c r="J110" s="267">
        <v>381</v>
      </c>
      <c r="K110" s="733"/>
      <c r="L110" s="806"/>
      <c r="M110" s="806"/>
      <c r="N110" s="806"/>
      <c r="O110" s="806"/>
      <c r="P110" s="806"/>
      <c r="Q110" s="806"/>
      <c r="R110" s="807"/>
      <c r="S110" s="800"/>
      <c r="T110" s="806"/>
      <c r="U110" s="806"/>
    </row>
    <row r="111" spans="1:21" ht="12.75" customHeight="1">
      <c r="A111" s="758" t="s">
        <v>166</v>
      </c>
      <c r="B111" s="113">
        <v>44002</v>
      </c>
      <c r="C111" s="129">
        <v>0</v>
      </c>
      <c r="D111" s="113">
        <v>44032</v>
      </c>
      <c r="E111" s="266">
        <v>129447</v>
      </c>
      <c r="F111" s="158">
        <f t="shared" si="0"/>
        <v>129447</v>
      </c>
      <c r="G111" s="267">
        <v>97684</v>
      </c>
      <c r="H111" s="267">
        <v>24821</v>
      </c>
      <c r="I111" s="267">
        <v>5906</v>
      </c>
      <c r="J111" s="267">
        <v>1036</v>
      </c>
      <c r="K111" s="733"/>
      <c r="L111" s="806"/>
      <c r="M111" s="806"/>
      <c r="N111" s="806"/>
      <c r="O111" s="806"/>
      <c r="P111" s="806"/>
      <c r="Q111" s="806"/>
      <c r="R111" s="807"/>
      <c r="S111" s="800"/>
      <c r="T111" s="806"/>
      <c r="U111" s="806"/>
    </row>
    <row r="112" spans="1:21" ht="12.75" customHeight="1">
      <c r="A112" s="758" t="s">
        <v>166</v>
      </c>
      <c r="B112" s="113">
        <v>43739</v>
      </c>
      <c r="C112" s="563">
        <v>1</v>
      </c>
      <c r="D112" s="113">
        <v>44032</v>
      </c>
      <c r="E112" s="266">
        <v>39155</v>
      </c>
      <c r="F112" s="158">
        <f t="shared" si="0"/>
        <v>39155</v>
      </c>
      <c r="G112" s="267">
        <v>30104</v>
      </c>
      <c r="H112" s="267">
        <v>7508</v>
      </c>
      <c r="I112" s="267">
        <v>1230</v>
      </c>
      <c r="J112" s="267">
        <v>313</v>
      </c>
      <c r="K112" s="733"/>
      <c r="L112" s="806"/>
      <c r="M112" s="806"/>
      <c r="N112" s="806"/>
      <c r="O112" s="806"/>
      <c r="P112" s="806"/>
      <c r="Q112" s="806"/>
      <c r="R112" s="807"/>
      <c r="S112" s="800"/>
      <c r="T112" s="806"/>
      <c r="U112" s="806"/>
    </row>
    <row r="113" spans="1:22" ht="12.75" customHeight="1">
      <c r="A113" s="758" t="s">
        <v>166</v>
      </c>
      <c r="B113" s="113">
        <v>43770</v>
      </c>
      <c r="C113" s="563">
        <v>1</v>
      </c>
      <c r="D113" s="113">
        <v>44032</v>
      </c>
      <c r="E113" s="266">
        <v>-1891</v>
      </c>
      <c r="F113" s="158">
        <f t="shared" si="0"/>
        <v>-1891</v>
      </c>
      <c r="G113" s="266">
        <v>-1453</v>
      </c>
      <c r="H113" s="266">
        <v>-363</v>
      </c>
      <c r="I113" s="266">
        <v>-60</v>
      </c>
      <c r="J113" s="266">
        <v>-15</v>
      </c>
      <c r="K113" s="733"/>
      <c r="L113" s="806"/>
      <c r="M113" s="806"/>
      <c r="N113" s="806"/>
      <c r="O113" s="806"/>
      <c r="P113" s="806"/>
      <c r="Q113" s="806"/>
      <c r="R113" s="807"/>
      <c r="S113" s="800"/>
      <c r="T113" s="806"/>
      <c r="U113" s="806"/>
    </row>
    <row r="114" spans="1:22" ht="12.75" customHeight="1">
      <c r="A114" s="758" t="s">
        <v>166</v>
      </c>
      <c r="B114" s="113">
        <v>43800</v>
      </c>
      <c r="C114" s="563">
        <v>1</v>
      </c>
      <c r="D114" s="113">
        <v>44032</v>
      </c>
      <c r="E114" s="266">
        <v>18917</v>
      </c>
      <c r="F114" s="158">
        <f t="shared" si="0"/>
        <v>18917</v>
      </c>
      <c r="G114" s="266">
        <v>14544</v>
      </c>
      <c r="H114" s="266">
        <v>3628</v>
      </c>
      <c r="I114" s="266">
        <v>594</v>
      </c>
      <c r="J114" s="266">
        <v>151</v>
      </c>
      <c r="K114" s="733"/>
      <c r="L114" s="806"/>
      <c r="M114" s="806"/>
      <c r="N114" s="806"/>
      <c r="O114" s="806"/>
      <c r="P114" s="975" t="s">
        <v>316</v>
      </c>
      <c r="Q114" s="976"/>
      <c r="R114" s="976"/>
      <c r="S114" s="977"/>
      <c r="T114" s="806"/>
      <c r="U114" s="806"/>
    </row>
    <row r="115" spans="1:22" ht="12.75" customHeight="1">
      <c r="A115" s="758" t="s">
        <v>166</v>
      </c>
      <c r="B115" s="113">
        <v>43831</v>
      </c>
      <c r="C115" s="563">
        <v>1</v>
      </c>
      <c r="D115" s="113">
        <v>44032</v>
      </c>
      <c r="E115" s="266">
        <v>21909</v>
      </c>
      <c r="F115" s="158">
        <f t="shared" si="0"/>
        <v>21909</v>
      </c>
      <c r="G115" s="266">
        <v>16845</v>
      </c>
      <c r="H115" s="266">
        <v>4201</v>
      </c>
      <c r="I115" s="266">
        <v>688</v>
      </c>
      <c r="J115" s="266">
        <v>175</v>
      </c>
      <c r="K115" s="733"/>
      <c r="L115" s="806"/>
      <c r="M115" s="806"/>
      <c r="N115" s="806"/>
      <c r="O115" s="806"/>
      <c r="P115" s="978"/>
      <c r="Q115" s="979"/>
      <c r="R115" s="979"/>
      <c r="S115" s="980"/>
      <c r="T115" s="806"/>
      <c r="U115" s="806"/>
    </row>
    <row r="116" spans="1:22" ht="12.75" customHeight="1">
      <c r="A116" s="758" t="s">
        <v>166</v>
      </c>
      <c r="B116" s="113">
        <v>43862</v>
      </c>
      <c r="C116" s="563">
        <v>1</v>
      </c>
      <c r="D116" s="113">
        <v>44032</v>
      </c>
      <c r="E116" s="266">
        <v>22985</v>
      </c>
      <c r="F116" s="158">
        <f t="shared" si="0"/>
        <v>22985</v>
      </c>
      <c r="G116" s="266">
        <v>17671</v>
      </c>
      <c r="H116" s="266">
        <v>4408</v>
      </c>
      <c r="I116" s="266">
        <v>722</v>
      </c>
      <c r="J116" s="266">
        <v>184</v>
      </c>
      <c r="K116" s="733"/>
      <c r="L116" s="806"/>
      <c r="M116" s="806"/>
      <c r="N116" s="806"/>
      <c r="O116" s="806"/>
      <c r="P116" s="978"/>
      <c r="Q116" s="979"/>
      <c r="R116" s="979"/>
      <c r="S116" s="980"/>
      <c r="T116" s="806"/>
      <c r="U116" s="806"/>
      <c r="V116"/>
    </row>
    <row r="117" spans="1:22" ht="12.75" customHeight="1">
      <c r="A117" s="758" t="s">
        <v>166</v>
      </c>
      <c r="B117" s="113">
        <v>43891</v>
      </c>
      <c r="C117" s="563">
        <v>1</v>
      </c>
      <c r="D117" s="113">
        <v>44032</v>
      </c>
      <c r="E117" s="266">
        <v>15361</v>
      </c>
      <c r="F117" s="158">
        <f t="shared" si="0"/>
        <v>15361</v>
      </c>
      <c r="G117" s="266">
        <v>11810</v>
      </c>
      <c r="H117" s="266">
        <v>2945</v>
      </c>
      <c r="I117" s="266">
        <v>483</v>
      </c>
      <c r="J117" s="266">
        <v>123</v>
      </c>
      <c r="K117" s="733"/>
      <c r="L117" s="806"/>
      <c r="M117" s="806"/>
      <c r="N117" s="806"/>
      <c r="O117" s="806"/>
      <c r="P117" s="978"/>
      <c r="Q117" s="979"/>
      <c r="R117" s="979"/>
      <c r="S117" s="980"/>
      <c r="T117" s="806"/>
      <c r="U117" s="806"/>
      <c r="V117"/>
    </row>
    <row r="118" spans="1:22" ht="12.75" customHeight="1">
      <c r="A118" s="758" t="s">
        <v>11</v>
      </c>
      <c r="B118" s="113">
        <v>44002</v>
      </c>
      <c r="C118" s="129">
        <v>0</v>
      </c>
      <c r="D118" s="113">
        <v>44032</v>
      </c>
      <c r="E118" s="266">
        <v>18142187</v>
      </c>
      <c r="F118" s="158">
        <f t="shared" si="0"/>
        <v>18142187</v>
      </c>
      <c r="G118" s="266">
        <v>13771825</v>
      </c>
      <c r="H118" s="266">
        <v>3338063</v>
      </c>
      <c r="I118" s="266">
        <v>784357</v>
      </c>
      <c r="J118" s="266">
        <v>247942</v>
      </c>
      <c r="K118" s="733"/>
      <c r="L118" s="806"/>
      <c r="M118" s="806"/>
      <c r="N118" s="806"/>
      <c r="O118" s="806"/>
      <c r="P118" s="978"/>
      <c r="Q118" s="979"/>
      <c r="R118" s="979"/>
      <c r="S118" s="980"/>
      <c r="T118" s="806"/>
      <c r="U118" s="806"/>
      <c r="V118"/>
    </row>
    <row r="119" spans="1:22" ht="12.75" customHeight="1">
      <c r="A119" s="758" t="s">
        <v>165</v>
      </c>
      <c r="B119" s="113">
        <v>44002</v>
      </c>
      <c r="C119" s="129">
        <v>0</v>
      </c>
      <c r="D119" s="113">
        <v>44032</v>
      </c>
      <c r="E119" s="266">
        <v>94429</v>
      </c>
      <c r="F119" s="158">
        <f t="shared" si="0"/>
        <v>94429</v>
      </c>
      <c r="G119" s="266">
        <v>72602</v>
      </c>
      <c r="H119" s="266">
        <v>18107</v>
      </c>
      <c r="I119" s="266">
        <v>2965</v>
      </c>
      <c r="J119" s="266">
        <v>755</v>
      </c>
      <c r="K119" s="733"/>
      <c r="L119" s="806"/>
      <c r="M119" s="806"/>
      <c r="N119" s="806"/>
      <c r="O119" s="806"/>
      <c r="P119" s="978"/>
      <c r="Q119" s="979"/>
      <c r="R119" s="979"/>
      <c r="S119" s="980"/>
      <c r="T119" s="806"/>
      <c r="U119" s="806"/>
      <c r="V119"/>
    </row>
    <row r="120" spans="1:22" ht="12.75" customHeight="1">
      <c r="A120" s="758" t="s">
        <v>164</v>
      </c>
      <c r="B120" s="113">
        <v>44002</v>
      </c>
      <c r="C120" s="129">
        <v>0</v>
      </c>
      <c r="D120" s="113">
        <v>44032</v>
      </c>
      <c r="E120" s="266">
        <v>22950</v>
      </c>
      <c r="F120" s="158">
        <f t="shared" si="0"/>
        <v>22950</v>
      </c>
      <c r="G120" s="266">
        <v>17643</v>
      </c>
      <c r="H120" s="266">
        <v>4402</v>
      </c>
      <c r="I120" s="266">
        <v>721</v>
      </c>
      <c r="J120" s="266">
        <v>184</v>
      </c>
      <c r="K120" s="733"/>
      <c r="L120" s="806"/>
      <c r="M120" s="806"/>
      <c r="N120" s="806"/>
      <c r="O120" s="806"/>
      <c r="P120" s="978"/>
      <c r="Q120" s="979"/>
      <c r="R120" s="979"/>
      <c r="S120" s="980"/>
      <c r="T120" s="806"/>
      <c r="U120" s="806"/>
      <c r="V120"/>
    </row>
    <row r="121" spans="1:22" ht="12.75" customHeight="1">
      <c r="A121" s="758" t="s">
        <v>164</v>
      </c>
      <c r="B121" s="113">
        <v>43739</v>
      </c>
      <c r="C121" s="563">
        <v>1</v>
      </c>
      <c r="D121" s="113">
        <v>44032</v>
      </c>
      <c r="E121" s="266">
        <v>77469</v>
      </c>
      <c r="F121" s="158">
        <f t="shared" si="0"/>
        <v>77469</v>
      </c>
      <c r="G121" s="266">
        <v>59562</v>
      </c>
      <c r="H121" s="266">
        <v>14855</v>
      </c>
      <c r="I121" s="266">
        <v>2432</v>
      </c>
      <c r="J121" s="266">
        <v>620</v>
      </c>
      <c r="K121" s="733"/>
      <c r="L121" s="806"/>
      <c r="M121" s="806"/>
      <c r="N121" s="806"/>
      <c r="O121" s="806"/>
      <c r="P121" s="978"/>
      <c r="Q121" s="979"/>
      <c r="R121" s="979"/>
      <c r="S121" s="980"/>
      <c r="T121" s="806"/>
      <c r="U121" s="806"/>
    </row>
    <row r="122" spans="1:22" ht="12.75" customHeight="1">
      <c r="A122" s="758" t="s">
        <v>164</v>
      </c>
      <c r="B122" s="113">
        <v>43770</v>
      </c>
      <c r="C122" s="563">
        <v>1</v>
      </c>
      <c r="D122" s="113">
        <v>44032</v>
      </c>
      <c r="E122" s="266">
        <v>107172</v>
      </c>
      <c r="F122" s="158">
        <f t="shared" si="0"/>
        <v>107172</v>
      </c>
      <c r="G122" s="266">
        <v>82401</v>
      </c>
      <c r="H122" s="266">
        <v>20549</v>
      </c>
      <c r="I122" s="266">
        <v>3365</v>
      </c>
      <c r="J122" s="266">
        <v>857</v>
      </c>
      <c r="K122" s="733"/>
      <c r="L122" s="806"/>
      <c r="M122" s="806"/>
      <c r="N122" s="806"/>
      <c r="O122" s="806"/>
      <c r="P122" s="978"/>
      <c r="Q122" s="979"/>
      <c r="R122" s="979"/>
      <c r="S122" s="980"/>
      <c r="T122" s="806"/>
      <c r="U122" s="806"/>
    </row>
    <row r="123" spans="1:22" ht="12.75" customHeight="1">
      <c r="A123" s="758" t="s">
        <v>164</v>
      </c>
      <c r="B123" s="113">
        <v>43800</v>
      </c>
      <c r="C123" s="563">
        <v>1</v>
      </c>
      <c r="D123" s="113">
        <v>44032</v>
      </c>
      <c r="E123" s="266">
        <v>101205</v>
      </c>
      <c r="F123" s="158">
        <f t="shared" si="0"/>
        <v>101205</v>
      </c>
      <c r="G123" s="266">
        <v>77812</v>
      </c>
      <c r="H123" s="266">
        <v>19406</v>
      </c>
      <c r="I123" s="266">
        <v>3177</v>
      </c>
      <c r="J123" s="266">
        <v>810</v>
      </c>
      <c r="K123" s="733"/>
      <c r="L123" s="806"/>
      <c r="M123" s="806"/>
      <c r="N123" s="806"/>
      <c r="O123" s="806"/>
      <c r="P123" s="978"/>
      <c r="Q123" s="979"/>
      <c r="R123" s="979"/>
      <c r="S123" s="980"/>
      <c r="T123" s="806"/>
      <c r="U123" s="806"/>
    </row>
    <row r="124" spans="1:22" ht="12.75" customHeight="1">
      <c r="A124" s="758" t="s">
        <v>164</v>
      </c>
      <c r="B124" s="113">
        <v>43891</v>
      </c>
      <c r="C124" s="563">
        <v>1</v>
      </c>
      <c r="D124" s="113">
        <v>44032</v>
      </c>
      <c r="E124" s="266">
        <v>-27422</v>
      </c>
      <c r="F124" s="158">
        <f t="shared" si="0"/>
        <v>-27422</v>
      </c>
      <c r="G124" s="266">
        <v>-21083</v>
      </c>
      <c r="H124" s="266">
        <v>-5259</v>
      </c>
      <c r="I124" s="266">
        <v>-861</v>
      </c>
      <c r="J124" s="266">
        <v>-219</v>
      </c>
      <c r="K124" s="733"/>
      <c r="L124" s="806"/>
      <c r="M124" s="806"/>
      <c r="N124" s="806"/>
      <c r="O124" s="806"/>
      <c r="P124" s="978"/>
      <c r="Q124" s="979"/>
      <c r="R124" s="979"/>
      <c r="S124" s="980"/>
      <c r="T124" s="806"/>
      <c r="U124" s="806"/>
    </row>
    <row r="125" spans="1:22" ht="12.75" customHeight="1">
      <c r="A125" s="560" t="s">
        <v>164</v>
      </c>
      <c r="B125" s="113">
        <v>43922</v>
      </c>
      <c r="C125" s="563">
        <v>1</v>
      </c>
      <c r="D125" s="113">
        <v>44032</v>
      </c>
      <c r="E125" s="266">
        <v>-25960</v>
      </c>
      <c r="F125" s="158">
        <f t="shared" si="0"/>
        <v>-25960</v>
      </c>
      <c r="G125" s="267">
        <v>-19960</v>
      </c>
      <c r="H125" s="267">
        <v>-4977</v>
      </c>
      <c r="I125" s="267">
        <v>-815</v>
      </c>
      <c r="J125" s="267">
        <v>-208</v>
      </c>
      <c r="K125" s="733"/>
      <c r="L125" s="806"/>
      <c r="M125" s="806"/>
      <c r="N125" s="806"/>
      <c r="O125" s="806"/>
      <c r="P125" s="981"/>
      <c r="Q125" s="982"/>
      <c r="R125" s="982"/>
      <c r="S125" s="983"/>
      <c r="T125" s="806"/>
      <c r="U125" s="806"/>
    </row>
    <row r="126" spans="1:22" ht="12.75" customHeight="1">
      <c r="A126" s="560" t="s">
        <v>163</v>
      </c>
      <c r="B126" s="113">
        <v>44002</v>
      </c>
      <c r="C126" s="129">
        <v>0</v>
      </c>
      <c r="D126" s="113">
        <v>44032</v>
      </c>
      <c r="E126" s="266">
        <v>13741</v>
      </c>
      <c r="F126" s="158">
        <f t="shared" si="0"/>
        <v>13741</v>
      </c>
      <c r="G126" s="267">
        <v>10564</v>
      </c>
      <c r="H126" s="267">
        <v>2635</v>
      </c>
      <c r="I126" s="267">
        <v>432</v>
      </c>
      <c r="J126" s="267">
        <v>110</v>
      </c>
      <c r="K126" s="733"/>
      <c r="L126" s="806"/>
      <c r="M126" s="806"/>
      <c r="N126" s="806"/>
      <c r="O126" s="806"/>
      <c r="P126" s="806"/>
      <c r="Q126" s="806"/>
      <c r="R126" s="807"/>
      <c r="S126" s="800"/>
      <c r="T126" s="806"/>
      <c r="U126" s="806"/>
    </row>
    <row r="127" spans="1:22" ht="12.75" customHeight="1">
      <c r="A127" s="560" t="s">
        <v>162</v>
      </c>
      <c r="B127" s="113">
        <v>44002</v>
      </c>
      <c r="C127" s="129">
        <v>0</v>
      </c>
      <c r="D127" s="113">
        <v>44032</v>
      </c>
      <c r="E127" s="266">
        <v>34397</v>
      </c>
      <c r="F127" s="158">
        <f t="shared" si="0"/>
        <v>34397</v>
      </c>
      <c r="G127" s="267">
        <v>26445</v>
      </c>
      <c r="H127" s="267">
        <v>6597</v>
      </c>
      <c r="I127" s="267">
        <v>1080</v>
      </c>
      <c r="J127" s="267">
        <v>275</v>
      </c>
      <c r="K127" s="733"/>
      <c r="L127" s="806"/>
      <c r="M127" s="806"/>
      <c r="N127" s="806"/>
      <c r="O127" s="806"/>
      <c r="P127" s="806"/>
      <c r="Q127" s="806"/>
      <c r="R127" s="807"/>
      <c r="S127" s="800"/>
      <c r="T127" s="806"/>
      <c r="U127" s="806"/>
    </row>
    <row r="128" spans="1:22" ht="12.75" customHeight="1">
      <c r="A128" s="560" t="s">
        <v>161</v>
      </c>
      <c r="B128" s="113">
        <v>44002</v>
      </c>
      <c r="C128" s="129">
        <v>0</v>
      </c>
      <c r="D128" s="113">
        <v>44032</v>
      </c>
      <c r="E128" s="266">
        <v>37311</v>
      </c>
      <c r="F128" s="158">
        <f t="shared" si="0"/>
        <v>37311</v>
      </c>
      <c r="G128" s="267">
        <v>28685</v>
      </c>
      <c r="H128" s="267">
        <v>7156</v>
      </c>
      <c r="I128" s="267">
        <v>1172</v>
      </c>
      <c r="J128" s="267">
        <v>298</v>
      </c>
      <c r="K128" s="733"/>
      <c r="L128" s="806"/>
      <c r="M128" s="806"/>
      <c r="N128" s="806"/>
      <c r="O128" s="806"/>
      <c r="P128" s="806"/>
      <c r="Q128" s="806"/>
      <c r="R128" s="807"/>
      <c r="S128" s="800"/>
      <c r="T128" s="806"/>
      <c r="U128" s="806"/>
    </row>
    <row r="129" spans="1:21" ht="12.75" customHeight="1">
      <c r="A129" s="560" t="s">
        <v>161</v>
      </c>
      <c r="B129" s="113">
        <v>43739</v>
      </c>
      <c r="C129" s="563">
        <v>1</v>
      </c>
      <c r="D129" s="113">
        <v>44032</v>
      </c>
      <c r="E129" s="266">
        <v>1190</v>
      </c>
      <c r="F129" s="158">
        <f t="shared" si="0"/>
        <v>1190</v>
      </c>
      <c r="G129" s="267">
        <v>913</v>
      </c>
      <c r="H129" s="267">
        <v>229</v>
      </c>
      <c r="I129" s="267">
        <v>38</v>
      </c>
      <c r="J129" s="267">
        <v>10</v>
      </c>
      <c r="K129" s="733"/>
      <c r="L129" s="806"/>
      <c r="M129" s="806"/>
      <c r="N129" s="806"/>
      <c r="O129" s="806"/>
      <c r="P129" s="806"/>
      <c r="Q129" s="806"/>
      <c r="R129" s="807"/>
      <c r="S129" s="800"/>
      <c r="T129" s="806"/>
      <c r="U129" s="806"/>
    </row>
    <row r="130" spans="1:21" ht="12.75" customHeight="1">
      <c r="A130" s="560" t="s">
        <v>160</v>
      </c>
      <c r="B130" s="113">
        <v>44002</v>
      </c>
      <c r="C130" s="129">
        <v>0</v>
      </c>
      <c r="D130" s="113">
        <v>44032</v>
      </c>
      <c r="E130" s="266">
        <v>140143</v>
      </c>
      <c r="F130" s="158">
        <f t="shared" si="0"/>
        <v>140143</v>
      </c>
      <c r="G130" s="267">
        <v>107750</v>
      </c>
      <c r="H130" s="267">
        <v>26872</v>
      </c>
      <c r="I130" s="267">
        <v>4400</v>
      </c>
      <c r="J130" s="267">
        <v>1121</v>
      </c>
      <c r="K130" s="733"/>
      <c r="L130" s="806"/>
      <c r="M130" s="806"/>
      <c r="N130" s="806"/>
      <c r="O130" s="806"/>
      <c r="P130" s="806"/>
      <c r="Q130" s="806"/>
      <c r="R130" s="807"/>
      <c r="S130" s="800"/>
      <c r="T130" s="806"/>
      <c r="U130" s="806"/>
    </row>
    <row r="131" spans="1:21" ht="12.75" customHeight="1">
      <c r="A131" s="560" t="s">
        <v>159</v>
      </c>
      <c r="B131" s="113">
        <v>44002</v>
      </c>
      <c r="C131" s="129">
        <v>0</v>
      </c>
      <c r="D131" s="113">
        <v>44032</v>
      </c>
      <c r="E131" s="266">
        <v>347</v>
      </c>
      <c r="F131" s="158">
        <f t="shared" si="0"/>
        <v>347</v>
      </c>
      <c r="G131" s="267">
        <v>267</v>
      </c>
      <c r="H131" s="267">
        <v>66</v>
      </c>
      <c r="I131" s="267">
        <v>11</v>
      </c>
      <c r="J131" s="267">
        <v>3</v>
      </c>
      <c r="K131" s="733"/>
      <c r="L131" s="806"/>
      <c r="M131" s="806"/>
      <c r="N131" s="806"/>
      <c r="O131" s="806"/>
      <c r="P131" s="806"/>
      <c r="Q131" s="806"/>
      <c r="R131" s="807"/>
      <c r="S131" s="800"/>
      <c r="T131" s="806"/>
      <c r="U131" s="806"/>
    </row>
    <row r="132" spans="1:21" ht="12.75" customHeight="1">
      <c r="A132" s="560" t="s">
        <v>157</v>
      </c>
      <c r="B132" s="113">
        <v>44002</v>
      </c>
      <c r="C132" s="129">
        <v>0</v>
      </c>
      <c r="D132" s="113">
        <v>44032</v>
      </c>
      <c r="E132" s="266">
        <v>247</v>
      </c>
      <c r="F132" s="158">
        <f t="shared" si="0"/>
        <v>247</v>
      </c>
      <c r="G132" s="267">
        <v>190</v>
      </c>
      <c r="H132" s="267">
        <v>47</v>
      </c>
      <c r="I132" s="267">
        <v>8</v>
      </c>
      <c r="J132" s="267">
        <v>2</v>
      </c>
      <c r="K132" s="733"/>
      <c r="L132" s="806"/>
      <c r="M132" s="806"/>
      <c r="N132" s="806"/>
      <c r="O132" s="806"/>
      <c r="P132" s="806"/>
      <c r="Q132" s="806"/>
      <c r="R132" s="807"/>
      <c r="S132" s="800"/>
      <c r="T132" s="806"/>
      <c r="U132" s="806"/>
    </row>
    <row r="133" spans="1:21" ht="12.75" customHeight="1">
      <c r="A133" s="560" t="s">
        <v>6</v>
      </c>
      <c r="B133" s="113">
        <v>44002</v>
      </c>
      <c r="C133" s="129">
        <v>0</v>
      </c>
      <c r="D133" s="113">
        <v>44032</v>
      </c>
      <c r="E133" s="267">
        <v>17670</v>
      </c>
      <c r="F133" s="164">
        <f t="shared" si="0"/>
        <v>17670</v>
      </c>
      <c r="G133" s="267">
        <v>13585</v>
      </c>
      <c r="H133" s="267">
        <v>3389</v>
      </c>
      <c r="I133" s="267">
        <v>555</v>
      </c>
      <c r="J133" s="267">
        <v>141</v>
      </c>
      <c r="K133" s="733"/>
      <c r="L133" s="806"/>
      <c r="M133" s="806"/>
      <c r="N133" s="806"/>
      <c r="O133" s="806"/>
      <c r="P133" s="806"/>
      <c r="Q133" s="806"/>
      <c r="R133" s="807"/>
      <c r="S133" s="800"/>
      <c r="T133" s="806"/>
      <c r="U133" s="806"/>
    </row>
    <row r="134" spans="1:21" ht="12.75" customHeight="1">
      <c r="A134" s="560" t="s">
        <v>155</v>
      </c>
      <c r="B134" s="113">
        <v>44002</v>
      </c>
      <c r="C134" s="129">
        <v>0</v>
      </c>
      <c r="D134" s="113">
        <v>44032</v>
      </c>
      <c r="E134" s="164">
        <v>114284</v>
      </c>
      <c r="F134" s="164">
        <f t="shared" si="0"/>
        <v>114284</v>
      </c>
      <c r="G134" s="164">
        <v>87866</v>
      </c>
      <c r="H134" s="164">
        <v>21916</v>
      </c>
      <c r="I134" s="164">
        <v>3588</v>
      </c>
      <c r="J134" s="164">
        <v>914</v>
      </c>
      <c r="K134" s="244"/>
      <c r="L134" s="806"/>
      <c r="M134" s="806"/>
      <c r="N134" s="806"/>
      <c r="O134" s="806"/>
      <c r="P134" s="806"/>
      <c r="Q134" s="806"/>
      <c r="R134" s="807"/>
      <c r="S134" s="800"/>
      <c r="T134" s="806"/>
      <c r="U134" s="806"/>
    </row>
    <row r="135" spans="1:21" ht="12.75" customHeight="1">
      <c r="A135" s="758" t="s">
        <v>154</v>
      </c>
      <c r="B135" s="113">
        <v>44002</v>
      </c>
      <c r="C135" s="129">
        <v>0</v>
      </c>
      <c r="D135" s="113">
        <v>44032</v>
      </c>
      <c r="E135" s="164">
        <v>21471</v>
      </c>
      <c r="F135" s="164">
        <f t="shared" si="0"/>
        <v>21471</v>
      </c>
      <c r="G135" s="164">
        <v>16508</v>
      </c>
      <c r="H135" s="164">
        <v>4117</v>
      </c>
      <c r="I135" s="164">
        <v>674</v>
      </c>
      <c r="J135" s="164">
        <v>172</v>
      </c>
      <c r="K135" s="244"/>
      <c r="L135" s="806"/>
      <c r="M135" s="806"/>
      <c r="N135" s="806"/>
      <c r="O135" s="806"/>
      <c r="P135" s="806"/>
      <c r="Q135" s="806"/>
      <c r="R135" s="807"/>
      <c r="S135" s="800"/>
      <c r="T135" s="806"/>
      <c r="U135" s="806"/>
    </row>
    <row r="136" spans="1:21" ht="12.75" customHeight="1">
      <c r="A136" s="564" t="s">
        <v>1</v>
      </c>
      <c r="B136" s="113">
        <v>44002</v>
      </c>
      <c r="C136" s="129">
        <v>0</v>
      </c>
      <c r="D136" s="113">
        <v>44032</v>
      </c>
      <c r="E136" s="164">
        <v>6678</v>
      </c>
      <c r="F136" s="164">
        <f t="shared" si="0"/>
        <v>6678</v>
      </c>
      <c r="G136" s="164">
        <v>5134</v>
      </c>
      <c r="H136" s="164">
        <v>1281</v>
      </c>
      <c r="I136" s="164">
        <v>210</v>
      </c>
      <c r="J136" s="164">
        <v>53</v>
      </c>
      <c r="K136" s="244"/>
      <c r="L136" s="806"/>
      <c r="M136" s="806"/>
      <c r="N136" s="806"/>
      <c r="O136" s="806"/>
      <c r="P136" s="806"/>
      <c r="Q136" s="806"/>
      <c r="R136" s="807"/>
      <c r="S136" s="800"/>
      <c r="T136" s="806"/>
      <c r="U136" s="806"/>
    </row>
    <row r="137" spans="1:21" ht="3.65" customHeight="1">
      <c r="A137" s="248"/>
      <c r="B137" s="249"/>
      <c r="C137" s="253"/>
      <c r="D137" s="250"/>
      <c r="E137" s="251"/>
      <c r="F137" s="251"/>
      <c r="G137" s="251"/>
      <c r="H137" s="251"/>
      <c r="I137" s="251"/>
      <c r="J137" s="252"/>
      <c r="K137" s="909"/>
      <c r="L137" s="249"/>
      <c r="M137" s="249"/>
      <c r="N137" s="249"/>
      <c r="O137" s="249"/>
      <c r="P137" s="249"/>
      <c r="Q137" s="249"/>
      <c r="R137" s="249"/>
      <c r="S137" s="249"/>
      <c r="T137" s="249"/>
      <c r="U137" s="249"/>
    </row>
    <row r="138" spans="1:21">
      <c r="A138" s="124" t="s">
        <v>59</v>
      </c>
      <c r="B138" s="124"/>
      <c r="C138" s="19"/>
      <c r="D138" s="114">
        <v>43971</v>
      </c>
      <c r="E138" s="19">
        <f t="shared" ref="E138:J139" si="1">SUMIF($D$4:$D$136,$D138,E$4:E$136)</f>
        <v>18537816</v>
      </c>
      <c r="F138" s="19">
        <f t="shared" si="1"/>
        <v>18537816</v>
      </c>
      <c r="G138" s="19">
        <f t="shared" si="1"/>
        <v>14185225</v>
      </c>
      <c r="H138" s="19">
        <f t="shared" si="1"/>
        <v>3414482</v>
      </c>
      <c r="I138" s="19">
        <f t="shared" si="1"/>
        <v>661412</v>
      </c>
      <c r="J138" s="19">
        <f t="shared" si="1"/>
        <v>276697</v>
      </c>
      <c r="K138" s="244"/>
      <c r="L138" s="124"/>
      <c r="M138" s="124"/>
      <c r="N138" s="124"/>
      <c r="O138" s="124"/>
      <c r="P138" s="124"/>
      <c r="Q138" s="124"/>
      <c r="R138" s="124"/>
      <c r="S138" s="124"/>
      <c r="T138" s="124"/>
      <c r="U138" s="124"/>
    </row>
    <row r="139" spans="1:21">
      <c r="A139" s="124" t="s">
        <v>59</v>
      </c>
      <c r="B139" s="155"/>
      <c r="C139" s="19"/>
      <c r="D139" s="114">
        <v>44002</v>
      </c>
      <c r="E139" s="19">
        <f t="shared" si="1"/>
        <v>11255950</v>
      </c>
      <c r="F139" s="19">
        <f t="shared" si="1"/>
        <v>11255950</v>
      </c>
      <c r="G139" s="19">
        <f t="shared" si="1"/>
        <v>8575905</v>
      </c>
      <c r="H139" s="19">
        <f t="shared" si="1"/>
        <v>2018419</v>
      </c>
      <c r="I139" s="19">
        <f t="shared" si="1"/>
        <v>445503</v>
      </c>
      <c r="J139" s="19">
        <f t="shared" si="1"/>
        <v>216123</v>
      </c>
      <c r="K139" s="244"/>
      <c r="L139" s="155"/>
      <c r="M139" s="155"/>
      <c r="N139" s="155"/>
      <c r="O139" s="155"/>
      <c r="P139" s="155"/>
      <c r="Q139" s="155"/>
      <c r="R139" s="155"/>
      <c r="S139" s="155"/>
      <c r="T139" s="155"/>
      <c r="U139" s="155"/>
    </row>
    <row r="140" spans="1:21" ht="13" thickBot="1">
      <c r="A140" s="337" t="s">
        <v>59</v>
      </c>
      <c r="B140" s="338"/>
      <c r="C140" s="116"/>
      <c r="D140" s="121">
        <v>44032</v>
      </c>
      <c r="E140" s="341">
        <f>SUMIF($D4:$D136,$D140,$E4:$E136)</f>
        <v>19472874</v>
      </c>
      <c r="F140" s="341">
        <f>SUMIF($D4:$D136,$D140,$F4:$F136)</f>
        <v>19472874</v>
      </c>
      <c r="G140" s="341">
        <f>SUMIF($D4:$D136,$D140,$G4:$G136)</f>
        <v>14790986</v>
      </c>
      <c r="H140" s="341">
        <f>SUMIF($D4:$D136,$D140,$H4:$H136)</f>
        <v>3593231</v>
      </c>
      <c r="I140" s="341">
        <f>SUMIF($D4:$D136,$D140,$I4:$I136)</f>
        <v>830069</v>
      </c>
      <c r="J140" s="352">
        <f>SUMIF($D4:$D136,$D140,$J4:$J136)</f>
        <v>258588</v>
      </c>
      <c r="K140" s="244"/>
      <c r="L140" s="338"/>
      <c r="M140" s="338"/>
      <c r="N140" s="338"/>
      <c r="O140" s="338"/>
      <c r="P140" s="338"/>
      <c r="Q140" s="338"/>
      <c r="R140" s="338"/>
      <c r="S140" s="338"/>
      <c r="T140" s="338"/>
      <c r="U140" s="338"/>
    </row>
    <row r="141" spans="1:21" ht="13" thickBot="1">
      <c r="A141" s="118" t="s">
        <v>58</v>
      </c>
      <c r="B141" s="117"/>
      <c r="C141" s="116"/>
      <c r="D141" s="117"/>
      <c r="E141" s="116">
        <f t="shared" ref="E141:J141" si="2">SUM(E138:E140)</f>
        <v>49266640</v>
      </c>
      <c r="F141" s="116">
        <f t="shared" si="2"/>
        <v>49266640</v>
      </c>
      <c r="G141" s="116">
        <f t="shared" si="2"/>
        <v>37552116</v>
      </c>
      <c r="H141" s="116">
        <f t="shared" si="2"/>
        <v>9026132</v>
      </c>
      <c r="I141" s="116">
        <f t="shared" si="2"/>
        <v>1936984</v>
      </c>
      <c r="J141" s="116">
        <f t="shared" si="2"/>
        <v>751408</v>
      </c>
      <c r="K141" s="244"/>
      <c r="L141" s="117"/>
      <c r="M141" s="117"/>
      <c r="N141" s="117"/>
      <c r="O141" s="117"/>
      <c r="P141" s="117"/>
      <c r="Q141" s="117"/>
      <c r="R141" s="117"/>
      <c r="S141" s="117"/>
      <c r="T141" s="117"/>
      <c r="U141" s="117"/>
    </row>
    <row r="142" spans="1:21">
      <c r="A142" s="22" t="s">
        <v>57</v>
      </c>
      <c r="B142" s="114"/>
      <c r="C142" s="114"/>
      <c r="D142" s="114"/>
      <c r="E142" s="19"/>
      <c r="F142" s="19"/>
      <c r="G142" s="19">
        <f>'SFY 1920 CalSAWS CAP'!E138-SUM(G138:G140)</f>
        <v>96</v>
      </c>
      <c r="H142" s="19">
        <f>'SFY 1920 CalSAWS CAP'!F138-SUM(H138:H140)</f>
        <v>-33</v>
      </c>
      <c r="I142" s="19">
        <f>'SFY 1920 CalSAWS CAP'!G138-SUM(I138:I140)</f>
        <v>-67</v>
      </c>
      <c r="J142" s="19">
        <f>'SFY 1920 CalSAWS CAP'!H138-SUM(J138:J140)</f>
        <v>4</v>
      </c>
      <c r="K142" s="733"/>
      <c r="L142" s="114"/>
      <c r="M142" s="114"/>
      <c r="N142" s="114"/>
      <c r="O142" s="114"/>
      <c r="P142" s="114"/>
      <c r="Q142" s="114"/>
      <c r="R142" s="114"/>
      <c r="S142" s="114"/>
      <c r="T142" s="114"/>
      <c r="U142" s="114"/>
    </row>
    <row r="143" spans="1:21" ht="3" customHeight="1">
      <c r="A143" s="111"/>
      <c r="B143" s="110"/>
      <c r="C143" s="107"/>
      <c r="D143" s="107"/>
      <c r="E143" s="107"/>
      <c r="F143" s="107"/>
      <c r="G143" s="107"/>
      <c r="H143" s="107"/>
      <c r="I143" s="107"/>
      <c r="J143" s="109"/>
      <c r="K143" s="244"/>
      <c r="L143" s="110"/>
      <c r="M143" s="110"/>
      <c r="N143" s="110"/>
      <c r="O143" s="110"/>
      <c r="P143" s="110"/>
      <c r="Q143" s="110"/>
      <c r="R143" s="110"/>
      <c r="S143" s="110"/>
      <c r="T143" s="110"/>
      <c r="U143" s="110"/>
    </row>
    <row r="144" spans="1:21" ht="13">
      <c r="A144" s="106" t="s">
        <v>48</v>
      </c>
      <c r="B144" s="105" t="s">
        <v>303</v>
      </c>
      <c r="C144" s="62"/>
      <c r="D144" s="62"/>
      <c r="E144" s="18">
        <f t="shared" ref="E144:J144" si="3">SUM(E141:E142)</f>
        <v>49266640</v>
      </c>
      <c r="F144" s="18">
        <f>SUM(G144:J144)</f>
        <v>49266640</v>
      </c>
      <c r="G144" s="18">
        <f t="shared" si="3"/>
        <v>37552212</v>
      </c>
      <c r="H144" s="18">
        <f t="shared" si="3"/>
        <v>9026099</v>
      </c>
      <c r="I144" s="18">
        <f t="shared" si="3"/>
        <v>1936917</v>
      </c>
      <c r="J144" s="18">
        <f t="shared" si="3"/>
        <v>751412</v>
      </c>
      <c r="K144" s="244"/>
      <c r="L144" s="911">
        <f>'SFY 1920 CalSAWS CAP'!K12</f>
        <v>124147</v>
      </c>
      <c r="M144" s="911">
        <f>'SFY 1920 CalSAWS CAP'!K13</f>
        <v>110816</v>
      </c>
      <c r="N144" s="911">
        <f>'SFY 1920 CalSAWS CAP'!K14</f>
        <v>997</v>
      </c>
      <c r="O144" s="911">
        <f>'SFY 1920 CalSAWS CAP'!K15</f>
        <v>115912</v>
      </c>
      <c r="P144" s="911">
        <f>'SFY 1920 CalSAWS CAP'!K16</f>
        <v>13589</v>
      </c>
      <c r="Q144" s="911">
        <f>'SFY 1920 CalSAWS CAP'!K17</f>
        <v>37</v>
      </c>
      <c r="R144" s="911">
        <f>'SFY 1920 CalSAWS CAP'!K18</f>
        <v>332</v>
      </c>
      <c r="S144" s="911">
        <f>'SFY 1920 CalSAWS CAP'!K19</f>
        <v>480</v>
      </c>
      <c r="T144" s="911">
        <f>'SFY 1920 CalSAWS CAP'!K21+'SFY 1920 CalSAWS CAP'!K43+'SFY 1920 CalSAWS CAP'!K63+'SFY 1920 CalSAWS CAP'!K94</f>
        <v>385102</v>
      </c>
      <c r="U144" s="911">
        <f>SUM(L144:T144)</f>
        <v>751412</v>
      </c>
    </row>
    <row r="145" spans="2:21">
      <c r="B145" s="98"/>
      <c r="C145" s="98"/>
      <c r="D145" s="98"/>
      <c r="E145" s="762"/>
      <c r="F145" s="736"/>
      <c r="G145" s="736"/>
      <c r="H145" s="98"/>
      <c r="I145" s="834"/>
      <c r="J145" s="835"/>
      <c r="K145" s="100"/>
    </row>
    <row r="146" spans="2:21">
      <c r="B146" s="98"/>
      <c r="C146" s="98"/>
      <c r="D146" s="98"/>
      <c r="E146" s="762"/>
      <c r="F146" s="736"/>
      <c r="G146" s="736"/>
      <c r="H146" s="103"/>
      <c r="I146" s="836" t="s">
        <v>300</v>
      </c>
      <c r="J146" s="837">
        <f>'SFY 1920 CalSAWS CAP'!K134</f>
        <v>751412</v>
      </c>
      <c r="K146" s="100"/>
      <c r="U146" s="864">
        <f>J144</f>
        <v>751412</v>
      </c>
    </row>
    <row r="147" spans="2:21">
      <c r="B147" s="98"/>
      <c r="C147" s="98"/>
      <c r="D147" s="98"/>
      <c r="E147" s="903"/>
      <c r="F147" s="736"/>
      <c r="G147" s="736"/>
      <c r="H147" s="736"/>
      <c r="I147" s="736"/>
      <c r="J147" s="736"/>
      <c r="K147" s="98"/>
      <c r="U147" s="910">
        <f>U144-U146</f>
        <v>0</v>
      </c>
    </row>
    <row r="148" spans="2:21">
      <c r="B148" s="98"/>
      <c r="C148" s="98"/>
      <c r="D148" s="98"/>
      <c r="E148" s="13"/>
      <c r="F148" s="736"/>
      <c r="G148" s="736"/>
      <c r="H148" s="98"/>
      <c r="I148" s="834"/>
      <c r="J148" s="834"/>
      <c r="K148" s="98"/>
    </row>
    <row r="149" spans="2:21">
      <c r="B149" s="98"/>
      <c r="C149" s="98"/>
      <c r="D149" s="98"/>
      <c r="E149" s="736"/>
      <c r="F149" s="736"/>
      <c r="G149" s="309"/>
      <c r="H149" s="100"/>
      <c r="I149" s="103"/>
      <c r="J149" s="98"/>
      <c r="K149" s="98"/>
    </row>
    <row r="150" spans="2:21">
      <c r="F150" s="564"/>
    </row>
    <row r="151" spans="2:21">
      <c r="E151" s="13"/>
    </row>
    <row r="157" spans="2:21">
      <c r="H157" s="273"/>
    </row>
  </sheetData>
  <mergeCells count="4">
    <mergeCell ref="P114:S125"/>
    <mergeCell ref="A1:J1"/>
    <mergeCell ref="P18:S29"/>
    <mergeCell ref="P63:S74"/>
  </mergeCells>
  <printOptions horizontalCentered="1"/>
  <pageMargins left="0.7" right="0.7" top="0.75" bottom="0.75" header="0.3" footer="0.3"/>
  <pageSetup scale="80" orientation="landscape" r:id="rId1"/>
  <headerFooter>
    <oddHeader>&amp;CCalSAWS Project 
County Claim Summary</oddHeader>
    <oddFooter>&amp;Cpage &amp;P of &amp;N</oddFooter>
  </headerFooter>
  <rowBreaks count="2" manualBreakCount="2">
    <brk id="53" max="9" man="1"/>
    <brk id="93" max="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A1:U282"/>
  <sheetViews>
    <sheetView showGridLines="0" zoomScale="80" zoomScaleNormal="80" zoomScaleSheetLayoutView="80" zoomScalePageLayoutView="90" workbookViewId="0">
      <selection activeCell="C33" sqref="C33"/>
    </sheetView>
  </sheetViews>
  <sheetFormatPr defaultColWidth="9.1796875" defaultRowHeight="15.5"/>
  <cols>
    <col min="1" max="1" width="40.1796875" style="498" customWidth="1"/>
    <col min="2" max="2" width="18" style="498" customWidth="1"/>
    <col min="3" max="3" width="14.54296875" style="498" customWidth="1"/>
    <col min="4" max="4" width="14.1796875" style="498" customWidth="1"/>
    <col min="5" max="5" width="15.1796875" style="498" customWidth="1"/>
    <col min="6" max="9" width="14.1796875" style="498" customWidth="1"/>
    <col min="10" max="10" width="11.453125" style="351" bestFit="1" customWidth="1"/>
    <col min="11" max="11" width="14.453125" style="351" hidden="1" customWidth="1"/>
    <col min="12" max="12" width="15.7265625" style="351" hidden="1" customWidth="1"/>
    <col min="13" max="13" width="0" style="351" hidden="1" customWidth="1"/>
    <col min="14" max="16384" width="9.1796875" style="351"/>
  </cols>
  <sheetData>
    <row r="1" spans="1:21" s="346" customFormat="1">
      <c r="A1" s="497"/>
      <c r="B1" s="497"/>
      <c r="C1" s="497"/>
      <c r="D1" s="497"/>
      <c r="E1" s="497"/>
      <c r="F1" s="497"/>
      <c r="G1" s="497"/>
      <c r="H1" s="497"/>
      <c r="I1" s="498"/>
      <c r="K1" s="890"/>
      <c r="L1" s="890"/>
    </row>
    <row r="2" spans="1:21" s="346" customFormat="1">
      <c r="A2" s="499" t="s">
        <v>137</v>
      </c>
      <c r="B2" s="986">
        <v>0</v>
      </c>
      <c r="C2" s="986"/>
      <c r="D2" s="497"/>
      <c r="E2" s="497" t="s">
        <v>136</v>
      </c>
      <c r="F2" s="499"/>
      <c r="G2" s="987">
        <v>0</v>
      </c>
      <c r="H2" s="986"/>
      <c r="I2" s="498"/>
      <c r="K2" s="890"/>
      <c r="L2" s="890"/>
    </row>
    <row r="3" spans="1:21" s="346" customFormat="1">
      <c r="A3" s="499"/>
      <c r="B3" s="500"/>
      <c r="C3" s="500"/>
      <c r="D3" s="497"/>
      <c r="E3" s="497"/>
      <c r="F3" s="499"/>
      <c r="G3" s="501"/>
      <c r="H3" s="500"/>
      <c r="I3" s="498"/>
      <c r="K3" s="890"/>
      <c r="L3" s="890"/>
    </row>
    <row r="4" spans="1:21" s="346" customFormat="1">
      <c r="A4" s="499"/>
      <c r="B4" s="500"/>
      <c r="C4" s="500"/>
      <c r="D4" s="502"/>
      <c r="E4" s="503" t="s">
        <v>207</v>
      </c>
      <c r="F4" s="504" t="s">
        <v>134</v>
      </c>
      <c r="G4" s="988">
        <v>0</v>
      </c>
      <c r="H4" s="988"/>
      <c r="I4" s="498"/>
      <c r="K4" s="890"/>
      <c r="L4" s="890"/>
    </row>
    <row r="5" spans="1:21" s="346" customFormat="1">
      <c r="A5" s="499"/>
      <c r="B5" s="500"/>
      <c r="C5" s="500"/>
      <c r="D5" s="502"/>
      <c r="E5" s="503"/>
      <c r="F5" s="504"/>
      <c r="G5" s="505"/>
      <c r="H5" s="505"/>
      <c r="I5" s="498"/>
      <c r="K5" s="890"/>
      <c r="L5" s="890"/>
    </row>
    <row r="6" spans="1:21" s="346" customFormat="1" ht="16" thickBot="1">
      <c r="A6" s="506"/>
      <c r="B6" s="506"/>
      <c r="C6" s="506"/>
      <c r="D6" s="506"/>
      <c r="E6" s="506"/>
      <c r="F6" s="506"/>
      <c r="G6" s="506"/>
      <c r="H6" s="506"/>
      <c r="I6" s="498"/>
      <c r="K6" s="890"/>
      <c r="L6" s="890"/>
    </row>
    <row r="7" spans="1:21" s="346" customFormat="1">
      <c r="A7" s="989" t="s">
        <v>175</v>
      </c>
      <c r="B7" s="990"/>
      <c r="C7" s="990"/>
      <c r="D7" s="990"/>
      <c r="E7" s="990"/>
      <c r="F7" s="990"/>
      <c r="G7" s="990"/>
      <c r="H7" s="990"/>
      <c r="I7" s="991"/>
      <c r="K7" s="875"/>
      <c r="L7" s="875"/>
      <c r="M7" s="875"/>
      <c r="N7" s="347"/>
      <c r="O7" s="347"/>
      <c r="P7" s="347"/>
      <c r="Q7" s="347"/>
      <c r="R7" s="347"/>
      <c r="S7" s="347"/>
      <c r="T7" s="347"/>
      <c r="U7" s="347"/>
    </row>
    <row r="8" spans="1:21" s="346" customFormat="1" ht="16" thickBot="1">
      <c r="A8" s="992" t="s">
        <v>203</v>
      </c>
      <c r="B8" s="993"/>
      <c r="C8" s="993"/>
      <c r="D8" s="993"/>
      <c r="E8" s="993"/>
      <c r="F8" s="993"/>
      <c r="G8" s="993"/>
      <c r="H8" s="993"/>
      <c r="I8" s="994"/>
      <c r="K8" s="886"/>
      <c r="L8" s="875"/>
      <c r="M8" s="875"/>
      <c r="N8" s="347"/>
      <c r="O8" s="347"/>
      <c r="P8" s="347"/>
      <c r="Q8" s="347"/>
      <c r="R8" s="347"/>
      <c r="S8" s="347"/>
      <c r="T8" s="347"/>
      <c r="U8" s="347"/>
    </row>
    <row r="9" spans="1:21" s="346" customFormat="1">
      <c r="A9" s="507"/>
      <c r="B9" s="507"/>
      <c r="C9" s="508"/>
      <c r="D9" s="508" t="s">
        <v>100</v>
      </c>
      <c r="E9" s="508"/>
      <c r="F9" s="508" t="s">
        <v>99</v>
      </c>
      <c r="G9" s="508" t="s">
        <v>99</v>
      </c>
      <c r="H9" s="508" t="s">
        <v>98</v>
      </c>
      <c r="I9" s="508"/>
      <c r="K9" s="984" t="s">
        <v>298</v>
      </c>
      <c r="L9" s="984" t="s">
        <v>299</v>
      </c>
      <c r="M9" s="875"/>
      <c r="N9" s="347"/>
      <c r="O9" s="347"/>
      <c r="P9" s="347"/>
      <c r="Q9" s="347"/>
      <c r="R9" s="347"/>
      <c r="S9" s="347"/>
      <c r="T9" s="347"/>
      <c r="U9" s="347"/>
    </row>
    <row r="10" spans="1:21" s="346" customFormat="1">
      <c r="A10" s="507"/>
      <c r="B10" s="507" t="s">
        <v>93</v>
      </c>
      <c r="C10" s="508" t="s">
        <v>93</v>
      </c>
      <c r="D10" s="508" t="s">
        <v>97</v>
      </c>
      <c r="E10" s="508" t="s">
        <v>96</v>
      </c>
      <c r="F10" s="508" t="s">
        <v>95</v>
      </c>
      <c r="G10" s="508" t="s">
        <v>94</v>
      </c>
      <c r="H10" s="508" t="s">
        <v>44</v>
      </c>
      <c r="I10" s="508" t="s">
        <v>61</v>
      </c>
      <c r="K10" s="984"/>
      <c r="L10" s="984"/>
      <c r="M10" s="875"/>
      <c r="N10" s="347"/>
      <c r="O10" s="347"/>
      <c r="P10" s="347"/>
      <c r="Q10" s="347"/>
      <c r="R10" s="347"/>
      <c r="S10" s="347"/>
      <c r="T10" s="347"/>
      <c r="U10" s="347"/>
    </row>
    <row r="11" spans="1:21" s="346" customFormat="1" ht="16" thickBot="1">
      <c r="A11" s="509" t="s">
        <v>93</v>
      </c>
      <c r="B11" s="509" t="s">
        <v>92</v>
      </c>
      <c r="C11" s="510" t="s">
        <v>91</v>
      </c>
      <c r="D11" s="511" t="s">
        <v>176</v>
      </c>
      <c r="E11" s="510" t="s">
        <v>89</v>
      </c>
      <c r="F11" s="510" t="s">
        <v>89</v>
      </c>
      <c r="G11" s="510" t="s">
        <v>89</v>
      </c>
      <c r="H11" s="510" t="s">
        <v>89</v>
      </c>
      <c r="I11" s="510" t="s">
        <v>89</v>
      </c>
      <c r="K11" s="984"/>
      <c r="L11" s="984"/>
      <c r="M11" s="890"/>
    </row>
    <row r="12" spans="1:21" s="346" customFormat="1">
      <c r="A12" s="512" t="s">
        <v>88</v>
      </c>
      <c r="B12" s="513">
        <v>0.3362</v>
      </c>
      <c r="C12" s="514">
        <f>ROUND(C22*B12,0)</f>
        <v>2482938</v>
      </c>
      <c r="D12" s="515" t="s">
        <v>106</v>
      </c>
      <c r="E12" s="514">
        <f>C12</f>
        <v>2482938</v>
      </c>
      <c r="F12" s="516">
        <v>0</v>
      </c>
      <c r="G12" s="514">
        <v>0</v>
      </c>
      <c r="H12" s="514">
        <v>0</v>
      </c>
      <c r="I12" s="516">
        <v>0</v>
      </c>
      <c r="K12" s="901">
        <f>ROUND(C12*0.05,0)</f>
        <v>124147</v>
      </c>
      <c r="L12" s="891">
        <f>K12/$H$24</f>
        <v>0.29184140745477111</v>
      </c>
      <c r="M12" s="890"/>
    </row>
    <row r="13" spans="1:21" s="346" customFormat="1">
      <c r="A13" s="517" t="s">
        <v>43</v>
      </c>
      <c r="B13" s="518">
        <v>0.30009999999999998</v>
      </c>
      <c r="C13" s="516">
        <f>ROUND(C22*B13,0)</f>
        <v>2216329</v>
      </c>
      <c r="D13" s="515" t="s">
        <v>177</v>
      </c>
      <c r="E13" s="516">
        <f>ROUNDDOWN($C13*0.5,0)</f>
        <v>1108164</v>
      </c>
      <c r="F13" s="516">
        <f>C13-E13-G13-H13</f>
        <v>1108165</v>
      </c>
      <c r="G13" s="516">
        <v>0</v>
      </c>
      <c r="H13" s="516">
        <v>0</v>
      </c>
      <c r="I13" s="516">
        <v>0</v>
      </c>
      <c r="K13" s="901">
        <f t="shared" ref="K13:K20" si="0">ROUND(C13*0.05,0)</f>
        <v>110816</v>
      </c>
      <c r="L13" s="891">
        <f t="shared" ref="L13:L21" si="1">K13/$H$24</f>
        <v>0.26050325346974085</v>
      </c>
      <c r="M13" s="890"/>
    </row>
    <row r="14" spans="1:21" s="346" customFormat="1">
      <c r="A14" s="517" t="s">
        <v>87</v>
      </c>
      <c r="B14" s="518">
        <v>2.7000000000000001E-3</v>
      </c>
      <c r="C14" s="516">
        <f>ROUND(C22*B14,0)</f>
        <v>19940</v>
      </c>
      <c r="D14" s="515" t="s">
        <v>105</v>
      </c>
      <c r="E14" s="516">
        <v>0</v>
      </c>
      <c r="F14" s="516">
        <f>C14</f>
        <v>19940</v>
      </c>
      <c r="G14" s="516">
        <v>0</v>
      </c>
      <c r="H14" s="516">
        <v>0</v>
      </c>
      <c r="I14" s="516">
        <v>0</v>
      </c>
      <c r="K14" s="901">
        <f>ROUNDDOWN(C14*0.05,0)</f>
        <v>997</v>
      </c>
      <c r="L14" s="891">
        <f t="shared" si="1"/>
        <v>2.3437206153383234E-3</v>
      </c>
      <c r="M14" s="890"/>
    </row>
    <row r="15" spans="1:21" s="346" customFormat="1">
      <c r="A15" s="517" t="s">
        <v>86</v>
      </c>
      <c r="B15" s="518">
        <v>0.31390000000000001</v>
      </c>
      <c r="C15" s="516">
        <f>ROUND(C22-C12-C13-C14-C16-C17-C18-C19-C20-C21,0)</f>
        <v>2318245</v>
      </c>
      <c r="D15" s="515" t="s">
        <v>178</v>
      </c>
      <c r="E15" s="516">
        <f>ROUNDDOWN($C15*0.9,0)</f>
        <v>2086420</v>
      </c>
      <c r="F15" s="516">
        <v>0</v>
      </c>
      <c r="G15" s="516">
        <f>C15-E15-F15-H15</f>
        <v>231825</v>
      </c>
      <c r="H15" s="516">
        <v>0</v>
      </c>
      <c r="I15" s="516">
        <v>0</v>
      </c>
      <c r="K15" s="901">
        <f t="shared" si="0"/>
        <v>115912</v>
      </c>
      <c r="L15" s="891">
        <f t="shared" si="1"/>
        <v>0.27248279234212208</v>
      </c>
      <c r="M15" s="890"/>
    </row>
    <row r="16" spans="1:21" s="346" customFormat="1">
      <c r="A16" s="517" t="s">
        <v>42</v>
      </c>
      <c r="B16" s="518">
        <v>3.6799999999999999E-2</v>
      </c>
      <c r="C16" s="516">
        <f>ROUND(C22*B16,0)</f>
        <v>271779</v>
      </c>
      <c r="D16" s="515" t="s">
        <v>105</v>
      </c>
      <c r="E16" s="516">
        <v>0</v>
      </c>
      <c r="F16" s="516">
        <f>C16</f>
        <v>271779</v>
      </c>
      <c r="G16" s="516">
        <v>0</v>
      </c>
      <c r="H16" s="516">
        <v>0</v>
      </c>
      <c r="I16" s="516">
        <v>0</v>
      </c>
      <c r="K16" s="901">
        <f t="shared" si="0"/>
        <v>13589</v>
      </c>
      <c r="L16" s="891">
        <f t="shared" si="1"/>
        <v>3.1944653402038593E-2</v>
      </c>
      <c r="M16" s="890"/>
    </row>
    <row r="17" spans="1:21" s="346" customFormat="1">
      <c r="A17" s="517" t="s">
        <v>85</v>
      </c>
      <c r="B17" s="518">
        <v>1E-4</v>
      </c>
      <c r="C17" s="516">
        <f>ROUND(C22*B17,0)</f>
        <v>739</v>
      </c>
      <c r="D17" s="515" t="s">
        <v>106</v>
      </c>
      <c r="E17" s="516">
        <f>C17</f>
        <v>739</v>
      </c>
      <c r="F17" s="516">
        <v>0</v>
      </c>
      <c r="G17" s="516">
        <f>ROUND($C17*0,0)</f>
        <v>0</v>
      </c>
      <c r="H17" s="516">
        <f>ROUND($C17*0,0)</f>
        <v>0</v>
      </c>
      <c r="I17" s="516">
        <v>0</v>
      </c>
      <c r="K17" s="901">
        <f t="shared" si="0"/>
        <v>37</v>
      </c>
      <c r="L17" s="891">
        <f t="shared" si="1"/>
        <v>8.6978598563207577E-5</v>
      </c>
      <c r="M17" s="890"/>
    </row>
    <row r="18" spans="1:21" s="346" customFormat="1">
      <c r="A18" s="517" t="s">
        <v>84</v>
      </c>
      <c r="B18" s="518">
        <v>8.9999999999999998E-4</v>
      </c>
      <c r="C18" s="516">
        <f>ROUND(C22*B18,0)</f>
        <v>6647</v>
      </c>
      <c r="D18" s="515" t="s">
        <v>105</v>
      </c>
      <c r="E18" s="516">
        <v>0</v>
      </c>
      <c r="F18" s="516">
        <f>C18</f>
        <v>6647</v>
      </c>
      <c r="G18" s="516">
        <v>0</v>
      </c>
      <c r="H18" s="516">
        <v>0</v>
      </c>
      <c r="I18" s="516">
        <v>0</v>
      </c>
      <c r="K18" s="901">
        <f>ROUNDDOWN(C18*0.05,0)</f>
        <v>332</v>
      </c>
      <c r="L18" s="891">
        <f t="shared" si="1"/>
        <v>7.8045661413472746E-4</v>
      </c>
      <c r="M18" s="890"/>
    </row>
    <row r="19" spans="1:21" s="346" customFormat="1">
      <c r="A19" s="517" t="s">
        <v>83</v>
      </c>
      <c r="B19" s="518">
        <v>1.2999999999999999E-3</v>
      </c>
      <c r="C19" s="516">
        <f>ROUND(C22*B19,0)</f>
        <v>9601</v>
      </c>
      <c r="D19" s="515" t="s">
        <v>105</v>
      </c>
      <c r="E19" s="516">
        <v>0</v>
      </c>
      <c r="F19" s="516">
        <f>C19</f>
        <v>9601</v>
      </c>
      <c r="G19" s="516">
        <v>0</v>
      </c>
      <c r="H19" s="516">
        <v>0</v>
      </c>
      <c r="I19" s="516">
        <v>0</v>
      </c>
      <c r="K19" s="901">
        <f t="shared" si="0"/>
        <v>480</v>
      </c>
      <c r="L19" s="891">
        <f t="shared" si="1"/>
        <v>1.1283710083875578E-3</v>
      </c>
      <c r="M19" s="890"/>
    </row>
    <row r="20" spans="1:21" s="346" customFormat="1">
      <c r="A20" s="517" t="s">
        <v>82</v>
      </c>
      <c r="B20" s="518">
        <v>0</v>
      </c>
      <c r="C20" s="516">
        <f>ROUND(C22*B20,0)</f>
        <v>0</v>
      </c>
      <c r="D20" s="515" t="s">
        <v>179</v>
      </c>
      <c r="E20" s="516">
        <v>0</v>
      </c>
      <c r="F20" s="516">
        <v>0</v>
      </c>
      <c r="G20" s="516">
        <f>C20</f>
        <v>0</v>
      </c>
      <c r="H20" s="516">
        <v>0</v>
      </c>
      <c r="I20" s="516">
        <v>0</v>
      </c>
      <c r="K20" s="901">
        <f t="shared" si="0"/>
        <v>0</v>
      </c>
      <c r="L20" s="891">
        <f t="shared" si="1"/>
        <v>0</v>
      </c>
      <c r="M20" s="890"/>
    </row>
    <row r="21" spans="1:21" s="346" customFormat="1" ht="16" thickBot="1">
      <c r="A21" s="519" t="s">
        <v>138</v>
      </c>
      <c r="B21" s="520">
        <v>8.0000000000000002E-3</v>
      </c>
      <c r="C21" s="516">
        <f>ROUND(C22*B21,0)</f>
        <v>59082</v>
      </c>
      <c r="D21" s="521" t="s">
        <v>104</v>
      </c>
      <c r="E21" s="516">
        <v>0</v>
      </c>
      <c r="F21" s="516">
        <v>0</v>
      </c>
      <c r="G21" s="516">
        <v>0</v>
      </c>
      <c r="H21" s="516">
        <f>C21</f>
        <v>59082</v>
      </c>
      <c r="I21" s="516">
        <v>0</v>
      </c>
      <c r="K21" s="901">
        <f>C21</f>
        <v>59082</v>
      </c>
      <c r="L21" s="891">
        <f t="shared" si="1"/>
        <v>0.13888836649490352</v>
      </c>
      <c r="M21" s="890"/>
    </row>
    <row r="22" spans="1:21" s="346" customFormat="1" ht="16" thickBot="1">
      <c r="A22" s="522" t="s">
        <v>103</v>
      </c>
      <c r="B22" s="523">
        <f>SUM(B12:B21)</f>
        <v>1</v>
      </c>
      <c r="C22" s="524">
        <f>2622357+2581581+2181362</f>
        <v>7385300</v>
      </c>
      <c r="D22" s="524"/>
      <c r="E22" s="524">
        <f>SUM(E12:E21)</f>
        <v>5678261</v>
      </c>
      <c r="F22" s="524">
        <f>SUM(F12:F21)</f>
        <v>1416132</v>
      </c>
      <c r="G22" s="524">
        <f>SUM(G12:G21)</f>
        <v>231825</v>
      </c>
      <c r="H22" s="524">
        <f>SUM(H12:H21)</f>
        <v>59082</v>
      </c>
      <c r="I22" s="524">
        <f>SUM(I12:I21)</f>
        <v>0</v>
      </c>
      <c r="K22" s="900">
        <f>SUM(K12:K21)</f>
        <v>425392</v>
      </c>
      <c r="L22" s="867">
        <f>SUM(L12:L21)</f>
        <v>0.99999999999999989</v>
      </c>
      <c r="M22" s="890"/>
    </row>
    <row r="23" spans="1:21" s="346" customFormat="1" ht="16" thickBot="1">
      <c r="A23" s="525" t="s">
        <v>180</v>
      </c>
      <c r="B23" s="526"/>
      <c r="C23" s="527"/>
      <c r="D23" s="528"/>
      <c r="E23" s="529"/>
      <c r="F23" s="524">
        <f>-H23</f>
        <v>-366310</v>
      </c>
      <c r="G23" s="529"/>
      <c r="H23" s="524">
        <f>ROUNDDOWN(SUM(C12:C20)*0.05,0)</f>
        <v>366310</v>
      </c>
      <c r="I23" s="530"/>
      <c r="J23" s="348"/>
      <c r="K23" s="890"/>
      <c r="L23" s="890"/>
      <c r="M23" s="890"/>
    </row>
    <row r="24" spans="1:21" s="346" customFormat="1" ht="16" thickBot="1">
      <c r="A24" s="522" t="s">
        <v>103</v>
      </c>
      <c r="B24" s="531"/>
      <c r="C24" s="530">
        <f>SUM(C22:C23)</f>
        <v>7385300</v>
      </c>
      <c r="D24" s="532"/>
      <c r="E24" s="530">
        <f>SUM(E22:E23)</f>
        <v>5678261</v>
      </c>
      <c r="F24" s="530">
        <f>SUM(F22:F23)</f>
        <v>1049822</v>
      </c>
      <c r="G24" s="530">
        <f>SUM(G22:G23)</f>
        <v>231825</v>
      </c>
      <c r="H24" s="530">
        <f>SUM(H22:H23)</f>
        <v>425392</v>
      </c>
      <c r="I24" s="530">
        <f>SUM(I22:I23)</f>
        <v>0</v>
      </c>
      <c r="J24" s="348"/>
      <c r="K24" s="890"/>
      <c r="L24" s="890"/>
    </row>
    <row r="25" spans="1:21" s="346" customFormat="1" ht="16" thickBot="1">
      <c r="A25" s="525" t="s">
        <v>112</v>
      </c>
      <c r="B25" s="526"/>
      <c r="C25" s="527"/>
      <c r="D25" s="528"/>
      <c r="E25" s="529"/>
      <c r="F25" s="524">
        <f>-H25</f>
        <v>425392</v>
      </c>
      <c r="G25" s="529"/>
      <c r="H25" s="524">
        <f>-SUM(H22:H23)</f>
        <v>-425392</v>
      </c>
      <c r="I25" s="530"/>
      <c r="J25" s="348"/>
      <c r="K25" s="890"/>
      <c r="L25" s="890"/>
    </row>
    <row r="26" spans="1:21" s="346" customFormat="1" ht="16" thickBot="1">
      <c r="A26" s="525" t="s">
        <v>181</v>
      </c>
      <c r="B26" s="526"/>
      <c r="C26" s="524">
        <f>SUM(C24:C25)</f>
        <v>7385300</v>
      </c>
      <c r="D26" s="524"/>
      <c r="E26" s="524">
        <f>SUM(E24:E25)</f>
        <v>5678261</v>
      </c>
      <c r="F26" s="524">
        <f>SUM(F24:F25)</f>
        <v>1475214</v>
      </c>
      <c r="G26" s="524">
        <f>SUM(G24:G25)</f>
        <v>231825</v>
      </c>
      <c r="H26" s="524">
        <f>SUM(H24:H25)</f>
        <v>0</v>
      </c>
      <c r="I26" s="524">
        <f>SUM(I22:I25)</f>
        <v>0</v>
      </c>
      <c r="K26" s="890"/>
      <c r="L26" s="890"/>
    </row>
    <row r="27" spans="1:21" s="346" customFormat="1" ht="16" thickBot="1">
      <c r="A27" s="533" t="s">
        <v>78</v>
      </c>
      <c r="B27" s="534"/>
      <c r="C27" s="535"/>
      <c r="D27" s="536"/>
      <c r="E27" s="537"/>
      <c r="F27" s="985">
        <f>SUM(F26:G26)</f>
        <v>1707039</v>
      </c>
      <c r="G27" s="985"/>
      <c r="H27" s="537"/>
      <c r="I27" s="538"/>
      <c r="K27" s="890"/>
      <c r="L27" s="890"/>
    </row>
    <row r="28" spans="1:21" s="346" customFormat="1" ht="18.649999999999999" customHeight="1" thickBot="1">
      <c r="A28" s="539"/>
      <c r="B28" s="540"/>
      <c r="C28" s="541"/>
      <c r="D28" s="541"/>
      <c r="E28" s="542"/>
      <c r="F28" s="543"/>
      <c r="G28" s="543"/>
      <c r="H28" s="542"/>
      <c r="I28" s="498"/>
      <c r="K28" s="890"/>
      <c r="L28" s="890"/>
    </row>
    <row r="29" spans="1:21" s="346" customFormat="1">
      <c r="A29" s="989" t="s">
        <v>182</v>
      </c>
      <c r="B29" s="990"/>
      <c r="C29" s="990"/>
      <c r="D29" s="990"/>
      <c r="E29" s="990"/>
      <c r="F29" s="990"/>
      <c r="G29" s="990"/>
      <c r="H29" s="990"/>
      <c r="I29" s="991"/>
      <c r="K29" s="875"/>
      <c r="L29" s="875"/>
      <c r="M29" s="347"/>
      <c r="N29" s="347"/>
      <c r="O29" s="347"/>
      <c r="P29" s="347"/>
      <c r="Q29" s="347"/>
      <c r="R29" s="347"/>
      <c r="S29" s="347"/>
      <c r="T29" s="347"/>
      <c r="U29" s="347"/>
    </row>
    <row r="30" spans="1:21" s="346" customFormat="1" ht="16" thickBot="1">
      <c r="A30" s="992" t="s">
        <v>203</v>
      </c>
      <c r="B30" s="993"/>
      <c r="C30" s="993"/>
      <c r="D30" s="993"/>
      <c r="E30" s="993"/>
      <c r="F30" s="993"/>
      <c r="G30" s="993"/>
      <c r="H30" s="993"/>
      <c r="I30" s="994"/>
      <c r="K30" s="886"/>
      <c r="L30" s="875"/>
      <c r="M30" s="347"/>
      <c r="N30" s="347"/>
      <c r="O30" s="347"/>
      <c r="P30" s="347"/>
      <c r="Q30" s="347"/>
      <c r="R30" s="347"/>
      <c r="S30" s="347"/>
      <c r="T30" s="347"/>
      <c r="U30" s="347"/>
    </row>
    <row r="31" spans="1:21" s="346" customFormat="1">
      <c r="A31" s="507"/>
      <c r="B31" s="507"/>
      <c r="C31" s="508"/>
      <c r="D31" s="508" t="s">
        <v>100</v>
      </c>
      <c r="E31" s="508"/>
      <c r="F31" s="508" t="s">
        <v>99</v>
      </c>
      <c r="G31" s="508" t="s">
        <v>99</v>
      </c>
      <c r="H31" s="508" t="s">
        <v>98</v>
      </c>
      <c r="I31" s="508"/>
      <c r="K31" s="875"/>
      <c r="L31" s="875"/>
      <c r="M31" s="347"/>
      <c r="N31" s="347"/>
      <c r="O31" s="347"/>
      <c r="P31" s="347"/>
      <c r="Q31" s="347"/>
      <c r="R31" s="347"/>
      <c r="S31" s="347"/>
      <c r="T31" s="347"/>
      <c r="U31" s="347"/>
    </row>
    <row r="32" spans="1:21" s="346" customFormat="1">
      <c r="A32" s="507"/>
      <c r="B32" s="507" t="s">
        <v>93</v>
      </c>
      <c r="C32" s="508" t="s">
        <v>93</v>
      </c>
      <c r="D32" s="508" t="s">
        <v>97</v>
      </c>
      <c r="E32" s="508" t="s">
        <v>96</v>
      </c>
      <c r="F32" s="508" t="s">
        <v>95</v>
      </c>
      <c r="G32" s="508" t="s">
        <v>94</v>
      </c>
      <c r="H32" s="508" t="s">
        <v>44</v>
      </c>
      <c r="I32" s="508" t="s">
        <v>61</v>
      </c>
      <c r="K32" s="875"/>
      <c r="L32" s="875"/>
      <c r="M32" s="347"/>
      <c r="N32" s="347"/>
      <c r="O32" s="347"/>
      <c r="P32" s="347"/>
      <c r="Q32" s="347"/>
      <c r="R32" s="347"/>
      <c r="S32" s="347"/>
      <c r="T32" s="347"/>
      <c r="U32" s="347"/>
    </row>
    <row r="33" spans="1:12" s="346" customFormat="1" ht="16" thickBot="1">
      <c r="A33" s="509" t="s">
        <v>93</v>
      </c>
      <c r="B33" s="509" t="s">
        <v>92</v>
      </c>
      <c r="C33" s="510" t="s">
        <v>91</v>
      </c>
      <c r="D33" s="511" t="s">
        <v>176</v>
      </c>
      <c r="E33" s="510" t="s">
        <v>89</v>
      </c>
      <c r="F33" s="510" t="s">
        <v>89</v>
      </c>
      <c r="G33" s="510" t="s">
        <v>89</v>
      </c>
      <c r="H33" s="510" t="s">
        <v>89</v>
      </c>
      <c r="I33" s="510" t="s">
        <v>89</v>
      </c>
      <c r="K33" s="890"/>
      <c r="L33" s="890"/>
    </row>
    <row r="34" spans="1:12" s="346" customFormat="1">
      <c r="A34" s="512" t="s">
        <v>88</v>
      </c>
      <c r="B34" s="513">
        <v>0.3362</v>
      </c>
      <c r="C34" s="514">
        <f>ROUND(C44*B34,0)</f>
        <v>13532494</v>
      </c>
      <c r="D34" s="515" t="s">
        <v>106</v>
      </c>
      <c r="E34" s="514">
        <f>C34</f>
        <v>13532494</v>
      </c>
      <c r="F34" s="516">
        <v>0</v>
      </c>
      <c r="G34" s="514">
        <v>0</v>
      </c>
      <c r="H34" s="514">
        <v>0</v>
      </c>
      <c r="I34" s="514">
        <v>0</v>
      </c>
      <c r="K34" s="890"/>
      <c r="L34" s="890"/>
    </row>
    <row r="35" spans="1:12" s="346" customFormat="1">
      <c r="A35" s="517" t="s">
        <v>43</v>
      </c>
      <c r="B35" s="518">
        <v>0.30009999999999998</v>
      </c>
      <c r="C35" s="516">
        <f>ROUND(C44*B35,0)</f>
        <v>12079422</v>
      </c>
      <c r="D35" s="515" t="s">
        <v>177</v>
      </c>
      <c r="E35" s="516">
        <f>ROUNDDOWN($C35*0.5,0)</f>
        <v>6039711</v>
      </c>
      <c r="F35" s="516">
        <f>C35-E35-G35-H35</f>
        <v>6039711</v>
      </c>
      <c r="G35" s="516">
        <v>0</v>
      </c>
      <c r="H35" s="516">
        <v>0</v>
      </c>
      <c r="I35" s="516">
        <v>0</v>
      </c>
      <c r="K35" s="890"/>
      <c r="L35" s="890"/>
    </row>
    <row r="36" spans="1:12" s="346" customFormat="1">
      <c r="A36" s="517" t="s">
        <v>87</v>
      </c>
      <c r="B36" s="518">
        <v>2.7000000000000001E-3</v>
      </c>
      <c r="C36" s="516">
        <f>ROUND(C44*B36,0)</f>
        <v>108679</v>
      </c>
      <c r="D36" s="515" t="s">
        <v>105</v>
      </c>
      <c r="E36" s="516">
        <v>0</v>
      </c>
      <c r="F36" s="516">
        <f>C36</f>
        <v>108679</v>
      </c>
      <c r="G36" s="516">
        <v>0</v>
      </c>
      <c r="H36" s="516">
        <v>0</v>
      </c>
      <c r="I36" s="516">
        <v>0</v>
      </c>
      <c r="K36" s="890"/>
      <c r="L36" s="890"/>
    </row>
    <row r="37" spans="1:12" s="346" customFormat="1">
      <c r="A37" s="517" t="s">
        <v>86</v>
      </c>
      <c r="B37" s="518">
        <v>0.31390000000000001</v>
      </c>
      <c r="C37" s="516">
        <f>ROUND(C44-C34-C35-C36-C38-C39-C40-C41-C42-C43,0)</f>
        <v>12634889</v>
      </c>
      <c r="D37" s="515" t="s">
        <v>178</v>
      </c>
      <c r="E37" s="516">
        <f>ROUNDDOWN($C37*0.9,0)</f>
        <v>11371400</v>
      </c>
      <c r="F37" s="516">
        <v>0</v>
      </c>
      <c r="G37" s="516">
        <f>C37-E37-F37-H37</f>
        <v>1263489</v>
      </c>
      <c r="H37" s="516">
        <v>0</v>
      </c>
      <c r="I37" s="516">
        <v>0</v>
      </c>
      <c r="K37" s="890"/>
      <c r="L37" s="890"/>
    </row>
    <row r="38" spans="1:12" s="346" customFormat="1">
      <c r="A38" s="517" t="s">
        <v>42</v>
      </c>
      <c r="B38" s="518">
        <v>3.6799999999999999E-2</v>
      </c>
      <c r="C38" s="516">
        <f>ROUND(C44*B38,0)</f>
        <v>1481249</v>
      </c>
      <c r="D38" s="515" t="s">
        <v>105</v>
      </c>
      <c r="E38" s="516">
        <v>0</v>
      </c>
      <c r="F38" s="516">
        <f>C38</f>
        <v>1481249</v>
      </c>
      <c r="G38" s="516">
        <v>0</v>
      </c>
      <c r="H38" s="516">
        <v>0</v>
      </c>
      <c r="I38" s="516">
        <v>0</v>
      </c>
      <c r="K38" s="890"/>
      <c r="L38" s="890"/>
    </row>
    <row r="39" spans="1:12" s="346" customFormat="1">
      <c r="A39" s="517" t="s">
        <v>85</v>
      </c>
      <c r="B39" s="518">
        <v>1E-4</v>
      </c>
      <c r="C39" s="516">
        <f>ROUND(C44*B39,0)</f>
        <v>4025</v>
      </c>
      <c r="D39" s="515" t="s">
        <v>106</v>
      </c>
      <c r="E39" s="516">
        <f>C39</f>
        <v>4025</v>
      </c>
      <c r="F39" s="516">
        <v>0</v>
      </c>
      <c r="G39" s="516">
        <v>0</v>
      </c>
      <c r="H39" s="516">
        <v>0</v>
      </c>
      <c r="I39" s="516">
        <v>0</v>
      </c>
      <c r="K39" s="890"/>
      <c r="L39" s="890"/>
    </row>
    <row r="40" spans="1:12" s="346" customFormat="1">
      <c r="A40" s="517" t="s">
        <v>84</v>
      </c>
      <c r="B40" s="518">
        <v>8.9999999999999998E-4</v>
      </c>
      <c r="C40" s="516">
        <f>ROUND(C44*B40,0)</f>
        <v>36226</v>
      </c>
      <c r="D40" s="515" t="s">
        <v>105</v>
      </c>
      <c r="E40" s="516">
        <v>0</v>
      </c>
      <c r="F40" s="516">
        <f>C40</f>
        <v>36226</v>
      </c>
      <c r="G40" s="516">
        <v>0</v>
      </c>
      <c r="H40" s="516">
        <v>0</v>
      </c>
      <c r="I40" s="516">
        <v>0</v>
      </c>
      <c r="K40" s="890"/>
      <c r="L40" s="890"/>
    </row>
    <row r="41" spans="1:12" s="346" customFormat="1">
      <c r="A41" s="517" t="s">
        <v>83</v>
      </c>
      <c r="B41" s="518">
        <v>1.2999999999999999E-3</v>
      </c>
      <c r="C41" s="516">
        <f>ROUND(C44*B41,0)</f>
        <v>52327</v>
      </c>
      <c r="D41" s="515" t="s">
        <v>105</v>
      </c>
      <c r="E41" s="516">
        <v>0</v>
      </c>
      <c r="F41" s="516">
        <f>C41</f>
        <v>52327</v>
      </c>
      <c r="G41" s="516">
        <v>0</v>
      </c>
      <c r="H41" s="516">
        <v>0</v>
      </c>
      <c r="I41" s="516">
        <v>0</v>
      </c>
      <c r="K41" s="890"/>
      <c r="L41" s="890"/>
    </row>
    <row r="42" spans="1:12" s="346" customFormat="1">
      <c r="A42" s="517" t="s">
        <v>82</v>
      </c>
      <c r="B42" s="518">
        <v>0</v>
      </c>
      <c r="C42" s="516">
        <f>ROUND(C44*B42,0)</f>
        <v>0</v>
      </c>
      <c r="D42" s="515" t="s">
        <v>179</v>
      </c>
      <c r="E42" s="516">
        <f>ROUND($C42*0,0)</f>
        <v>0</v>
      </c>
      <c r="F42" s="516">
        <v>0</v>
      </c>
      <c r="G42" s="516">
        <f>C42</f>
        <v>0</v>
      </c>
      <c r="H42" s="516">
        <v>0</v>
      </c>
      <c r="I42" s="516">
        <v>0</v>
      </c>
      <c r="K42" s="890"/>
      <c r="L42" s="890"/>
    </row>
    <row r="43" spans="1:12" s="346" customFormat="1" ht="16" thickBot="1">
      <c r="A43" s="519" t="s">
        <v>138</v>
      </c>
      <c r="B43" s="520">
        <v>8.0000000000000002E-3</v>
      </c>
      <c r="C43" s="516">
        <f>ROUND(C44*B43,0)</f>
        <v>322011</v>
      </c>
      <c r="D43" s="521" t="s">
        <v>104</v>
      </c>
      <c r="E43" s="516">
        <v>0</v>
      </c>
      <c r="F43" s="516">
        <v>0</v>
      </c>
      <c r="G43" s="516">
        <v>0</v>
      </c>
      <c r="H43" s="516">
        <f>C43</f>
        <v>322011</v>
      </c>
      <c r="I43" s="516">
        <v>0</v>
      </c>
      <c r="K43" s="901">
        <f>H43</f>
        <v>322011</v>
      </c>
      <c r="L43" s="865"/>
    </row>
    <row r="44" spans="1:12" s="346" customFormat="1" ht="16" thickBot="1">
      <c r="A44" s="522" t="s">
        <v>103</v>
      </c>
      <c r="B44" s="523">
        <f>SUM(B34:B43)</f>
        <v>1</v>
      </c>
      <c r="C44" s="905">
        <f>11772298+7953057+16120442+534+688+18917+22985+21909+15361-1891+39155+101205-27422+107172+77469+1190-311+721-13+103+145+14290+839+122+799+295-15196-7571+2571733+981244+4755+14364+16487+22190+20479+41357+17852+22502+498+849+658+1226+1633+543+1476+1461+3590+836+1348+629+616+261135+1087+526+14279+14386+14279+12</f>
        <v>40251322</v>
      </c>
      <c r="D44" s="524"/>
      <c r="E44" s="524">
        <f>SUM(E34:E43)</f>
        <v>30947630</v>
      </c>
      <c r="F44" s="524">
        <f>SUM(F34:F43)</f>
        <v>7718192</v>
      </c>
      <c r="G44" s="524">
        <f>SUM(G34:G43)</f>
        <v>1263489</v>
      </c>
      <c r="H44" s="524">
        <f>SUM(H34:H43)</f>
        <v>322011</v>
      </c>
      <c r="I44" s="524">
        <f>SUM(I34:I43)</f>
        <v>0</v>
      </c>
      <c r="K44" s="901"/>
      <c r="L44" s="901"/>
    </row>
    <row r="45" spans="1:12" s="346" customFormat="1" ht="16" thickBot="1">
      <c r="A45" s="525" t="s">
        <v>112</v>
      </c>
      <c r="B45" s="526"/>
      <c r="C45" s="527"/>
      <c r="D45" s="528"/>
      <c r="E45" s="529"/>
      <c r="F45" s="524">
        <f>-H45</f>
        <v>322011</v>
      </c>
      <c r="G45" s="529"/>
      <c r="H45" s="524">
        <f>-H44</f>
        <v>-322011</v>
      </c>
      <c r="I45" s="530"/>
      <c r="K45" s="890"/>
      <c r="L45" s="890"/>
    </row>
    <row r="46" spans="1:12" s="346" customFormat="1" ht="16" thickBot="1">
      <c r="A46" s="522" t="s">
        <v>183</v>
      </c>
      <c r="B46" s="526"/>
      <c r="C46" s="524">
        <f>SUM(C44:C45)</f>
        <v>40251322</v>
      </c>
      <c r="D46" s="524"/>
      <c r="E46" s="524">
        <f>SUM(E44:E45)</f>
        <v>30947630</v>
      </c>
      <c r="F46" s="524">
        <f>SUM(F44:F45)</f>
        <v>8040203</v>
      </c>
      <c r="G46" s="524">
        <f>SUM(G44:G45)</f>
        <v>1263489</v>
      </c>
      <c r="H46" s="524">
        <f>SUM(H44:H45)</f>
        <v>0</v>
      </c>
      <c r="I46" s="524">
        <f>SUM(I44:I45)</f>
        <v>0</v>
      </c>
      <c r="K46" s="890"/>
      <c r="L46" s="890"/>
    </row>
    <row r="47" spans="1:12" s="346" customFormat="1" ht="16" thickBot="1">
      <c r="A47" s="533" t="s">
        <v>78</v>
      </c>
      <c r="B47" s="534"/>
      <c r="C47" s="535"/>
      <c r="D47" s="536"/>
      <c r="E47" s="537"/>
      <c r="F47" s="985">
        <f>SUM(F46:G46)</f>
        <v>9303692</v>
      </c>
      <c r="G47" s="985"/>
      <c r="H47" s="537"/>
      <c r="I47" s="538"/>
      <c r="K47" s="890"/>
      <c r="L47" s="890"/>
    </row>
    <row r="48" spans="1:12" s="346" customFormat="1" ht="18" customHeight="1" thickBot="1">
      <c r="A48" s="539"/>
      <c r="B48" s="540"/>
      <c r="C48" s="541"/>
      <c r="D48" s="541"/>
      <c r="E48" s="542"/>
      <c r="F48" s="543"/>
      <c r="G48" s="543"/>
      <c r="H48" s="542"/>
      <c r="I48" s="498"/>
      <c r="J48" s="349"/>
      <c r="K48" s="890"/>
      <c r="L48" s="890"/>
    </row>
    <row r="49" spans="1:12" s="346" customFormat="1">
      <c r="A49" s="989" t="s">
        <v>184</v>
      </c>
      <c r="B49" s="990"/>
      <c r="C49" s="990"/>
      <c r="D49" s="990"/>
      <c r="E49" s="990"/>
      <c r="F49" s="990"/>
      <c r="G49" s="990"/>
      <c r="H49" s="990"/>
      <c r="I49" s="991"/>
      <c r="J49" s="349"/>
      <c r="K49" s="890"/>
      <c r="L49" s="890"/>
    </row>
    <row r="50" spans="1:12" s="346" customFormat="1" ht="16" thickBot="1">
      <c r="A50" s="992" t="s">
        <v>203</v>
      </c>
      <c r="B50" s="993"/>
      <c r="C50" s="993"/>
      <c r="D50" s="993"/>
      <c r="E50" s="993"/>
      <c r="F50" s="993"/>
      <c r="G50" s="993"/>
      <c r="H50" s="993"/>
      <c r="I50" s="994"/>
      <c r="J50" s="349"/>
      <c r="K50" s="890"/>
      <c r="L50" s="890"/>
    </row>
    <row r="51" spans="1:12" s="346" customFormat="1">
      <c r="A51" s="507"/>
      <c r="B51" s="507"/>
      <c r="C51" s="508"/>
      <c r="D51" s="508" t="s">
        <v>100</v>
      </c>
      <c r="E51" s="508"/>
      <c r="F51" s="508" t="s">
        <v>99</v>
      </c>
      <c r="G51" s="508" t="s">
        <v>99</v>
      </c>
      <c r="H51" s="508" t="s">
        <v>98</v>
      </c>
      <c r="I51" s="508"/>
      <c r="J51" s="349"/>
      <c r="K51" s="890"/>
      <c r="L51" s="890"/>
    </row>
    <row r="52" spans="1:12" s="346" customFormat="1">
      <c r="A52" s="507"/>
      <c r="B52" s="507" t="s">
        <v>93</v>
      </c>
      <c r="C52" s="508" t="s">
        <v>93</v>
      </c>
      <c r="D52" s="508" t="s">
        <v>97</v>
      </c>
      <c r="E52" s="508" t="s">
        <v>96</v>
      </c>
      <c r="F52" s="508" t="s">
        <v>95</v>
      </c>
      <c r="G52" s="508" t="s">
        <v>94</v>
      </c>
      <c r="H52" s="508" t="s">
        <v>44</v>
      </c>
      <c r="I52" s="508" t="s">
        <v>61</v>
      </c>
      <c r="J52" s="349"/>
      <c r="K52" s="890"/>
      <c r="L52" s="865"/>
    </row>
    <row r="53" spans="1:12" s="346" customFormat="1" ht="16" thickBot="1">
      <c r="A53" s="509" t="s">
        <v>93</v>
      </c>
      <c r="B53" s="509" t="s">
        <v>92</v>
      </c>
      <c r="C53" s="510" t="s">
        <v>91</v>
      </c>
      <c r="D53" s="511" t="s">
        <v>176</v>
      </c>
      <c r="E53" s="510" t="s">
        <v>89</v>
      </c>
      <c r="F53" s="510" t="s">
        <v>89</v>
      </c>
      <c r="G53" s="510" t="s">
        <v>89</v>
      </c>
      <c r="H53" s="510" t="s">
        <v>89</v>
      </c>
      <c r="I53" s="510" t="s">
        <v>89</v>
      </c>
      <c r="J53" s="349"/>
      <c r="K53" s="890"/>
      <c r="L53" s="890"/>
    </row>
    <row r="54" spans="1:12" s="346" customFormat="1">
      <c r="A54" s="512" t="s">
        <v>88</v>
      </c>
      <c r="B54" s="513">
        <v>0.3362</v>
      </c>
      <c r="C54" s="514">
        <f>ROUND(C64*B54,0)</f>
        <v>95726</v>
      </c>
      <c r="D54" s="515" t="s">
        <v>106</v>
      </c>
      <c r="E54" s="514">
        <f>C54</f>
        <v>95726</v>
      </c>
      <c r="F54" s="516">
        <v>0</v>
      </c>
      <c r="G54" s="514">
        <v>0</v>
      </c>
      <c r="H54" s="514">
        <v>0</v>
      </c>
      <c r="I54" s="514">
        <v>0</v>
      </c>
      <c r="J54" s="349"/>
      <c r="K54" s="890"/>
      <c r="L54" s="890"/>
    </row>
    <row r="55" spans="1:12" s="346" customFormat="1">
      <c r="A55" s="517" t="s">
        <v>43</v>
      </c>
      <c r="B55" s="518">
        <v>0.30009999999999998</v>
      </c>
      <c r="C55" s="516">
        <f>ROUND(C64*B55,0)</f>
        <v>85447</v>
      </c>
      <c r="D55" s="515" t="s">
        <v>177</v>
      </c>
      <c r="E55" s="516">
        <f>ROUNDDOWN($C55*0.5,0)</f>
        <v>42723</v>
      </c>
      <c r="F55" s="516">
        <f>C55-E55-G55-H55</f>
        <v>42724</v>
      </c>
      <c r="G55" s="516">
        <v>0</v>
      </c>
      <c r="H55" s="516">
        <v>0</v>
      </c>
      <c r="I55" s="516">
        <v>0</v>
      </c>
      <c r="J55" s="349"/>
      <c r="K55" s="890"/>
      <c r="L55" s="890"/>
    </row>
    <row r="56" spans="1:12" s="346" customFormat="1">
      <c r="A56" s="517" t="s">
        <v>87</v>
      </c>
      <c r="B56" s="518">
        <v>2.7000000000000001E-3</v>
      </c>
      <c r="C56" s="516">
        <f>ROUND(C64*B56,0)</f>
        <v>769</v>
      </c>
      <c r="D56" s="515" t="s">
        <v>105</v>
      </c>
      <c r="E56" s="516">
        <v>0</v>
      </c>
      <c r="F56" s="516">
        <f>C56</f>
        <v>769</v>
      </c>
      <c r="G56" s="516">
        <v>0</v>
      </c>
      <c r="H56" s="516">
        <v>0</v>
      </c>
      <c r="I56" s="516">
        <v>0</v>
      </c>
      <c r="J56" s="349"/>
      <c r="K56" s="890"/>
      <c r="L56" s="890"/>
    </row>
    <row r="57" spans="1:12" s="346" customFormat="1">
      <c r="A57" s="517" t="s">
        <v>86</v>
      </c>
      <c r="B57" s="518">
        <v>0.31390000000000001</v>
      </c>
      <c r="C57" s="516">
        <f>ROUND(C64-C54-C55-C56-C58-C59-C60-C61-C62-C63,0)</f>
        <v>89378</v>
      </c>
      <c r="D57" s="515" t="s">
        <v>108</v>
      </c>
      <c r="E57" s="516">
        <f>ROUNDDOWN($C57*0.75,0)</f>
        <v>67033</v>
      </c>
      <c r="F57" s="516">
        <v>0</v>
      </c>
      <c r="G57" s="516">
        <f>C57-E57-F57-H57</f>
        <v>22345</v>
      </c>
      <c r="H57" s="516">
        <v>0</v>
      </c>
      <c r="I57" s="516">
        <v>0</v>
      </c>
      <c r="J57" s="349"/>
      <c r="K57" s="890"/>
      <c r="L57" s="890"/>
    </row>
    <row r="58" spans="1:12" s="346" customFormat="1">
      <c r="A58" s="517" t="s">
        <v>42</v>
      </c>
      <c r="B58" s="518">
        <v>3.6799999999999999E-2</v>
      </c>
      <c r="C58" s="516">
        <f>ROUND(C64*B58,0)</f>
        <v>10478</v>
      </c>
      <c r="D58" s="515" t="s">
        <v>105</v>
      </c>
      <c r="E58" s="516">
        <v>0</v>
      </c>
      <c r="F58" s="516">
        <f>C58-E58-G58-H58</f>
        <v>10478</v>
      </c>
      <c r="G58" s="516">
        <f>ROUND($C58*0,0)</f>
        <v>0</v>
      </c>
      <c r="H58" s="516">
        <v>0</v>
      </c>
      <c r="I58" s="516">
        <v>0</v>
      </c>
      <c r="J58" s="349"/>
      <c r="K58" s="890"/>
      <c r="L58" s="890"/>
    </row>
    <row r="59" spans="1:12" s="346" customFormat="1">
      <c r="A59" s="517" t="s">
        <v>85</v>
      </c>
      <c r="B59" s="518">
        <v>1E-4</v>
      </c>
      <c r="C59" s="516">
        <f>ROUND(C64*B59,0)</f>
        <v>28</v>
      </c>
      <c r="D59" s="515" t="s">
        <v>106</v>
      </c>
      <c r="E59" s="516">
        <f>C59</f>
        <v>28</v>
      </c>
      <c r="F59" s="516">
        <v>0</v>
      </c>
      <c r="G59" s="516">
        <v>0</v>
      </c>
      <c r="H59" s="516">
        <v>0</v>
      </c>
      <c r="I59" s="516">
        <v>0</v>
      </c>
      <c r="J59" s="349"/>
      <c r="K59" s="890"/>
      <c r="L59" s="890"/>
    </row>
    <row r="60" spans="1:12" s="346" customFormat="1">
      <c r="A60" s="517" t="s">
        <v>84</v>
      </c>
      <c r="B60" s="518">
        <v>8.9999999999999998E-4</v>
      </c>
      <c r="C60" s="516">
        <f>ROUND(C64*B60,0)</f>
        <v>256</v>
      </c>
      <c r="D60" s="515" t="s">
        <v>105</v>
      </c>
      <c r="E60" s="516">
        <v>0</v>
      </c>
      <c r="F60" s="516">
        <f>C60</f>
        <v>256</v>
      </c>
      <c r="G60" s="516">
        <v>0</v>
      </c>
      <c r="H60" s="516">
        <v>0</v>
      </c>
      <c r="I60" s="516">
        <v>0</v>
      </c>
      <c r="J60" s="349"/>
      <c r="K60" s="890"/>
      <c r="L60" s="890"/>
    </row>
    <row r="61" spans="1:12" s="346" customFormat="1">
      <c r="A61" s="517" t="s">
        <v>83</v>
      </c>
      <c r="B61" s="518">
        <v>1.2999999999999999E-3</v>
      </c>
      <c r="C61" s="516">
        <f>ROUND(C64*B61,0)</f>
        <v>370</v>
      </c>
      <c r="D61" s="515" t="s">
        <v>105</v>
      </c>
      <c r="E61" s="516">
        <f>ROUND($C61*0,0)</f>
        <v>0</v>
      </c>
      <c r="F61" s="516">
        <f>C61</f>
        <v>370</v>
      </c>
      <c r="G61" s="516">
        <v>0</v>
      </c>
      <c r="H61" s="516">
        <v>0</v>
      </c>
      <c r="I61" s="516">
        <v>0</v>
      </c>
      <c r="J61" s="349"/>
      <c r="K61" s="890"/>
      <c r="L61" s="890"/>
    </row>
    <row r="62" spans="1:12" s="346" customFormat="1">
      <c r="A62" s="517" t="s">
        <v>82</v>
      </c>
      <c r="B62" s="518">
        <v>0</v>
      </c>
      <c r="C62" s="516">
        <f>ROUND(C64*B62,0)</f>
        <v>0</v>
      </c>
      <c r="D62" s="515" t="s">
        <v>179</v>
      </c>
      <c r="E62" s="516">
        <v>0</v>
      </c>
      <c r="F62" s="516">
        <v>0</v>
      </c>
      <c r="G62" s="516">
        <f>C62</f>
        <v>0</v>
      </c>
      <c r="H62" s="516">
        <v>0</v>
      </c>
      <c r="I62" s="516">
        <v>0</v>
      </c>
      <c r="J62" s="349"/>
      <c r="K62" s="890"/>
      <c r="L62" s="890"/>
    </row>
    <row r="63" spans="1:12" s="346" customFormat="1" ht="16" thickBot="1">
      <c r="A63" s="519" t="s">
        <v>138</v>
      </c>
      <c r="B63" s="520">
        <v>8.0000000000000002E-3</v>
      </c>
      <c r="C63" s="516">
        <f>ROUND(C64*B63,0)</f>
        <v>2278</v>
      </c>
      <c r="D63" s="521" t="s">
        <v>104</v>
      </c>
      <c r="E63" s="516">
        <v>0</v>
      </c>
      <c r="F63" s="516">
        <v>0</v>
      </c>
      <c r="G63" s="516">
        <v>0</v>
      </c>
      <c r="H63" s="516">
        <f>C63</f>
        <v>2278</v>
      </c>
      <c r="I63" s="516">
        <v>0</v>
      </c>
      <c r="J63" s="349"/>
      <c r="K63" s="901">
        <f>H63</f>
        <v>2278</v>
      </c>
      <c r="L63" s="890"/>
    </row>
    <row r="64" spans="1:12" s="346" customFormat="1" ht="16" thickBot="1">
      <c r="A64" s="522" t="s">
        <v>103</v>
      </c>
      <c r="B64" s="523">
        <f>SUM(B54:B63)</f>
        <v>1</v>
      </c>
      <c r="C64" s="854">
        <f>75621+114630+94479</f>
        <v>284730</v>
      </c>
      <c r="D64" s="524"/>
      <c r="E64" s="524">
        <f>SUM(E54:E63)</f>
        <v>205510</v>
      </c>
      <c r="F64" s="524">
        <f>SUM(F54:F63)</f>
        <v>54597</v>
      </c>
      <c r="G64" s="524">
        <f>SUM(G54:G63)</f>
        <v>22345</v>
      </c>
      <c r="H64" s="524">
        <f>SUM(H54:H63)</f>
        <v>2278</v>
      </c>
      <c r="I64" s="524">
        <v>0</v>
      </c>
      <c r="J64" s="349"/>
      <c r="K64" s="901"/>
      <c r="L64" s="890"/>
    </row>
    <row r="65" spans="1:12" s="346" customFormat="1" ht="16" thickBot="1">
      <c r="A65" s="525" t="s">
        <v>112</v>
      </c>
      <c r="B65" s="526"/>
      <c r="C65" s="527"/>
      <c r="D65" s="528"/>
      <c r="E65" s="529"/>
      <c r="F65" s="524">
        <f>-H65</f>
        <v>2278</v>
      </c>
      <c r="G65" s="529"/>
      <c r="H65" s="524">
        <f>-H64</f>
        <v>-2278</v>
      </c>
      <c r="I65" s="530"/>
      <c r="J65" s="349"/>
      <c r="K65" s="890"/>
      <c r="L65" s="890"/>
    </row>
    <row r="66" spans="1:12" s="346" customFormat="1" ht="16" thickBot="1">
      <c r="A66" s="525" t="s">
        <v>185</v>
      </c>
      <c r="B66" s="526"/>
      <c r="C66" s="524">
        <f>SUM(C64:C65)</f>
        <v>284730</v>
      </c>
      <c r="D66" s="524"/>
      <c r="E66" s="524">
        <f>SUM(E64:E65)</f>
        <v>205510</v>
      </c>
      <c r="F66" s="524">
        <f>SUM(F64:F65)</f>
        <v>56875</v>
      </c>
      <c r="G66" s="524">
        <f>SUM(G64:G65)</f>
        <v>22345</v>
      </c>
      <c r="H66" s="524">
        <f>SUM(H64:H65)</f>
        <v>0</v>
      </c>
      <c r="I66" s="524">
        <f>SUM(I64:I65)</f>
        <v>0</v>
      </c>
      <c r="J66" s="349"/>
      <c r="K66" s="890"/>
      <c r="L66" s="890"/>
    </row>
    <row r="67" spans="1:12" s="346" customFormat="1" ht="16" thickBot="1">
      <c r="A67" s="533" t="s">
        <v>78</v>
      </c>
      <c r="B67" s="534"/>
      <c r="C67" s="535"/>
      <c r="D67" s="536"/>
      <c r="E67" s="537"/>
      <c r="F67" s="985">
        <f>SUM(F66:G66)</f>
        <v>79220</v>
      </c>
      <c r="G67" s="985"/>
      <c r="H67" s="537"/>
      <c r="I67" s="538"/>
      <c r="J67" s="349"/>
      <c r="K67" s="890"/>
      <c r="L67" s="890"/>
    </row>
    <row r="68" spans="1:12" s="346" customFormat="1" ht="16" thickBot="1">
      <c r="A68" s="539"/>
      <c r="B68" s="540"/>
      <c r="C68" s="541"/>
      <c r="D68" s="541"/>
      <c r="E68" s="542"/>
      <c r="F68" s="543"/>
      <c r="G68" s="543"/>
      <c r="H68" s="542"/>
      <c r="I68" s="542"/>
      <c r="J68" s="349"/>
      <c r="K68" s="890"/>
      <c r="L68" s="890"/>
    </row>
    <row r="69" spans="1:12" s="346" customFormat="1" ht="14.25" customHeight="1">
      <c r="A69" s="989" t="s">
        <v>174</v>
      </c>
      <c r="B69" s="990"/>
      <c r="C69" s="990"/>
      <c r="D69" s="990"/>
      <c r="E69" s="990"/>
      <c r="F69" s="990"/>
      <c r="G69" s="990"/>
      <c r="H69" s="990"/>
      <c r="I69" s="991"/>
      <c r="J69" s="349"/>
      <c r="K69" s="890"/>
      <c r="L69" s="890"/>
    </row>
    <row r="70" spans="1:12" s="346" customFormat="1" ht="15.75" customHeight="1" thickBot="1">
      <c r="A70" s="992" t="s">
        <v>203</v>
      </c>
      <c r="B70" s="993"/>
      <c r="C70" s="993"/>
      <c r="D70" s="993"/>
      <c r="E70" s="993"/>
      <c r="F70" s="993"/>
      <c r="G70" s="993"/>
      <c r="H70" s="993"/>
      <c r="I70" s="994"/>
      <c r="J70" s="349"/>
      <c r="K70" s="890"/>
      <c r="L70" s="890"/>
    </row>
    <row r="71" spans="1:12" s="346" customFormat="1">
      <c r="A71" s="507"/>
      <c r="B71" s="507"/>
      <c r="C71" s="508"/>
      <c r="D71" s="508" t="s">
        <v>100</v>
      </c>
      <c r="E71" s="508"/>
      <c r="F71" s="508" t="s">
        <v>99</v>
      </c>
      <c r="G71" s="508" t="s">
        <v>99</v>
      </c>
      <c r="H71" s="508" t="s">
        <v>98</v>
      </c>
      <c r="I71" s="508"/>
      <c r="J71" s="349"/>
      <c r="K71" s="890"/>
      <c r="L71" s="890"/>
    </row>
    <row r="72" spans="1:12" s="346" customFormat="1" ht="15.75" customHeight="1">
      <c r="A72" s="507"/>
      <c r="B72" s="507" t="s">
        <v>93</v>
      </c>
      <c r="C72" s="508" t="s">
        <v>93</v>
      </c>
      <c r="D72" s="508" t="s">
        <v>97</v>
      </c>
      <c r="E72" s="508" t="s">
        <v>96</v>
      </c>
      <c r="F72" s="508" t="s">
        <v>95</v>
      </c>
      <c r="G72" s="508" t="s">
        <v>94</v>
      </c>
      <c r="H72" s="508" t="s">
        <v>44</v>
      </c>
      <c r="I72" s="508" t="s">
        <v>61</v>
      </c>
      <c r="J72" s="349"/>
      <c r="K72" s="890"/>
      <c r="L72" s="890"/>
    </row>
    <row r="73" spans="1:12" s="346" customFormat="1" ht="15.75" customHeight="1" thickBot="1">
      <c r="A73" s="509" t="s">
        <v>93</v>
      </c>
      <c r="B73" s="509" t="s">
        <v>92</v>
      </c>
      <c r="C73" s="510" t="s">
        <v>91</v>
      </c>
      <c r="D73" s="511" t="s">
        <v>176</v>
      </c>
      <c r="E73" s="510" t="s">
        <v>89</v>
      </c>
      <c r="F73" s="510" t="s">
        <v>89</v>
      </c>
      <c r="G73" s="510" t="s">
        <v>89</v>
      </c>
      <c r="H73" s="510" t="s">
        <v>89</v>
      </c>
      <c r="I73" s="510" t="s">
        <v>89</v>
      </c>
      <c r="J73" s="349"/>
      <c r="K73" s="890"/>
      <c r="L73" s="890"/>
    </row>
    <row r="74" spans="1:12" s="346" customFormat="1" ht="16" thickBot="1">
      <c r="A74" s="544" t="s">
        <v>138</v>
      </c>
      <c r="B74" s="545">
        <v>1</v>
      </c>
      <c r="C74" s="524">
        <f>ROUND(C77*B74,0)</f>
        <v>0</v>
      </c>
      <c r="D74" s="546" t="s">
        <v>104</v>
      </c>
      <c r="E74" s="524">
        <v>0</v>
      </c>
      <c r="F74" s="524">
        <v>0</v>
      </c>
      <c r="G74" s="524">
        <v>0</v>
      </c>
      <c r="H74" s="524">
        <f>C74</f>
        <v>0</v>
      </c>
      <c r="I74" s="524">
        <v>0</v>
      </c>
      <c r="J74" s="349"/>
      <c r="K74" s="890"/>
      <c r="L74" s="890"/>
    </row>
    <row r="75" spans="1:12" s="346" customFormat="1" ht="16" thickBot="1">
      <c r="A75" s="522" t="s">
        <v>103</v>
      </c>
      <c r="B75" s="523">
        <f>SUM(B65:B74)</f>
        <v>1</v>
      </c>
      <c r="C75" s="524">
        <v>0</v>
      </c>
      <c r="D75" s="524"/>
      <c r="E75" s="524">
        <f>E74</f>
        <v>0</v>
      </c>
      <c r="F75" s="524">
        <f t="shared" ref="F75:I75" si="2">F74</f>
        <v>0</v>
      </c>
      <c r="G75" s="524">
        <f t="shared" si="2"/>
        <v>0</v>
      </c>
      <c r="H75" s="524">
        <f t="shared" si="2"/>
        <v>0</v>
      </c>
      <c r="I75" s="524">
        <f t="shared" si="2"/>
        <v>0</v>
      </c>
      <c r="J75" s="349"/>
      <c r="K75" s="890"/>
      <c r="L75" s="890"/>
    </row>
    <row r="76" spans="1:12" s="346" customFormat="1" ht="16" thickBot="1">
      <c r="A76" s="525" t="s">
        <v>112</v>
      </c>
      <c r="B76" s="526"/>
      <c r="C76" s="527"/>
      <c r="D76" s="528"/>
      <c r="E76" s="529"/>
      <c r="F76" s="524">
        <f>-H76</f>
        <v>0</v>
      </c>
      <c r="G76" s="529"/>
      <c r="H76" s="524">
        <f>-H75</f>
        <v>0</v>
      </c>
      <c r="I76" s="530"/>
      <c r="J76" s="349"/>
      <c r="K76" s="890"/>
      <c r="L76" s="890"/>
    </row>
    <row r="77" spans="1:12" s="346" customFormat="1" ht="16" thickBot="1">
      <c r="A77" s="525" t="s">
        <v>208</v>
      </c>
      <c r="B77" s="526"/>
      <c r="C77" s="524">
        <f>SUM(C75:C76)</f>
        <v>0</v>
      </c>
      <c r="D77" s="524"/>
      <c r="E77" s="524">
        <f>SUM(E75:E76)</f>
        <v>0</v>
      </c>
      <c r="F77" s="524">
        <f>SUM(F75:F76)</f>
        <v>0</v>
      </c>
      <c r="G77" s="524">
        <f>SUM(G75:G76)</f>
        <v>0</v>
      </c>
      <c r="H77" s="524">
        <f>SUM(H75:H76)</f>
        <v>0</v>
      </c>
      <c r="I77" s="524">
        <f>SUM(I75:I76)</f>
        <v>0</v>
      </c>
      <c r="J77" s="349"/>
      <c r="K77" s="901">
        <f>H77</f>
        <v>0</v>
      </c>
      <c r="L77" s="890"/>
    </row>
    <row r="78" spans="1:12" s="346" customFormat="1" ht="16" thickBot="1">
      <c r="A78" s="533" t="s">
        <v>78</v>
      </c>
      <c r="B78" s="534"/>
      <c r="C78" s="535"/>
      <c r="D78" s="536"/>
      <c r="E78" s="537"/>
      <c r="F78" s="985">
        <f>SUM(F77:G77)</f>
        <v>0</v>
      </c>
      <c r="G78" s="985"/>
      <c r="H78" s="537"/>
      <c r="I78" s="538"/>
      <c r="J78" s="349"/>
      <c r="K78" s="890"/>
      <c r="L78" s="890"/>
    </row>
    <row r="79" spans="1:12" s="346" customFormat="1" ht="18" customHeight="1" thickBot="1">
      <c r="A79" s="539"/>
      <c r="B79" s="540"/>
      <c r="C79" s="541"/>
      <c r="D79" s="541"/>
      <c r="E79" s="542"/>
      <c r="F79" s="543"/>
      <c r="G79" s="543"/>
      <c r="H79" s="542"/>
      <c r="I79" s="547"/>
      <c r="J79" s="349"/>
      <c r="K79" s="890"/>
      <c r="L79" s="890"/>
    </row>
    <row r="80" spans="1:12" s="346" customFormat="1">
      <c r="A80" s="989" t="s">
        <v>186</v>
      </c>
      <c r="B80" s="990"/>
      <c r="C80" s="990"/>
      <c r="D80" s="990"/>
      <c r="E80" s="990"/>
      <c r="F80" s="990"/>
      <c r="G80" s="990"/>
      <c r="H80" s="990"/>
      <c r="I80" s="991"/>
      <c r="J80" s="349"/>
      <c r="K80" s="890"/>
      <c r="L80" s="890"/>
    </row>
    <row r="81" spans="1:12" s="346" customFormat="1" ht="16" thickBot="1">
      <c r="A81" s="992" t="s">
        <v>203</v>
      </c>
      <c r="B81" s="993"/>
      <c r="C81" s="993"/>
      <c r="D81" s="993"/>
      <c r="E81" s="993"/>
      <c r="F81" s="993"/>
      <c r="G81" s="993"/>
      <c r="H81" s="993"/>
      <c r="I81" s="994"/>
      <c r="J81" s="349"/>
      <c r="K81" s="890"/>
      <c r="L81" s="890"/>
    </row>
    <row r="82" spans="1:12" s="346" customFormat="1">
      <c r="A82" s="548"/>
      <c r="B82" s="548"/>
      <c r="C82" s="549"/>
      <c r="D82" s="549" t="s">
        <v>100</v>
      </c>
      <c r="E82" s="549"/>
      <c r="F82" s="549" t="s">
        <v>99</v>
      </c>
      <c r="G82" s="549" t="s">
        <v>99</v>
      </c>
      <c r="H82" s="549" t="s">
        <v>98</v>
      </c>
      <c r="I82" s="549"/>
      <c r="K82" s="890"/>
      <c r="L82" s="890"/>
    </row>
    <row r="83" spans="1:12" s="346" customFormat="1">
      <c r="A83" s="507"/>
      <c r="B83" s="507" t="s">
        <v>93</v>
      </c>
      <c r="C83" s="508" t="s">
        <v>93</v>
      </c>
      <c r="D83" s="508" t="s">
        <v>97</v>
      </c>
      <c r="E83" s="508" t="s">
        <v>96</v>
      </c>
      <c r="F83" s="508" t="s">
        <v>95</v>
      </c>
      <c r="G83" s="508" t="s">
        <v>94</v>
      </c>
      <c r="H83" s="508" t="s">
        <v>44</v>
      </c>
      <c r="I83" s="508" t="s">
        <v>61</v>
      </c>
      <c r="K83" s="890"/>
      <c r="L83" s="890"/>
    </row>
    <row r="84" spans="1:12" s="346" customFormat="1" ht="16" thickBot="1">
      <c r="A84" s="509" t="s">
        <v>93</v>
      </c>
      <c r="B84" s="509" t="s">
        <v>92</v>
      </c>
      <c r="C84" s="510" t="s">
        <v>91</v>
      </c>
      <c r="D84" s="511" t="s">
        <v>176</v>
      </c>
      <c r="E84" s="510" t="s">
        <v>89</v>
      </c>
      <c r="F84" s="510" t="s">
        <v>89</v>
      </c>
      <c r="G84" s="510" t="s">
        <v>89</v>
      </c>
      <c r="H84" s="510" t="s">
        <v>89</v>
      </c>
      <c r="I84" s="510" t="s">
        <v>89</v>
      </c>
      <c r="K84" s="890"/>
      <c r="L84" s="890"/>
    </row>
    <row r="85" spans="1:12" s="346" customFormat="1">
      <c r="A85" s="512" t="s">
        <v>88</v>
      </c>
      <c r="B85" s="513">
        <v>0.3362</v>
      </c>
      <c r="C85" s="514">
        <f>ROUND(C95*B85,0)</f>
        <v>72746</v>
      </c>
      <c r="D85" s="515" t="s">
        <v>106</v>
      </c>
      <c r="E85" s="514">
        <f>C85</f>
        <v>72746</v>
      </c>
      <c r="F85" s="516">
        <v>0</v>
      </c>
      <c r="G85" s="514">
        <v>0</v>
      </c>
      <c r="H85" s="514">
        <v>0</v>
      </c>
      <c r="I85" s="514">
        <v>0</v>
      </c>
      <c r="K85" s="890"/>
      <c r="L85" s="890"/>
    </row>
    <row r="86" spans="1:12" s="346" customFormat="1">
      <c r="A86" s="517" t="s">
        <v>43</v>
      </c>
      <c r="B86" s="518">
        <v>0.30009999999999998</v>
      </c>
      <c r="C86" s="516">
        <f>ROUND(C95*B86,0)</f>
        <v>64934</v>
      </c>
      <c r="D86" s="515" t="s">
        <v>177</v>
      </c>
      <c r="E86" s="516">
        <f>ROUNDDOWN($C86*0.5,0)</f>
        <v>32467</v>
      </c>
      <c r="F86" s="516">
        <f>C86-E86-G86-H86</f>
        <v>32467</v>
      </c>
      <c r="G86" s="516">
        <v>0</v>
      </c>
      <c r="H86" s="516">
        <v>0</v>
      </c>
      <c r="I86" s="516">
        <v>0</v>
      </c>
      <c r="K86" s="890"/>
      <c r="L86" s="890"/>
    </row>
    <row r="87" spans="1:12" s="346" customFormat="1">
      <c r="A87" s="517" t="s">
        <v>87</v>
      </c>
      <c r="B87" s="518">
        <v>2.7000000000000001E-3</v>
      </c>
      <c r="C87" s="516">
        <f>ROUND(C95*B87,0)</f>
        <v>584</v>
      </c>
      <c r="D87" s="515" t="s">
        <v>105</v>
      </c>
      <c r="E87" s="516">
        <v>0</v>
      </c>
      <c r="F87" s="516">
        <f>C87</f>
        <v>584</v>
      </c>
      <c r="G87" s="516">
        <v>0</v>
      </c>
      <c r="H87" s="516">
        <v>0</v>
      </c>
      <c r="I87" s="516">
        <v>0</v>
      </c>
      <c r="J87" s="349"/>
      <c r="K87" s="865"/>
      <c r="L87" s="890"/>
    </row>
    <row r="88" spans="1:12" s="346" customFormat="1">
      <c r="A88" s="517" t="s">
        <v>86</v>
      </c>
      <c r="B88" s="518">
        <v>0.31390000000000001</v>
      </c>
      <c r="C88" s="516">
        <f>ROUND(C95-C85-C86-C87-C89-C90-C91-C92-C93-C94,0)</f>
        <v>67920</v>
      </c>
      <c r="D88" s="515" t="s">
        <v>187</v>
      </c>
      <c r="E88" s="516">
        <f>ROUNDDOWN($C88*0.5,0)</f>
        <v>33960</v>
      </c>
      <c r="F88" s="516">
        <v>0</v>
      </c>
      <c r="G88" s="516">
        <f>C88-E88-F88-H88</f>
        <v>33960</v>
      </c>
      <c r="H88" s="516">
        <v>0</v>
      </c>
      <c r="I88" s="516">
        <v>0</v>
      </c>
      <c r="K88" s="890"/>
      <c r="L88" s="890"/>
    </row>
    <row r="89" spans="1:12" s="346" customFormat="1">
      <c r="A89" s="517" t="s">
        <v>42</v>
      </c>
      <c r="B89" s="518">
        <v>3.6799999999999999E-2</v>
      </c>
      <c r="C89" s="516">
        <f>ROUND(C95*B89,0)</f>
        <v>7963</v>
      </c>
      <c r="D89" s="515" t="s">
        <v>105</v>
      </c>
      <c r="E89" s="516">
        <v>0</v>
      </c>
      <c r="F89" s="516">
        <f>C89-E89-G89-H89</f>
        <v>7963</v>
      </c>
      <c r="G89" s="516">
        <v>0</v>
      </c>
      <c r="H89" s="516">
        <v>0</v>
      </c>
      <c r="I89" s="516">
        <v>0</v>
      </c>
      <c r="K89" s="890"/>
      <c r="L89" s="890"/>
    </row>
    <row r="90" spans="1:12" s="346" customFormat="1">
      <c r="A90" s="517" t="s">
        <v>85</v>
      </c>
      <c r="B90" s="518">
        <v>1E-4</v>
      </c>
      <c r="C90" s="516">
        <f>ROUND(C95*B90,0)</f>
        <v>22</v>
      </c>
      <c r="D90" s="515" t="s">
        <v>106</v>
      </c>
      <c r="E90" s="516">
        <f>C90</f>
        <v>22</v>
      </c>
      <c r="F90" s="516">
        <v>0</v>
      </c>
      <c r="G90" s="516">
        <v>0</v>
      </c>
      <c r="H90" s="516">
        <v>0</v>
      </c>
      <c r="I90" s="516">
        <v>0</v>
      </c>
      <c r="K90" s="890"/>
      <c r="L90" s="890"/>
    </row>
    <row r="91" spans="1:12" s="346" customFormat="1">
      <c r="A91" s="517" t="s">
        <v>84</v>
      </c>
      <c r="B91" s="518">
        <v>8.9999999999999998E-4</v>
      </c>
      <c r="C91" s="516">
        <f>ROUND(C95*B91,0)</f>
        <v>195</v>
      </c>
      <c r="D91" s="515" t="s">
        <v>105</v>
      </c>
      <c r="E91" s="516">
        <v>0</v>
      </c>
      <c r="F91" s="516">
        <f>C91</f>
        <v>195</v>
      </c>
      <c r="G91" s="516">
        <v>0</v>
      </c>
      <c r="H91" s="516">
        <v>0</v>
      </c>
      <c r="I91" s="516">
        <v>0</v>
      </c>
      <c r="K91" s="890"/>
      <c r="L91" s="890"/>
    </row>
    <row r="92" spans="1:12" s="346" customFormat="1">
      <c r="A92" s="517" t="s">
        <v>83</v>
      </c>
      <c r="B92" s="518">
        <v>1.2999999999999999E-3</v>
      </c>
      <c r="C92" s="516">
        <f>ROUND(C95*B92,0)</f>
        <v>281</v>
      </c>
      <c r="D92" s="515" t="s">
        <v>105</v>
      </c>
      <c r="E92" s="516">
        <v>0</v>
      </c>
      <c r="F92" s="516">
        <f>C92</f>
        <v>281</v>
      </c>
      <c r="G92" s="516">
        <v>0</v>
      </c>
      <c r="H92" s="516">
        <v>0</v>
      </c>
      <c r="I92" s="516">
        <v>0</v>
      </c>
      <c r="K92" s="890"/>
      <c r="L92" s="890"/>
    </row>
    <row r="93" spans="1:12" s="346" customFormat="1">
      <c r="A93" s="517" t="s">
        <v>82</v>
      </c>
      <c r="B93" s="518">
        <v>0</v>
      </c>
      <c r="C93" s="516">
        <f>ROUND(C95*B93,0)</f>
        <v>0</v>
      </c>
      <c r="D93" s="515" t="s">
        <v>179</v>
      </c>
      <c r="E93" s="516">
        <v>0</v>
      </c>
      <c r="F93" s="516">
        <v>0</v>
      </c>
      <c r="G93" s="516">
        <f>C93</f>
        <v>0</v>
      </c>
      <c r="H93" s="516">
        <v>0</v>
      </c>
      <c r="I93" s="516">
        <v>0</v>
      </c>
      <c r="K93" s="890"/>
      <c r="L93" s="890"/>
    </row>
    <row r="94" spans="1:12" s="346" customFormat="1" ht="16" thickBot="1">
      <c r="A94" s="519" t="s">
        <v>138</v>
      </c>
      <c r="B94" s="520">
        <v>8.0000000000000002E-3</v>
      </c>
      <c r="C94" s="516">
        <f>ROUND(C95*B94,0)</f>
        <v>1731</v>
      </c>
      <c r="D94" s="521" t="s">
        <v>104</v>
      </c>
      <c r="E94" s="516">
        <v>0</v>
      </c>
      <c r="F94" s="516">
        <v>0</v>
      </c>
      <c r="G94" s="516">
        <v>0</v>
      </c>
      <c r="H94" s="516">
        <f>C94</f>
        <v>1731</v>
      </c>
      <c r="I94" s="516">
        <v>0</v>
      </c>
      <c r="K94" s="901">
        <f>H94</f>
        <v>1731</v>
      </c>
      <c r="L94" s="890"/>
    </row>
    <row r="95" spans="1:12" s="346" customFormat="1" ht="16" thickBot="1">
      <c r="A95" s="522" t="s">
        <v>103</v>
      </c>
      <c r="B95" s="523">
        <f>SUM(B85:B94)</f>
        <v>1</v>
      </c>
      <c r="C95" s="905">
        <f>88597+83616+44163</f>
        <v>216376</v>
      </c>
      <c r="D95" s="524"/>
      <c r="E95" s="524">
        <f>SUM(E85:E94)</f>
        <v>139195</v>
      </c>
      <c r="F95" s="524">
        <f>SUM(F85:F94)</f>
        <v>41490</v>
      </c>
      <c r="G95" s="524">
        <f>SUM(G85:G94)</f>
        <v>33960</v>
      </c>
      <c r="H95" s="524">
        <f>SUM(H85:H94)</f>
        <v>1731</v>
      </c>
      <c r="I95" s="524">
        <v>0</v>
      </c>
      <c r="K95" s="901"/>
      <c r="L95" s="890"/>
    </row>
    <row r="96" spans="1:12" s="346" customFormat="1" ht="16" thickBot="1">
      <c r="A96" s="525" t="s">
        <v>112</v>
      </c>
      <c r="B96" s="526"/>
      <c r="C96" s="527"/>
      <c r="D96" s="528"/>
      <c r="E96" s="529"/>
      <c r="F96" s="524">
        <f>-H96</f>
        <v>1731</v>
      </c>
      <c r="G96" s="529"/>
      <c r="H96" s="524">
        <f>-H95</f>
        <v>-1731</v>
      </c>
      <c r="I96" s="530"/>
      <c r="K96" s="890"/>
      <c r="L96" s="890"/>
    </row>
    <row r="97" spans="1:12" s="346" customFormat="1" ht="16" thickBot="1">
      <c r="A97" s="525" t="s">
        <v>188</v>
      </c>
      <c r="B97" s="526"/>
      <c r="C97" s="524">
        <f>SUM(C95:C96)</f>
        <v>216376</v>
      </c>
      <c r="D97" s="524"/>
      <c r="E97" s="524">
        <f>SUM(E95:E96)</f>
        <v>139195</v>
      </c>
      <c r="F97" s="524">
        <f>SUM(F95:F96)</f>
        <v>43221</v>
      </c>
      <c r="G97" s="524">
        <f>SUM(G95:G96)</f>
        <v>33960</v>
      </c>
      <c r="H97" s="524">
        <f>SUM(H95:H96)</f>
        <v>0</v>
      </c>
      <c r="I97" s="524">
        <f>SUM(I95:I96)</f>
        <v>0</v>
      </c>
      <c r="K97" s="890"/>
      <c r="L97" s="890"/>
    </row>
    <row r="98" spans="1:12" s="346" customFormat="1" ht="16" thickBot="1">
      <c r="A98" s="533" t="s">
        <v>78</v>
      </c>
      <c r="B98" s="534"/>
      <c r="C98" s="535"/>
      <c r="D98" s="536"/>
      <c r="E98" s="537"/>
      <c r="F98" s="985">
        <f>SUM(F97:G97)</f>
        <v>77181</v>
      </c>
      <c r="G98" s="985"/>
      <c r="H98" s="537"/>
      <c r="I98" s="538"/>
      <c r="K98" s="890"/>
      <c r="L98" s="890"/>
    </row>
    <row r="99" spans="1:12" s="346" customFormat="1" ht="16" thickBot="1">
      <c r="A99" s="539"/>
      <c r="B99" s="540"/>
      <c r="C99" s="541"/>
      <c r="D99" s="541"/>
      <c r="E99" s="542"/>
      <c r="F99" s="543"/>
      <c r="G99" s="543"/>
      <c r="H99" s="542"/>
      <c r="I99" s="542"/>
      <c r="K99" s="890"/>
      <c r="L99" s="890"/>
    </row>
    <row r="100" spans="1:12" s="346" customFormat="1" ht="15" customHeight="1">
      <c r="A100" s="989" t="s">
        <v>209</v>
      </c>
      <c r="B100" s="990"/>
      <c r="C100" s="990"/>
      <c r="D100" s="990"/>
      <c r="E100" s="990"/>
      <c r="F100" s="990"/>
      <c r="G100" s="990"/>
      <c r="H100" s="990"/>
      <c r="I100" s="991"/>
      <c r="K100" s="890"/>
      <c r="L100" s="890"/>
    </row>
    <row r="101" spans="1:12" s="346" customFormat="1" ht="16" thickBot="1">
      <c r="A101" s="992" t="s">
        <v>203</v>
      </c>
      <c r="B101" s="993"/>
      <c r="C101" s="993"/>
      <c r="D101" s="993"/>
      <c r="E101" s="993"/>
      <c r="F101" s="993"/>
      <c r="G101" s="993"/>
      <c r="H101" s="993"/>
      <c r="I101" s="994"/>
      <c r="K101" s="890"/>
      <c r="L101" s="890"/>
    </row>
    <row r="102" spans="1:12" s="346" customFormat="1">
      <c r="A102" s="548"/>
      <c r="B102" s="548"/>
      <c r="C102" s="549"/>
      <c r="D102" s="549" t="s">
        <v>100</v>
      </c>
      <c r="E102" s="549"/>
      <c r="F102" s="549" t="s">
        <v>99</v>
      </c>
      <c r="G102" s="549" t="s">
        <v>99</v>
      </c>
      <c r="H102" s="549" t="s">
        <v>98</v>
      </c>
      <c r="I102" s="549"/>
      <c r="K102" s="890"/>
      <c r="L102" s="890"/>
    </row>
    <row r="103" spans="1:12" s="346" customFormat="1">
      <c r="A103" s="507"/>
      <c r="B103" s="507" t="s">
        <v>93</v>
      </c>
      <c r="C103" s="508" t="s">
        <v>93</v>
      </c>
      <c r="D103" s="508" t="s">
        <v>97</v>
      </c>
      <c r="E103" s="508" t="s">
        <v>96</v>
      </c>
      <c r="F103" s="508" t="s">
        <v>95</v>
      </c>
      <c r="G103" s="508" t="s">
        <v>94</v>
      </c>
      <c r="H103" s="508" t="s">
        <v>44</v>
      </c>
      <c r="I103" s="508" t="s">
        <v>61</v>
      </c>
      <c r="K103" s="890"/>
      <c r="L103" s="890"/>
    </row>
    <row r="104" spans="1:12" s="346" customFormat="1" ht="16" thickBot="1">
      <c r="A104" s="509" t="s">
        <v>93</v>
      </c>
      <c r="B104" s="509" t="s">
        <v>92</v>
      </c>
      <c r="C104" s="510" t="s">
        <v>91</v>
      </c>
      <c r="D104" s="511" t="s">
        <v>176</v>
      </c>
      <c r="E104" s="510" t="s">
        <v>89</v>
      </c>
      <c r="F104" s="510" t="s">
        <v>89</v>
      </c>
      <c r="G104" s="510" t="s">
        <v>89</v>
      </c>
      <c r="H104" s="510" t="s">
        <v>89</v>
      </c>
      <c r="I104" s="510" t="s">
        <v>89</v>
      </c>
      <c r="K104" s="890"/>
      <c r="L104" s="890"/>
    </row>
    <row r="105" spans="1:12" s="346" customFormat="1">
      <c r="A105" s="512" t="s">
        <v>88</v>
      </c>
      <c r="B105" s="513">
        <v>4.5999999999999999E-2</v>
      </c>
      <c r="C105" s="514">
        <f>ROUND(C115*B105,0)</f>
        <v>51930</v>
      </c>
      <c r="D105" s="515" t="s">
        <v>106</v>
      </c>
      <c r="E105" s="514">
        <f>C105</f>
        <v>51930</v>
      </c>
      <c r="F105" s="516">
        <v>0</v>
      </c>
      <c r="G105" s="514">
        <v>0</v>
      </c>
      <c r="H105" s="514">
        <v>0</v>
      </c>
      <c r="I105" s="514">
        <v>0</v>
      </c>
      <c r="K105" s="890"/>
      <c r="L105" s="890"/>
    </row>
    <row r="106" spans="1:12" s="346" customFormat="1">
      <c r="A106" s="517" t="s">
        <v>43</v>
      </c>
      <c r="B106" s="518">
        <v>0.25559999999999999</v>
      </c>
      <c r="C106" s="516">
        <f>ROUND(C115*B106,0)</f>
        <v>288550</v>
      </c>
      <c r="D106" s="515" t="s">
        <v>109</v>
      </c>
      <c r="E106" s="516">
        <f>ROUNDDOWN($C106*0.5,0)</f>
        <v>144275</v>
      </c>
      <c r="F106" s="516">
        <f>C106-E106-G106-H106</f>
        <v>100992</v>
      </c>
      <c r="G106" s="516">
        <v>0</v>
      </c>
      <c r="H106" s="516">
        <f>ROUND($C106*0.15,0)</f>
        <v>43283</v>
      </c>
      <c r="I106" s="516">
        <v>0</v>
      </c>
      <c r="K106" s="890"/>
      <c r="L106" s="890"/>
    </row>
    <row r="107" spans="1:12" s="346" customFormat="1">
      <c r="A107" s="517" t="s">
        <v>87</v>
      </c>
      <c r="B107" s="518">
        <v>2.8E-3</v>
      </c>
      <c r="C107" s="516">
        <f>ROUND(C115*B107,0)</f>
        <v>3161</v>
      </c>
      <c r="D107" s="515" t="s">
        <v>105</v>
      </c>
      <c r="E107" s="516">
        <v>0</v>
      </c>
      <c r="F107" s="516">
        <f>C107</f>
        <v>3161</v>
      </c>
      <c r="G107" s="516">
        <v>0</v>
      </c>
      <c r="H107" s="516">
        <v>0</v>
      </c>
      <c r="I107" s="516">
        <v>0</v>
      </c>
      <c r="K107" s="890"/>
      <c r="L107" s="890"/>
    </row>
    <row r="108" spans="1:12" s="346" customFormat="1">
      <c r="A108" s="517" t="s">
        <v>86</v>
      </c>
      <c r="B108" s="518">
        <v>0.68259999999999998</v>
      </c>
      <c r="C108" s="516">
        <f>ROUND(C115-C105-C106-C107-C109-C110-C111-C112-C113-C114,0)</f>
        <v>770596</v>
      </c>
      <c r="D108" s="515" t="s">
        <v>187</v>
      </c>
      <c r="E108" s="516">
        <f>ROUNDDOWN($C108*0.5,0)</f>
        <v>385298</v>
      </c>
      <c r="F108" s="516">
        <v>0</v>
      </c>
      <c r="G108" s="516">
        <f>C108-E108-F108-H108</f>
        <v>385298</v>
      </c>
      <c r="H108" s="516">
        <v>0</v>
      </c>
      <c r="I108" s="516">
        <v>0</v>
      </c>
      <c r="K108" s="890"/>
      <c r="L108" s="890"/>
    </row>
    <row r="109" spans="1:12" s="346" customFormat="1">
      <c r="A109" s="517" t="s">
        <v>42</v>
      </c>
      <c r="B109" s="518">
        <v>2.3E-3</v>
      </c>
      <c r="C109" s="516">
        <f>ROUND(C115*B109,0)</f>
        <v>2596</v>
      </c>
      <c r="D109" s="515" t="s">
        <v>107</v>
      </c>
      <c r="E109" s="516">
        <v>0</v>
      </c>
      <c r="F109" s="516">
        <f>C109-E109-G109-H109</f>
        <v>1817</v>
      </c>
      <c r="G109" s="516">
        <v>0</v>
      </c>
      <c r="H109" s="516">
        <f>ROUND($C109*0.3,0)</f>
        <v>779</v>
      </c>
      <c r="I109" s="516">
        <v>0</v>
      </c>
      <c r="K109" s="890"/>
      <c r="L109" s="890"/>
    </row>
    <row r="110" spans="1:12" s="346" customFormat="1">
      <c r="A110" s="517" t="s">
        <v>85</v>
      </c>
      <c r="B110" s="518">
        <v>1E-4</v>
      </c>
      <c r="C110" s="516">
        <f>ROUND(C115*B110,0)</f>
        <v>113</v>
      </c>
      <c r="D110" s="515" t="s">
        <v>106</v>
      </c>
      <c r="E110" s="516">
        <f>C110</f>
        <v>113</v>
      </c>
      <c r="F110" s="516">
        <v>0</v>
      </c>
      <c r="G110" s="516">
        <v>0</v>
      </c>
      <c r="H110" s="516">
        <v>0</v>
      </c>
      <c r="I110" s="516">
        <v>0</v>
      </c>
      <c r="K110" s="890"/>
      <c r="L110" s="890"/>
    </row>
    <row r="111" spans="1:12" s="346" customFormat="1">
      <c r="A111" s="517" t="s">
        <v>84</v>
      </c>
      <c r="B111" s="518">
        <v>8.9999999999999998E-4</v>
      </c>
      <c r="C111" s="516">
        <f>ROUND(C115*B111,0)</f>
        <v>1016</v>
      </c>
      <c r="D111" s="515" t="s">
        <v>105</v>
      </c>
      <c r="E111" s="516">
        <v>0</v>
      </c>
      <c r="F111" s="516">
        <f>C111</f>
        <v>1016</v>
      </c>
      <c r="G111" s="516">
        <v>0</v>
      </c>
      <c r="H111" s="516">
        <v>0</v>
      </c>
      <c r="I111" s="516">
        <v>0</v>
      </c>
      <c r="K111" s="890"/>
      <c r="L111" s="890"/>
    </row>
    <row r="112" spans="1:12" s="346" customFormat="1">
      <c r="A112" s="517" t="s">
        <v>83</v>
      </c>
      <c r="B112" s="518">
        <v>1.4E-3</v>
      </c>
      <c r="C112" s="516">
        <f>ROUND(C115*B112,0)</f>
        <v>1580</v>
      </c>
      <c r="D112" s="515" t="s">
        <v>105</v>
      </c>
      <c r="E112" s="516">
        <v>0</v>
      </c>
      <c r="F112" s="516">
        <f>C112</f>
        <v>1580</v>
      </c>
      <c r="G112" s="516">
        <v>0</v>
      </c>
      <c r="H112" s="516">
        <v>0</v>
      </c>
      <c r="I112" s="516">
        <v>0</v>
      </c>
      <c r="K112" s="890"/>
      <c r="L112" s="890"/>
    </row>
    <row r="113" spans="1:12" s="346" customFormat="1">
      <c r="A113" s="517" t="s">
        <v>82</v>
      </c>
      <c r="B113" s="518">
        <v>0</v>
      </c>
      <c r="C113" s="516">
        <f>ROUND(C115*B113,0)</f>
        <v>0</v>
      </c>
      <c r="D113" s="515" t="s">
        <v>179</v>
      </c>
      <c r="E113" s="516">
        <v>0</v>
      </c>
      <c r="F113" s="516">
        <v>0</v>
      </c>
      <c r="G113" s="516">
        <f>C113</f>
        <v>0</v>
      </c>
      <c r="H113" s="516">
        <v>0</v>
      </c>
      <c r="I113" s="516">
        <v>0</v>
      </c>
      <c r="K113" s="890"/>
      <c r="L113" s="890"/>
    </row>
    <row r="114" spans="1:12" s="346" customFormat="1" ht="16" thickBot="1">
      <c r="A114" s="519" t="s">
        <v>138</v>
      </c>
      <c r="B114" s="520">
        <v>8.3000000000000001E-3</v>
      </c>
      <c r="C114" s="516">
        <f>ROUND(C115*B114,0)</f>
        <v>9370</v>
      </c>
      <c r="D114" s="521" t="s">
        <v>104</v>
      </c>
      <c r="E114" s="516">
        <v>0</v>
      </c>
      <c r="F114" s="516">
        <v>0</v>
      </c>
      <c r="G114" s="516">
        <v>0</v>
      </c>
      <c r="H114" s="516">
        <f>C114</f>
        <v>9370</v>
      </c>
      <c r="I114" s="516">
        <v>0</v>
      </c>
      <c r="K114" s="901">
        <v>0</v>
      </c>
      <c r="L114" s="890"/>
    </row>
    <row r="115" spans="1:12" s="346" customFormat="1" ht="16" thickBot="1">
      <c r="A115" s="522" t="s">
        <v>103</v>
      </c>
      <c r="B115" s="523">
        <f>SUM(B105:B114)</f>
        <v>0.99999999999999989</v>
      </c>
      <c r="C115" s="524">
        <f>209090+246072+673750</f>
        <v>1128912</v>
      </c>
      <c r="D115" s="524"/>
      <c r="E115" s="524">
        <f>SUM(E105:E114)</f>
        <v>581616</v>
      </c>
      <c r="F115" s="524">
        <f>SUM(F105:F114)</f>
        <v>108566</v>
      </c>
      <c r="G115" s="524">
        <f>SUM(G105:G114)</f>
        <v>385298</v>
      </c>
      <c r="H115" s="524">
        <f>SUM(H105:H114)</f>
        <v>53432</v>
      </c>
      <c r="I115" s="524">
        <v>0</v>
      </c>
      <c r="K115" s="901"/>
      <c r="L115" s="890"/>
    </row>
    <row r="116" spans="1:12" s="346" customFormat="1" ht="16" thickBot="1">
      <c r="A116" s="525" t="s">
        <v>210</v>
      </c>
      <c r="B116" s="526"/>
      <c r="C116" s="527"/>
      <c r="D116" s="528"/>
      <c r="E116" s="529"/>
      <c r="F116" s="524">
        <f>-H116</f>
        <v>53432</v>
      </c>
      <c r="G116" s="529"/>
      <c r="H116" s="524">
        <f>-H115</f>
        <v>-53432</v>
      </c>
      <c r="I116" s="530"/>
      <c r="K116" s="890"/>
      <c r="L116" s="890"/>
    </row>
    <row r="117" spans="1:12" s="346" customFormat="1" ht="16" thickBot="1">
      <c r="A117" s="525" t="s">
        <v>211</v>
      </c>
      <c r="B117" s="526"/>
      <c r="C117" s="524">
        <f>SUM(C115:C116)</f>
        <v>1128912</v>
      </c>
      <c r="D117" s="524"/>
      <c r="E117" s="524">
        <f>SUM(E115:E116)</f>
        <v>581616</v>
      </c>
      <c r="F117" s="524">
        <f>SUM(F115:F116)</f>
        <v>161998</v>
      </c>
      <c r="G117" s="524">
        <f>SUM(G115:G116)</f>
        <v>385298</v>
      </c>
      <c r="H117" s="524">
        <f>SUM(H115:H116)</f>
        <v>0</v>
      </c>
      <c r="I117" s="524">
        <f>SUM(I115:I116)</f>
        <v>0</v>
      </c>
      <c r="K117" s="890"/>
      <c r="L117" s="890"/>
    </row>
    <row r="118" spans="1:12" s="346" customFormat="1" ht="16" thickBot="1">
      <c r="A118" s="533" t="s">
        <v>78</v>
      </c>
      <c r="B118" s="534"/>
      <c r="C118" s="535"/>
      <c r="D118" s="536"/>
      <c r="E118" s="537"/>
      <c r="F118" s="985">
        <f>SUM(F117:G117)</f>
        <v>547296</v>
      </c>
      <c r="G118" s="985"/>
      <c r="H118" s="537"/>
      <c r="I118" s="538"/>
      <c r="K118" s="890"/>
      <c r="L118" s="890"/>
    </row>
    <row r="119" spans="1:12" s="346" customFormat="1" ht="16" thickBot="1">
      <c r="A119" s="550"/>
      <c r="B119" s="551"/>
      <c r="C119" s="552"/>
      <c r="D119" s="552"/>
      <c r="E119" s="552"/>
      <c r="F119" s="552"/>
      <c r="G119" s="552"/>
      <c r="H119" s="552"/>
      <c r="I119" s="552"/>
      <c r="K119" s="890"/>
      <c r="L119" s="890"/>
    </row>
    <row r="120" spans="1:12" s="346" customFormat="1">
      <c r="A120" s="996" t="s">
        <v>101</v>
      </c>
      <c r="B120" s="997"/>
      <c r="C120" s="997"/>
      <c r="D120" s="997"/>
      <c r="E120" s="997"/>
      <c r="F120" s="997"/>
      <c r="G120" s="997"/>
      <c r="H120" s="997"/>
      <c r="I120" s="998"/>
      <c r="K120" s="890"/>
      <c r="L120" s="890"/>
    </row>
    <row r="121" spans="1:12" s="346" customFormat="1" ht="16" thickBot="1">
      <c r="A121" s="992" t="s">
        <v>203</v>
      </c>
      <c r="B121" s="993"/>
      <c r="C121" s="993"/>
      <c r="D121" s="993"/>
      <c r="E121" s="993"/>
      <c r="F121" s="993"/>
      <c r="G121" s="993"/>
      <c r="H121" s="993"/>
      <c r="I121" s="994"/>
      <c r="J121" s="349"/>
      <c r="K121" s="890"/>
      <c r="L121" s="890"/>
    </row>
    <row r="122" spans="1:12" s="346" customFormat="1">
      <c r="A122" s="507"/>
      <c r="B122" s="507"/>
      <c r="C122" s="508" t="s">
        <v>98</v>
      </c>
      <c r="D122" s="508" t="s">
        <v>100</v>
      </c>
      <c r="E122" s="508"/>
      <c r="F122" s="508" t="s">
        <v>99</v>
      </c>
      <c r="G122" s="508" t="s">
        <v>99</v>
      </c>
      <c r="H122" s="508" t="s">
        <v>98</v>
      </c>
      <c r="I122" s="508"/>
      <c r="J122" s="350"/>
      <c r="K122" s="890"/>
      <c r="L122" s="890"/>
    </row>
    <row r="123" spans="1:12" s="346" customFormat="1">
      <c r="A123" s="507"/>
      <c r="B123" s="507" t="s">
        <v>93</v>
      </c>
      <c r="C123" s="508" t="s">
        <v>93</v>
      </c>
      <c r="D123" s="508" t="s">
        <v>97</v>
      </c>
      <c r="E123" s="508" t="s">
        <v>96</v>
      </c>
      <c r="F123" s="508" t="s">
        <v>95</v>
      </c>
      <c r="G123" s="508" t="s">
        <v>94</v>
      </c>
      <c r="H123" s="508" t="s">
        <v>44</v>
      </c>
      <c r="I123" s="508" t="s">
        <v>61</v>
      </c>
      <c r="J123" s="349"/>
      <c r="K123" s="890"/>
      <c r="L123" s="890"/>
    </row>
    <row r="124" spans="1:12" s="346" customFormat="1" ht="16" thickBot="1">
      <c r="A124" s="509" t="s">
        <v>93</v>
      </c>
      <c r="B124" s="509" t="s">
        <v>92</v>
      </c>
      <c r="C124" s="510" t="s">
        <v>91</v>
      </c>
      <c r="D124" s="511" t="s">
        <v>176</v>
      </c>
      <c r="E124" s="510" t="s">
        <v>89</v>
      </c>
      <c r="F124" s="510" t="s">
        <v>89</v>
      </c>
      <c r="G124" s="510" t="s">
        <v>89</v>
      </c>
      <c r="H124" s="510" t="s">
        <v>89</v>
      </c>
      <c r="I124" s="510" t="s">
        <v>89</v>
      </c>
      <c r="J124" s="349"/>
      <c r="K124" s="890"/>
      <c r="L124" s="890"/>
    </row>
    <row r="125" spans="1:12" s="346" customFormat="1">
      <c r="A125" s="553" t="s">
        <v>88</v>
      </c>
      <c r="B125" s="513"/>
      <c r="C125" s="516">
        <f t="shared" ref="C125:C134" si="3">SUMIF($A$12:$A$114,$A125,C$12:C$114)</f>
        <v>16235834</v>
      </c>
      <c r="D125" s="515"/>
      <c r="E125" s="516">
        <f>SUMIF($A$12:$A$114,$A125,E$12:E$114)</f>
        <v>16235834</v>
      </c>
      <c r="F125" s="516">
        <f>SUMIF($A$12:$A$114,$A125,F$12:F$114)</f>
        <v>0</v>
      </c>
      <c r="G125" s="516">
        <f>SUMIF($A$12:$A$114,$A125,G$12:G$114)</f>
        <v>0</v>
      </c>
      <c r="H125" s="516">
        <f>SUMIF($A$12:$A$114,$A125,H$12:H$114)</f>
        <v>0</v>
      </c>
      <c r="I125" s="516">
        <f>SUMIF($A$12:$A$114,$A125,I$12:I$114)</f>
        <v>0</v>
      </c>
      <c r="K125" s="890"/>
      <c r="L125" s="890"/>
    </row>
    <row r="126" spans="1:12" s="346" customFormat="1">
      <c r="A126" s="517" t="s">
        <v>43</v>
      </c>
      <c r="B126" s="518"/>
      <c r="C126" s="516">
        <f t="shared" si="3"/>
        <v>14734682</v>
      </c>
      <c r="D126" s="515"/>
      <c r="E126" s="516">
        <f t="shared" ref="E126:H134" si="4">SUMIF($A$12:$A$114,$A126,E$12:E$114)</f>
        <v>7367340</v>
      </c>
      <c r="F126" s="516">
        <f t="shared" si="4"/>
        <v>7324059</v>
      </c>
      <c r="G126" s="516">
        <f t="shared" si="4"/>
        <v>0</v>
      </c>
      <c r="H126" s="516">
        <f t="shared" si="4"/>
        <v>43283</v>
      </c>
      <c r="I126" s="516">
        <f t="shared" ref="I126:I134" si="5">SUMIF($A$12:$A$94,$A126,I$12:I$94)</f>
        <v>0</v>
      </c>
      <c r="K126" s="890"/>
      <c r="L126" s="890"/>
    </row>
    <row r="127" spans="1:12" s="346" customFormat="1">
      <c r="A127" s="517" t="s">
        <v>87</v>
      </c>
      <c r="B127" s="518"/>
      <c r="C127" s="516">
        <f t="shared" si="3"/>
        <v>133133</v>
      </c>
      <c r="D127" s="515"/>
      <c r="E127" s="516">
        <f t="shared" si="4"/>
        <v>0</v>
      </c>
      <c r="F127" s="516">
        <f t="shared" si="4"/>
        <v>133133</v>
      </c>
      <c r="G127" s="516">
        <f t="shared" si="4"/>
        <v>0</v>
      </c>
      <c r="H127" s="516">
        <f t="shared" si="4"/>
        <v>0</v>
      </c>
      <c r="I127" s="516">
        <f t="shared" si="5"/>
        <v>0</v>
      </c>
      <c r="K127" s="890"/>
      <c r="L127" s="890"/>
    </row>
    <row r="128" spans="1:12" s="346" customFormat="1">
      <c r="A128" s="517" t="s">
        <v>86</v>
      </c>
      <c r="B128" s="518"/>
      <c r="C128" s="516">
        <f t="shared" si="3"/>
        <v>15881028</v>
      </c>
      <c r="D128" s="515"/>
      <c r="E128" s="516">
        <f t="shared" si="4"/>
        <v>13944111</v>
      </c>
      <c r="F128" s="516">
        <f t="shared" si="4"/>
        <v>0</v>
      </c>
      <c r="G128" s="516">
        <f t="shared" si="4"/>
        <v>1936917</v>
      </c>
      <c r="H128" s="516">
        <f t="shared" si="4"/>
        <v>0</v>
      </c>
      <c r="I128" s="516">
        <f t="shared" si="5"/>
        <v>0</v>
      </c>
      <c r="K128" s="890"/>
      <c r="L128" s="890"/>
    </row>
    <row r="129" spans="1:12" s="346" customFormat="1">
      <c r="A129" s="517" t="s">
        <v>42</v>
      </c>
      <c r="B129" s="518"/>
      <c r="C129" s="516">
        <f t="shared" si="3"/>
        <v>1774065</v>
      </c>
      <c r="D129" s="515"/>
      <c r="E129" s="516">
        <f t="shared" si="4"/>
        <v>0</v>
      </c>
      <c r="F129" s="516">
        <f t="shared" si="4"/>
        <v>1773286</v>
      </c>
      <c r="G129" s="516">
        <f t="shared" si="4"/>
        <v>0</v>
      </c>
      <c r="H129" s="516">
        <f t="shared" si="4"/>
        <v>779</v>
      </c>
      <c r="I129" s="516">
        <f t="shared" si="5"/>
        <v>0</v>
      </c>
      <c r="K129" s="890"/>
      <c r="L129" s="890"/>
    </row>
    <row r="130" spans="1:12" s="346" customFormat="1">
      <c r="A130" s="517" t="s">
        <v>85</v>
      </c>
      <c r="B130" s="518"/>
      <c r="C130" s="516">
        <f t="shared" si="3"/>
        <v>4927</v>
      </c>
      <c r="D130" s="515"/>
      <c r="E130" s="516">
        <f t="shared" si="4"/>
        <v>4927</v>
      </c>
      <c r="F130" s="516">
        <f t="shared" si="4"/>
        <v>0</v>
      </c>
      <c r="G130" s="516">
        <f t="shared" si="4"/>
        <v>0</v>
      </c>
      <c r="H130" s="516">
        <f t="shared" si="4"/>
        <v>0</v>
      </c>
      <c r="I130" s="516">
        <f t="shared" si="5"/>
        <v>0</v>
      </c>
      <c r="K130" s="890"/>
      <c r="L130" s="890"/>
    </row>
    <row r="131" spans="1:12" s="346" customFormat="1">
      <c r="A131" s="517" t="s">
        <v>84</v>
      </c>
      <c r="B131" s="518"/>
      <c r="C131" s="516">
        <f t="shared" si="3"/>
        <v>44340</v>
      </c>
      <c r="D131" s="515"/>
      <c r="E131" s="516">
        <f t="shared" si="4"/>
        <v>0</v>
      </c>
      <c r="F131" s="516">
        <f t="shared" si="4"/>
        <v>44340</v>
      </c>
      <c r="G131" s="516">
        <f t="shared" si="4"/>
        <v>0</v>
      </c>
      <c r="H131" s="516">
        <f t="shared" si="4"/>
        <v>0</v>
      </c>
      <c r="I131" s="516">
        <f t="shared" si="5"/>
        <v>0</v>
      </c>
      <c r="K131" s="890"/>
      <c r="L131" s="890"/>
    </row>
    <row r="132" spans="1:12" s="346" customFormat="1">
      <c r="A132" s="517" t="s">
        <v>83</v>
      </c>
      <c r="B132" s="518"/>
      <c r="C132" s="516">
        <f t="shared" si="3"/>
        <v>64159</v>
      </c>
      <c r="D132" s="515"/>
      <c r="E132" s="516">
        <f t="shared" si="4"/>
        <v>0</v>
      </c>
      <c r="F132" s="516">
        <f t="shared" si="4"/>
        <v>64159</v>
      </c>
      <c r="G132" s="516">
        <f t="shared" si="4"/>
        <v>0</v>
      </c>
      <c r="H132" s="516">
        <f t="shared" si="4"/>
        <v>0</v>
      </c>
      <c r="I132" s="516">
        <f t="shared" si="5"/>
        <v>0</v>
      </c>
      <c r="K132" s="890"/>
      <c r="L132" s="890"/>
    </row>
    <row r="133" spans="1:12" s="346" customFormat="1">
      <c r="A133" s="517" t="s">
        <v>82</v>
      </c>
      <c r="B133" s="518"/>
      <c r="C133" s="516">
        <f t="shared" si="3"/>
        <v>0</v>
      </c>
      <c r="D133" s="515"/>
      <c r="E133" s="516">
        <f t="shared" si="4"/>
        <v>0</v>
      </c>
      <c r="F133" s="516">
        <f t="shared" si="4"/>
        <v>0</v>
      </c>
      <c r="G133" s="516">
        <f t="shared" si="4"/>
        <v>0</v>
      </c>
      <c r="H133" s="516">
        <f t="shared" si="4"/>
        <v>0</v>
      </c>
      <c r="I133" s="516">
        <f t="shared" si="5"/>
        <v>0</v>
      </c>
      <c r="K133" s="890"/>
      <c r="L133" s="890"/>
    </row>
    <row r="134" spans="1:12" s="346" customFormat="1" ht="16" thickBot="1">
      <c r="A134" s="517" t="s">
        <v>138</v>
      </c>
      <c r="B134" s="498"/>
      <c r="C134" s="516">
        <f t="shared" si="3"/>
        <v>394472</v>
      </c>
      <c r="D134" s="515"/>
      <c r="E134" s="516">
        <f t="shared" si="4"/>
        <v>0</v>
      </c>
      <c r="F134" s="516">
        <f t="shared" si="4"/>
        <v>0</v>
      </c>
      <c r="G134" s="516">
        <f t="shared" si="4"/>
        <v>0</v>
      </c>
      <c r="H134" s="516">
        <f t="shared" si="4"/>
        <v>394472</v>
      </c>
      <c r="I134" s="516">
        <f t="shared" si="5"/>
        <v>0</v>
      </c>
      <c r="K134" s="900">
        <f>SUM(K22:K114)</f>
        <v>751412</v>
      </c>
      <c r="L134" s="890"/>
    </row>
    <row r="135" spans="1:12" s="346" customFormat="1" ht="16" thickBot="1">
      <c r="A135" s="554" t="s">
        <v>81</v>
      </c>
      <c r="B135" s="555"/>
      <c r="C135" s="524">
        <f>SUM(C125:C134)</f>
        <v>49266640</v>
      </c>
      <c r="D135" s="524"/>
      <c r="E135" s="524">
        <f>SUM(E125:E134)</f>
        <v>37552212</v>
      </c>
      <c r="F135" s="524">
        <f>SUM(F125:F134)</f>
        <v>9338977</v>
      </c>
      <c r="G135" s="524">
        <f>SUM(G125:G134)</f>
        <v>1936917</v>
      </c>
      <c r="H135" s="556">
        <f>SUM(H125:H134)</f>
        <v>438534</v>
      </c>
      <c r="I135" s="524">
        <f>SUM(I125:I134)</f>
        <v>0</v>
      </c>
      <c r="K135" s="890"/>
      <c r="L135" s="890"/>
    </row>
    <row r="136" spans="1:12" s="346" customFormat="1" ht="16" thickBot="1">
      <c r="A136" s="525" t="s">
        <v>180</v>
      </c>
      <c r="B136" s="526"/>
      <c r="C136" s="524"/>
      <c r="D136" s="524"/>
      <c r="E136" s="524"/>
      <c r="F136" s="556">
        <f>F23</f>
        <v>-366310</v>
      </c>
      <c r="G136" s="524"/>
      <c r="H136" s="556">
        <f>H23</f>
        <v>366310</v>
      </c>
      <c r="I136" s="524"/>
      <c r="K136" s="890"/>
      <c r="L136" s="890"/>
    </row>
    <row r="137" spans="1:12" s="346" customFormat="1" ht="16" thickBot="1">
      <c r="A137" s="525" t="s">
        <v>212</v>
      </c>
      <c r="B137" s="526"/>
      <c r="C137" s="524"/>
      <c r="D137" s="524"/>
      <c r="E137" s="524"/>
      <c r="F137" s="556">
        <f>F116</f>
        <v>53432</v>
      </c>
      <c r="G137" s="524"/>
      <c r="H137" s="556">
        <f>H116</f>
        <v>-53432</v>
      </c>
      <c r="I137" s="524"/>
      <c r="K137" s="890"/>
      <c r="L137" s="890"/>
    </row>
    <row r="138" spans="1:12" s="346" customFormat="1" ht="16" thickBot="1">
      <c r="A138" s="522" t="s">
        <v>103</v>
      </c>
      <c r="B138" s="531"/>
      <c r="C138" s="530">
        <f>SUM(C135:C136)</f>
        <v>49266640</v>
      </c>
      <c r="D138" s="532"/>
      <c r="E138" s="530">
        <f>SUM(E135:E136)</f>
        <v>37552212</v>
      </c>
      <c r="F138" s="530">
        <f>SUM(F135:F137)</f>
        <v>9026099</v>
      </c>
      <c r="G138" s="530">
        <f>SUM(G135:G136)</f>
        <v>1936917</v>
      </c>
      <c r="H138" s="530">
        <f>SUM(H135:H137)</f>
        <v>751412</v>
      </c>
      <c r="I138" s="530">
        <f>SUM(I135:I136)</f>
        <v>0</v>
      </c>
      <c r="K138" s="890"/>
      <c r="L138" s="890"/>
    </row>
    <row r="139" spans="1:12" s="346" customFormat="1" ht="16" thickBot="1">
      <c r="A139" s="525" t="s">
        <v>112</v>
      </c>
      <c r="B139" s="526"/>
      <c r="C139" s="527"/>
      <c r="D139" s="528"/>
      <c r="E139" s="529"/>
      <c r="F139" s="524">
        <f>-H139</f>
        <v>751412</v>
      </c>
      <c r="G139" s="529"/>
      <c r="H139" s="524">
        <f>-H138</f>
        <v>-751412</v>
      </c>
      <c r="I139" s="524"/>
      <c r="K139" s="833"/>
      <c r="L139" s="833"/>
    </row>
    <row r="140" spans="1:12" s="346" customFormat="1" ht="16" thickBot="1">
      <c r="A140" s="525" t="s">
        <v>79</v>
      </c>
      <c r="B140" s="526"/>
      <c r="C140" s="530">
        <f>SUM(C138:C139)</f>
        <v>49266640</v>
      </c>
      <c r="D140" s="530"/>
      <c r="E140" s="530">
        <f>SUM(E138:E139)</f>
        <v>37552212</v>
      </c>
      <c r="F140" s="530">
        <f>SUM(F138:F139)</f>
        <v>9777511</v>
      </c>
      <c r="G140" s="530">
        <f>SUM(G138:G139)</f>
        <v>1936917</v>
      </c>
      <c r="H140" s="530">
        <f>SUM(H138:H139)</f>
        <v>0</v>
      </c>
      <c r="I140" s="530">
        <f>SUM(I135:I139)</f>
        <v>0</v>
      </c>
      <c r="K140" s="833"/>
      <c r="L140" s="833"/>
    </row>
    <row r="141" spans="1:12" s="346" customFormat="1" ht="16" thickBot="1">
      <c r="A141" s="533" t="s">
        <v>78</v>
      </c>
      <c r="B141" s="557"/>
      <c r="C141" s="558"/>
      <c r="D141" s="558"/>
      <c r="E141" s="538"/>
      <c r="F141" s="995">
        <f>SUM(F140:G140)</f>
        <v>11714428</v>
      </c>
      <c r="G141" s="995"/>
      <c r="H141" s="559"/>
      <c r="I141" s="538"/>
      <c r="K141" s="865"/>
      <c r="L141" s="890"/>
    </row>
    <row r="142" spans="1:12" s="346" customFormat="1">
      <c r="A142" s="539"/>
      <c r="B142" s="540"/>
      <c r="C142" s="541"/>
      <c r="D142" s="541"/>
      <c r="E142" s="542"/>
      <c r="F142" s="543"/>
      <c r="G142" s="543"/>
      <c r="H142" s="542"/>
      <c r="I142" s="498"/>
      <c r="K142" s="833"/>
      <c r="L142" s="833"/>
    </row>
    <row r="143" spans="1:12" s="346" customFormat="1">
      <c r="A143" s="498"/>
      <c r="B143" s="498"/>
      <c r="C143" s="498"/>
      <c r="D143" s="498"/>
      <c r="E143" s="498"/>
      <c r="F143" s="498"/>
      <c r="G143" s="498"/>
      <c r="H143" s="498"/>
      <c r="I143" s="498"/>
      <c r="K143" s="833"/>
      <c r="L143" s="833"/>
    </row>
    <row r="144" spans="1:12" s="346" customFormat="1">
      <c r="A144" s="498"/>
      <c r="B144" s="498"/>
      <c r="C144" s="737"/>
      <c r="D144" s="498"/>
      <c r="E144" s="818"/>
      <c r="F144" s="818"/>
      <c r="G144" s="818"/>
      <c r="H144" s="818"/>
      <c r="I144" s="818"/>
      <c r="J144" s="819"/>
      <c r="K144" s="833"/>
      <c r="L144" s="833"/>
    </row>
    <row r="145" spans="1:12" s="346" customFormat="1">
      <c r="A145" s="498"/>
      <c r="B145" s="498"/>
      <c r="C145" s="498"/>
      <c r="D145" s="498"/>
      <c r="E145" s="498"/>
      <c r="F145" s="498"/>
      <c r="G145" s="498"/>
      <c r="H145" s="498"/>
      <c r="I145" s="498"/>
      <c r="K145" s="833"/>
      <c r="L145" s="833"/>
    </row>
    <row r="146" spans="1:12" s="346" customFormat="1">
      <c r="A146" s="498"/>
      <c r="B146" s="498"/>
      <c r="C146" s="498"/>
      <c r="D146" s="498"/>
      <c r="E146" s="498"/>
      <c r="F146" s="498"/>
      <c r="G146" s="498"/>
      <c r="H146" s="498"/>
      <c r="I146" s="498"/>
      <c r="K146" s="833"/>
      <c r="L146" s="833"/>
    </row>
    <row r="147" spans="1:12" s="346" customFormat="1">
      <c r="A147" s="498"/>
      <c r="B147" s="498"/>
      <c r="C147" s="498"/>
      <c r="D147" s="498"/>
      <c r="E147" s="498"/>
      <c r="F147" s="498"/>
      <c r="G147" s="498"/>
      <c r="H147" s="498"/>
      <c r="I147" s="498"/>
      <c r="K147" s="833"/>
      <c r="L147" s="833"/>
    </row>
    <row r="148" spans="1:12" s="346" customFormat="1">
      <c r="A148" s="498"/>
      <c r="B148" s="498"/>
      <c r="C148" s="498"/>
      <c r="D148" s="498"/>
      <c r="E148" s="498"/>
      <c r="F148" s="498"/>
      <c r="G148" s="498"/>
      <c r="H148" s="498"/>
      <c r="I148" s="498"/>
      <c r="K148" s="833"/>
      <c r="L148" s="833"/>
    </row>
    <row r="149" spans="1:12" s="346" customFormat="1">
      <c r="A149" s="498"/>
      <c r="B149" s="498"/>
      <c r="C149" s="498"/>
      <c r="D149" s="498"/>
      <c r="E149" s="498"/>
      <c r="F149" s="498"/>
      <c r="G149" s="498"/>
      <c r="H149" s="498"/>
      <c r="I149" s="498"/>
      <c r="K149" s="833"/>
      <c r="L149" s="833"/>
    </row>
    <row r="150" spans="1:12" s="346" customFormat="1">
      <c r="A150" s="498"/>
      <c r="B150" s="498"/>
      <c r="C150" s="498"/>
      <c r="D150" s="498"/>
      <c r="E150" s="498"/>
      <c r="F150" s="498"/>
      <c r="G150" s="498"/>
      <c r="H150" s="498"/>
      <c r="I150" s="498"/>
      <c r="K150" s="833"/>
      <c r="L150" s="833"/>
    </row>
    <row r="151" spans="1:12" s="346" customFormat="1">
      <c r="A151" s="498"/>
      <c r="B151" s="498"/>
      <c r="C151" s="498"/>
      <c r="D151" s="498"/>
      <c r="E151" s="498"/>
      <c r="F151" s="498"/>
      <c r="G151" s="498"/>
      <c r="H151" s="498"/>
      <c r="I151" s="498"/>
      <c r="K151" s="833"/>
      <c r="L151" s="833"/>
    </row>
    <row r="152" spans="1:12" s="346" customFormat="1">
      <c r="A152" s="498"/>
      <c r="B152" s="498"/>
      <c r="C152" s="498"/>
      <c r="D152" s="498"/>
      <c r="E152" s="498"/>
      <c r="F152" s="498"/>
      <c r="G152" s="498"/>
      <c r="H152" s="498"/>
      <c r="I152" s="498"/>
      <c r="K152" s="833"/>
      <c r="L152" s="833"/>
    </row>
    <row r="153" spans="1:12" s="346" customFormat="1">
      <c r="A153" s="498"/>
      <c r="B153" s="498"/>
      <c r="C153" s="498"/>
      <c r="D153" s="498"/>
      <c r="E153" s="498"/>
      <c r="F153" s="498"/>
      <c r="G153" s="498"/>
      <c r="H153" s="498"/>
      <c r="I153" s="498"/>
      <c r="K153" s="833"/>
      <c r="L153" s="833"/>
    </row>
    <row r="154" spans="1:12" s="346" customFormat="1">
      <c r="A154" s="498"/>
      <c r="B154" s="498"/>
      <c r="C154" s="498"/>
      <c r="D154" s="498"/>
      <c r="E154" s="498"/>
      <c r="F154" s="498"/>
      <c r="G154" s="498"/>
      <c r="H154" s="498"/>
      <c r="I154" s="498"/>
      <c r="K154" s="833"/>
      <c r="L154" s="833"/>
    </row>
    <row r="155" spans="1:12" s="346" customFormat="1">
      <c r="A155" s="498"/>
      <c r="B155" s="498"/>
      <c r="C155" s="498"/>
      <c r="D155" s="498"/>
      <c r="E155" s="498"/>
      <c r="F155" s="498"/>
      <c r="G155" s="498"/>
      <c r="H155" s="498"/>
      <c r="I155" s="498"/>
      <c r="K155" s="833"/>
      <c r="L155" s="833"/>
    </row>
    <row r="156" spans="1:12" s="346" customFormat="1">
      <c r="A156" s="498"/>
      <c r="B156" s="498"/>
      <c r="C156" s="498"/>
      <c r="D156" s="498"/>
      <c r="E156" s="498"/>
      <c r="F156" s="498"/>
      <c r="G156" s="498"/>
      <c r="H156" s="498"/>
      <c r="I156" s="498"/>
      <c r="K156" s="833"/>
      <c r="L156" s="833"/>
    </row>
    <row r="157" spans="1:12" s="346" customFormat="1">
      <c r="A157" s="498"/>
      <c r="B157" s="498"/>
      <c r="C157" s="498"/>
      <c r="D157" s="498"/>
      <c r="E157" s="498"/>
      <c r="F157" s="498"/>
      <c r="G157" s="498"/>
      <c r="H157" s="498"/>
      <c r="I157" s="498"/>
      <c r="K157" s="833"/>
      <c r="L157" s="833"/>
    </row>
    <row r="158" spans="1:12" s="346" customFormat="1">
      <c r="A158" s="498"/>
      <c r="B158" s="498"/>
      <c r="C158" s="498"/>
      <c r="D158" s="498"/>
      <c r="E158" s="498"/>
      <c r="F158" s="498"/>
      <c r="G158" s="498"/>
      <c r="H158" s="498"/>
      <c r="I158" s="498"/>
      <c r="K158" s="833"/>
      <c r="L158" s="833"/>
    </row>
    <row r="159" spans="1:12" s="346" customFormat="1">
      <c r="A159" s="498"/>
      <c r="B159" s="498"/>
      <c r="C159" s="498"/>
      <c r="D159" s="498"/>
      <c r="E159" s="498"/>
      <c r="F159" s="498"/>
      <c r="G159" s="498"/>
      <c r="H159" s="498"/>
      <c r="I159" s="498"/>
      <c r="K159" s="833"/>
      <c r="L159" s="833"/>
    </row>
    <row r="160" spans="1:12" s="346" customFormat="1">
      <c r="A160" s="498"/>
      <c r="B160" s="498"/>
      <c r="C160" s="498"/>
      <c r="D160" s="498"/>
      <c r="E160" s="498"/>
      <c r="F160" s="498"/>
      <c r="G160" s="498"/>
      <c r="H160" s="498"/>
      <c r="I160" s="498"/>
      <c r="K160" s="833"/>
      <c r="L160" s="833"/>
    </row>
    <row r="161" spans="1:12" s="346" customFormat="1">
      <c r="A161" s="498"/>
      <c r="B161" s="498"/>
      <c r="C161" s="498"/>
      <c r="D161" s="498"/>
      <c r="E161" s="498"/>
      <c r="F161" s="498"/>
      <c r="G161" s="498"/>
      <c r="H161" s="498"/>
      <c r="I161" s="498"/>
      <c r="K161" s="833"/>
      <c r="L161" s="833"/>
    </row>
    <row r="162" spans="1:12" s="346" customFormat="1">
      <c r="A162" s="498"/>
      <c r="B162" s="498"/>
      <c r="C162" s="498"/>
      <c r="D162" s="498"/>
      <c r="E162" s="498"/>
      <c r="F162" s="498"/>
      <c r="G162" s="498"/>
      <c r="H162" s="498"/>
      <c r="I162" s="498"/>
      <c r="K162" s="833"/>
      <c r="L162" s="833"/>
    </row>
    <row r="163" spans="1:12" s="346" customFormat="1">
      <c r="A163" s="498"/>
      <c r="B163" s="498"/>
      <c r="C163" s="498"/>
      <c r="D163" s="498"/>
      <c r="E163" s="498"/>
      <c r="F163" s="498"/>
      <c r="G163" s="498"/>
      <c r="H163" s="498"/>
      <c r="I163" s="498"/>
      <c r="K163" s="833"/>
      <c r="L163" s="833"/>
    </row>
    <row r="164" spans="1:12" s="346" customFormat="1">
      <c r="A164" s="498"/>
      <c r="B164" s="498"/>
      <c r="C164" s="498"/>
      <c r="D164" s="498"/>
      <c r="E164" s="498"/>
      <c r="F164" s="498"/>
      <c r="G164" s="498"/>
      <c r="H164" s="498"/>
      <c r="I164" s="498"/>
      <c r="K164" s="833"/>
      <c r="L164" s="833"/>
    </row>
    <row r="165" spans="1:12" s="346" customFormat="1">
      <c r="A165" s="498"/>
      <c r="B165" s="498"/>
      <c r="C165" s="498"/>
      <c r="D165" s="498"/>
      <c r="E165" s="498"/>
      <c r="F165" s="498"/>
      <c r="G165" s="498"/>
      <c r="H165" s="498"/>
      <c r="I165" s="498"/>
      <c r="K165" s="833"/>
      <c r="L165" s="833"/>
    </row>
    <row r="166" spans="1:12" s="346" customFormat="1">
      <c r="A166" s="498"/>
      <c r="B166" s="498"/>
      <c r="C166" s="498"/>
      <c r="D166" s="498"/>
      <c r="E166" s="498"/>
      <c r="F166" s="498"/>
      <c r="G166" s="498"/>
      <c r="H166" s="498"/>
      <c r="I166" s="498"/>
      <c r="K166" s="833"/>
      <c r="L166" s="833"/>
    </row>
    <row r="167" spans="1:12" s="346" customFormat="1">
      <c r="A167" s="498"/>
      <c r="B167" s="498"/>
      <c r="C167" s="498"/>
      <c r="D167" s="498"/>
      <c r="E167" s="498"/>
      <c r="F167" s="498"/>
      <c r="G167" s="498"/>
      <c r="H167" s="498"/>
      <c r="I167" s="498"/>
      <c r="K167" s="833"/>
      <c r="L167" s="833"/>
    </row>
    <row r="168" spans="1:12" s="346" customFormat="1">
      <c r="A168" s="498"/>
      <c r="B168" s="498"/>
      <c r="C168" s="498"/>
      <c r="D168" s="498"/>
      <c r="E168" s="498"/>
      <c r="F168" s="498"/>
      <c r="G168" s="498"/>
      <c r="H168" s="498"/>
      <c r="I168" s="498"/>
      <c r="K168" s="833"/>
      <c r="L168" s="833"/>
    </row>
    <row r="169" spans="1:12" s="346" customFormat="1">
      <c r="A169" s="498"/>
      <c r="B169" s="498"/>
      <c r="C169" s="498"/>
      <c r="D169" s="498"/>
      <c r="E169" s="498"/>
      <c r="F169" s="498"/>
      <c r="G169" s="498"/>
      <c r="H169" s="498"/>
      <c r="I169" s="498"/>
      <c r="K169" s="833"/>
      <c r="L169" s="833"/>
    </row>
    <row r="170" spans="1:12" s="346" customFormat="1">
      <c r="A170" s="498"/>
      <c r="B170" s="498"/>
      <c r="C170" s="498"/>
      <c r="D170" s="498"/>
      <c r="E170" s="498"/>
      <c r="F170" s="498"/>
      <c r="G170" s="498"/>
      <c r="H170" s="498"/>
      <c r="I170" s="498"/>
      <c r="K170" s="833"/>
      <c r="L170" s="833"/>
    </row>
    <row r="171" spans="1:12" s="346" customFormat="1">
      <c r="A171" s="498"/>
      <c r="B171" s="498"/>
      <c r="C171" s="498"/>
      <c r="D171" s="498"/>
      <c r="E171" s="498"/>
      <c r="F171" s="498"/>
      <c r="G171" s="498"/>
      <c r="H171" s="498"/>
      <c r="I171" s="498"/>
      <c r="K171" s="833"/>
      <c r="L171" s="833"/>
    </row>
    <row r="172" spans="1:12" s="346" customFormat="1">
      <c r="A172" s="498"/>
      <c r="B172" s="498"/>
      <c r="C172" s="498"/>
      <c r="D172" s="498"/>
      <c r="E172" s="498"/>
      <c r="F172" s="498"/>
      <c r="G172" s="498"/>
      <c r="H172" s="498"/>
      <c r="I172" s="498"/>
      <c r="K172" s="833"/>
      <c r="L172" s="833"/>
    </row>
    <row r="173" spans="1:12" s="346" customFormat="1">
      <c r="A173" s="498"/>
      <c r="B173" s="498"/>
      <c r="C173" s="498"/>
      <c r="D173" s="498"/>
      <c r="E173" s="498"/>
      <c r="F173" s="498"/>
      <c r="G173" s="498"/>
      <c r="H173" s="498"/>
      <c r="I173" s="498"/>
      <c r="K173" s="833"/>
      <c r="L173" s="833"/>
    </row>
    <row r="174" spans="1:12" s="346" customFormat="1">
      <c r="A174" s="498"/>
      <c r="B174" s="498"/>
      <c r="C174" s="498"/>
      <c r="D174" s="498"/>
      <c r="E174" s="498"/>
      <c r="F174" s="498"/>
      <c r="G174" s="498"/>
      <c r="H174" s="498"/>
      <c r="I174" s="498"/>
      <c r="K174" s="833"/>
      <c r="L174" s="833"/>
    </row>
    <row r="175" spans="1:12" s="346" customFormat="1">
      <c r="A175" s="498"/>
      <c r="B175" s="498"/>
      <c r="C175" s="498"/>
      <c r="D175" s="498"/>
      <c r="E175" s="498"/>
      <c r="F175" s="498"/>
      <c r="G175" s="498"/>
      <c r="H175" s="498"/>
      <c r="I175" s="498"/>
      <c r="K175" s="833"/>
      <c r="L175" s="833"/>
    </row>
    <row r="176" spans="1:12" s="346" customFormat="1">
      <c r="A176" s="498"/>
      <c r="B176" s="498"/>
      <c r="C176" s="498"/>
      <c r="D176" s="498"/>
      <c r="E176" s="498"/>
      <c r="F176" s="498"/>
      <c r="G176" s="498"/>
      <c r="H176" s="498"/>
      <c r="I176" s="498"/>
      <c r="K176" s="833"/>
      <c r="L176" s="833"/>
    </row>
    <row r="177" spans="1:12" s="346" customFormat="1">
      <c r="A177" s="498"/>
      <c r="B177" s="498"/>
      <c r="C177" s="498"/>
      <c r="D177" s="498"/>
      <c r="E177" s="498"/>
      <c r="F177" s="498"/>
      <c r="G177" s="498"/>
      <c r="H177" s="498"/>
      <c r="I177" s="498"/>
      <c r="K177" s="833"/>
      <c r="L177" s="833"/>
    </row>
    <row r="178" spans="1:12" s="346" customFormat="1">
      <c r="A178" s="498"/>
      <c r="B178" s="498"/>
      <c r="C178" s="498"/>
      <c r="D178" s="498"/>
      <c r="E178" s="498"/>
      <c r="F178" s="498"/>
      <c r="G178" s="498"/>
      <c r="H178" s="498"/>
      <c r="I178" s="498"/>
      <c r="K178" s="833"/>
      <c r="L178" s="833"/>
    </row>
    <row r="179" spans="1:12" s="346" customFormat="1">
      <c r="A179" s="498"/>
      <c r="B179" s="498"/>
      <c r="C179" s="498"/>
      <c r="D179" s="498"/>
      <c r="E179" s="498"/>
      <c r="F179" s="498"/>
      <c r="G179" s="498"/>
      <c r="H179" s="498"/>
      <c r="I179" s="498"/>
      <c r="K179" s="833"/>
      <c r="L179" s="833"/>
    </row>
    <row r="180" spans="1:12" s="346" customFormat="1">
      <c r="A180" s="498"/>
      <c r="B180" s="498"/>
      <c r="C180" s="498"/>
      <c r="D180" s="498"/>
      <c r="E180" s="498"/>
      <c r="F180" s="498"/>
      <c r="G180" s="498"/>
      <c r="H180" s="498"/>
      <c r="I180" s="498"/>
      <c r="K180" s="833"/>
      <c r="L180" s="833"/>
    </row>
    <row r="181" spans="1:12" s="346" customFormat="1">
      <c r="A181" s="498"/>
      <c r="B181" s="498"/>
      <c r="C181" s="498"/>
      <c r="D181" s="498"/>
      <c r="E181" s="498"/>
      <c r="F181" s="498"/>
      <c r="G181" s="498"/>
      <c r="H181" s="498"/>
      <c r="I181" s="498"/>
      <c r="K181" s="833"/>
      <c r="L181" s="833"/>
    </row>
    <row r="182" spans="1:12" s="346" customFormat="1">
      <c r="A182" s="498"/>
      <c r="B182" s="498"/>
      <c r="C182" s="498"/>
      <c r="D182" s="498"/>
      <c r="E182" s="498"/>
      <c r="F182" s="498"/>
      <c r="G182" s="498"/>
      <c r="H182" s="498"/>
      <c r="I182" s="498"/>
      <c r="K182" s="833"/>
      <c r="L182" s="833"/>
    </row>
    <row r="183" spans="1:12" s="346" customFormat="1">
      <c r="A183" s="498"/>
      <c r="B183" s="498"/>
      <c r="C183" s="498"/>
      <c r="D183" s="498"/>
      <c r="E183" s="498"/>
      <c r="F183" s="498"/>
      <c r="G183" s="498"/>
      <c r="H183" s="498"/>
      <c r="I183" s="498"/>
      <c r="K183" s="833"/>
      <c r="L183" s="833"/>
    </row>
    <row r="184" spans="1:12" s="346" customFormat="1">
      <c r="A184" s="498"/>
      <c r="B184" s="498"/>
      <c r="C184" s="498"/>
      <c r="D184" s="498"/>
      <c r="E184" s="498"/>
      <c r="F184" s="498"/>
      <c r="G184" s="498"/>
      <c r="H184" s="498"/>
      <c r="I184" s="498"/>
      <c r="K184" s="833"/>
      <c r="L184" s="833"/>
    </row>
    <row r="185" spans="1:12" s="346" customFormat="1">
      <c r="A185" s="498"/>
      <c r="B185" s="498"/>
      <c r="C185" s="498"/>
      <c r="D185" s="498"/>
      <c r="E185" s="498"/>
      <c r="F185" s="498"/>
      <c r="G185" s="498"/>
      <c r="H185" s="498"/>
      <c r="I185" s="498"/>
      <c r="K185" s="833"/>
      <c r="L185" s="833"/>
    </row>
    <row r="186" spans="1:12" s="346" customFormat="1">
      <c r="A186" s="498"/>
      <c r="B186" s="498"/>
      <c r="C186" s="498"/>
      <c r="D186" s="498"/>
      <c r="E186" s="498"/>
      <c r="F186" s="498"/>
      <c r="G186" s="498"/>
      <c r="H186" s="498"/>
      <c r="I186" s="498"/>
      <c r="K186" s="833"/>
      <c r="L186" s="833"/>
    </row>
    <row r="187" spans="1:12" s="346" customFormat="1">
      <c r="A187" s="498"/>
      <c r="B187" s="498"/>
      <c r="C187" s="498"/>
      <c r="D187" s="498"/>
      <c r="E187" s="498"/>
      <c r="F187" s="498"/>
      <c r="G187" s="498"/>
      <c r="H187" s="498"/>
      <c r="I187" s="498"/>
      <c r="K187" s="833"/>
      <c r="L187" s="833"/>
    </row>
    <row r="188" spans="1:12" s="346" customFormat="1">
      <c r="A188" s="498"/>
      <c r="B188" s="498"/>
      <c r="C188" s="498"/>
      <c r="D188" s="498"/>
      <c r="E188" s="498"/>
      <c r="F188" s="498"/>
      <c r="G188" s="498"/>
      <c r="H188" s="498"/>
      <c r="I188" s="498"/>
      <c r="K188" s="833"/>
      <c r="L188" s="833"/>
    </row>
    <row r="189" spans="1:12" s="346" customFormat="1">
      <c r="A189" s="498"/>
      <c r="B189" s="498"/>
      <c r="C189" s="498"/>
      <c r="D189" s="498"/>
      <c r="E189" s="498"/>
      <c r="F189" s="498"/>
      <c r="G189" s="498"/>
      <c r="H189" s="498"/>
      <c r="I189" s="498"/>
      <c r="K189" s="833"/>
      <c r="L189" s="833"/>
    </row>
    <row r="190" spans="1:12" s="346" customFormat="1">
      <c r="A190" s="498"/>
      <c r="B190" s="498"/>
      <c r="C190" s="498"/>
      <c r="D190" s="498"/>
      <c r="E190" s="498"/>
      <c r="F190" s="498"/>
      <c r="G190" s="498"/>
      <c r="H190" s="498"/>
      <c r="I190" s="498"/>
      <c r="K190" s="833"/>
      <c r="L190" s="833"/>
    </row>
    <row r="191" spans="1:12" s="346" customFormat="1">
      <c r="A191" s="498"/>
      <c r="B191" s="498"/>
      <c r="C191" s="498"/>
      <c r="D191" s="498"/>
      <c r="E191" s="498"/>
      <c r="F191" s="498"/>
      <c r="G191" s="498"/>
      <c r="H191" s="498"/>
      <c r="I191" s="498"/>
      <c r="K191" s="833"/>
      <c r="L191" s="833"/>
    </row>
    <row r="192" spans="1:12" s="346" customFormat="1">
      <c r="A192" s="498"/>
      <c r="B192" s="498"/>
      <c r="C192" s="498"/>
      <c r="D192" s="498"/>
      <c r="E192" s="498"/>
      <c r="F192" s="498"/>
      <c r="G192" s="498"/>
      <c r="H192" s="498"/>
      <c r="I192" s="498"/>
      <c r="K192" s="833"/>
      <c r="L192" s="833"/>
    </row>
    <row r="193" spans="1:12" s="346" customFormat="1">
      <c r="A193" s="498"/>
      <c r="B193" s="498"/>
      <c r="C193" s="498"/>
      <c r="D193" s="498"/>
      <c r="E193" s="498"/>
      <c r="F193" s="498"/>
      <c r="G193" s="498"/>
      <c r="H193" s="498"/>
      <c r="I193" s="498"/>
      <c r="K193" s="833"/>
      <c r="L193" s="833"/>
    </row>
    <row r="194" spans="1:12" s="346" customFormat="1">
      <c r="A194" s="498"/>
      <c r="B194" s="498"/>
      <c r="C194" s="498"/>
      <c r="D194" s="498"/>
      <c r="E194" s="498"/>
      <c r="F194" s="498"/>
      <c r="G194" s="498"/>
      <c r="H194" s="498"/>
      <c r="I194" s="498"/>
      <c r="K194" s="833"/>
      <c r="L194" s="833"/>
    </row>
    <row r="195" spans="1:12" s="346" customFormat="1">
      <c r="A195" s="498"/>
      <c r="B195" s="498"/>
      <c r="C195" s="498"/>
      <c r="D195" s="498"/>
      <c r="E195" s="498"/>
      <c r="F195" s="498"/>
      <c r="G195" s="498"/>
      <c r="H195" s="498"/>
      <c r="I195" s="498"/>
      <c r="K195" s="833"/>
      <c r="L195" s="833"/>
    </row>
    <row r="196" spans="1:12" s="346" customFormat="1">
      <c r="A196" s="498"/>
      <c r="B196" s="498"/>
      <c r="C196" s="498"/>
      <c r="D196" s="498"/>
      <c r="E196" s="498"/>
      <c r="F196" s="498"/>
      <c r="G196" s="498"/>
      <c r="H196" s="498"/>
      <c r="I196" s="498"/>
      <c r="K196" s="833"/>
      <c r="L196" s="833"/>
    </row>
    <row r="197" spans="1:12" s="346" customFormat="1">
      <c r="A197" s="498"/>
      <c r="B197" s="498"/>
      <c r="C197" s="498"/>
      <c r="D197" s="498"/>
      <c r="E197" s="498"/>
      <c r="F197" s="498"/>
      <c r="G197" s="498"/>
      <c r="H197" s="498"/>
      <c r="I197" s="498"/>
      <c r="K197" s="833"/>
      <c r="L197" s="833"/>
    </row>
    <row r="198" spans="1:12" s="346" customFormat="1">
      <c r="A198" s="498"/>
      <c r="B198" s="498"/>
      <c r="C198" s="498"/>
      <c r="D198" s="498"/>
      <c r="E198" s="498"/>
      <c r="F198" s="498"/>
      <c r="G198" s="498"/>
      <c r="H198" s="498"/>
      <c r="I198" s="498"/>
      <c r="K198" s="833"/>
      <c r="L198" s="833"/>
    </row>
    <row r="199" spans="1:12" s="346" customFormat="1">
      <c r="A199" s="498"/>
      <c r="B199" s="498"/>
      <c r="C199" s="498"/>
      <c r="D199" s="498"/>
      <c r="E199" s="498"/>
      <c r="F199" s="498"/>
      <c r="G199" s="498"/>
      <c r="H199" s="498"/>
      <c r="I199" s="498"/>
      <c r="K199" s="833"/>
      <c r="L199" s="833"/>
    </row>
    <row r="200" spans="1:12" s="346" customFormat="1">
      <c r="A200" s="498"/>
      <c r="B200" s="498"/>
      <c r="C200" s="498"/>
      <c r="D200" s="498"/>
      <c r="E200" s="498"/>
      <c r="F200" s="498"/>
      <c r="G200" s="498"/>
      <c r="H200" s="498"/>
      <c r="I200" s="498"/>
      <c r="K200" s="833"/>
      <c r="L200" s="833"/>
    </row>
    <row r="201" spans="1:12" s="346" customFormat="1">
      <c r="A201" s="498"/>
      <c r="B201" s="498"/>
      <c r="C201" s="498"/>
      <c r="D201" s="498"/>
      <c r="E201" s="498"/>
      <c r="F201" s="498"/>
      <c r="G201" s="498"/>
      <c r="H201" s="498"/>
      <c r="I201" s="498"/>
      <c r="K201" s="833"/>
      <c r="L201" s="833"/>
    </row>
    <row r="202" spans="1:12" s="346" customFormat="1">
      <c r="A202" s="498"/>
      <c r="B202" s="498"/>
      <c r="C202" s="498"/>
      <c r="D202" s="498"/>
      <c r="E202" s="498"/>
      <c r="F202" s="498"/>
      <c r="G202" s="498"/>
      <c r="H202" s="498"/>
      <c r="I202" s="498"/>
      <c r="K202" s="833"/>
      <c r="L202" s="833"/>
    </row>
    <row r="203" spans="1:12" s="346" customFormat="1">
      <c r="A203" s="498"/>
      <c r="B203" s="498"/>
      <c r="C203" s="498"/>
      <c r="D203" s="498"/>
      <c r="E203" s="498"/>
      <c r="F203" s="498"/>
      <c r="G203" s="498"/>
      <c r="H203" s="498"/>
      <c r="I203" s="498"/>
      <c r="K203" s="833"/>
      <c r="L203" s="833"/>
    </row>
    <row r="204" spans="1:12" s="346" customFormat="1">
      <c r="A204" s="498"/>
      <c r="B204" s="498"/>
      <c r="C204" s="498"/>
      <c r="D204" s="498"/>
      <c r="E204" s="498"/>
      <c r="F204" s="498"/>
      <c r="G204" s="498"/>
      <c r="H204" s="498"/>
      <c r="I204" s="498"/>
      <c r="K204" s="833"/>
      <c r="L204" s="833"/>
    </row>
    <row r="205" spans="1:12" s="346" customFormat="1">
      <c r="A205" s="498"/>
      <c r="B205" s="498"/>
      <c r="C205" s="498"/>
      <c r="D205" s="498"/>
      <c r="E205" s="498"/>
      <c r="F205" s="498"/>
      <c r="G205" s="498"/>
      <c r="H205" s="498"/>
      <c r="I205" s="498"/>
      <c r="K205" s="833"/>
      <c r="L205" s="833"/>
    </row>
    <row r="206" spans="1:12" s="346" customFormat="1">
      <c r="A206" s="498"/>
      <c r="B206" s="498"/>
      <c r="C206" s="498"/>
      <c r="D206" s="498"/>
      <c r="E206" s="498"/>
      <c r="F206" s="498"/>
      <c r="G206" s="498"/>
      <c r="H206" s="498"/>
      <c r="I206" s="498"/>
      <c r="K206" s="833"/>
      <c r="L206" s="833"/>
    </row>
    <row r="207" spans="1:12" s="346" customFormat="1">
      <c r="A207" s="498"/>
      <c r="B207" s="498"/>
      <c r="C207" s="498"/>
      <c r="D207" s="498"/>
      <c r="E207" s="498"/>
      <c r="F207" s="498"/>
      <c r="G207" s="498"/>
      <c r="H207" s="498"/>
      <c r="I207" s="498"/>
      <c r="K207" s="833"/>
      <c r="L207" s="833"/>
    </row>
    <row r="208" spans="1:12" s="346" customFormat="1">
      <c r="A208" s="498"/>
      <c r="B208" s="498"/>
      <c r="C208" s="498"/>
      <c r="D208" s="498"/>
      <c r="E208" s="498"/>
      <c r="F208" s="498"/>
      <c r="G208" s="498"/>
      <c r="H208" s="498"/>
      <c r="I208" s="498"/>
      <c r="K208" s="833"/>
      <c r="L208" s="833"/>
    </row>
    <row r="209" spans="1:12" s="346" customFormat="1">
      <c r="A209" s="498"/>
      <c r="B209" s="498"/>
      <c r="C209" s="498"/>
      <c r="D209" s="498"/>
      <c r="E209" s="498"/>
      <c r="F209" s="498"/>
      <c r="G209" s="498"/>
      <c r="H209" s="498"/>
      <c r="I209" s="498"/>
      <c r="K209" s="833"/>
      <c r="L209" s="833"/>
    </row>
    <row r="210" spans="1:12" s="346" customFormat="1">
      <c r="A210" s="498"/>
      <c r="B210" s="498"/>
      <c r="C210" s="498"/>
      <c r="D210" s="498"/>
      <c r="E210" s="498"/>
      <c r="F210" s="498"/>
      <c r="G210" s="498"/>
      <c r="H210" s="498"/>
      <c r="I210" s="498"/>
      <c r="K210" s="833"/>
      <c r="L210" s="833"/>
    </row>
    <row r="211" spans="1:12" s="346" customFormat="1">
      <c r="A211" s="498"/>
      <c r="B211" s="498"/>
      <c r="C211" s="498"/>
      <c r="D211" s="498"/>
      <c r="E211" s="498"/>
      <c r="F211" s="498"/>
      <c r="G211" s="498"/>
      <c r="H211" s="498"/>
      <c r="I211" s="498"/>
      <c r="K211" s="833"/>
      <c r="L211" s="833"/>
    </row>
    <row r="212" spans="1:12" s="346" customFormat="1">
      <c r="A212" s="498"/>
      <c r="B212" s="498"/>
      <c r="C212" s="498"/>
      <c r="D212" s="498"/>
      <c r="E212" s="498"/>
      <c r="F212" s="498"/>
      <c r="G212" s="498"/>
      <c r="H212" s="498"/>
      <c r="I212" s="498"/>
      <c r="K212" s="833"/>
      <c r="L212" s="833"/>
    </row>
    <row r="213" spans="1:12" s="346" customFormat="1">
      <c r="A213" s="498"/>
      <c r="B213" s="498"/>
      <c r="C213" s="498"/>
      <c r="D213" s="498"/>
      <c r="E213" s="498"/>
      <c r="F213" s="498"/>
      <c r="G213" s="498"/>
      <c r="H213" s="498"/>
      <c r="I213" s="498"/>
      <c r="K213" s="833"/>
      <c r="L213" s="833"/>
    </row>
    <row r="214" spans="1:12" s="346" customFormat="1">
      <c r="A214" s="498"/>
      <c r="B214" s="498"/>
      <c r="C214" s="498"/>
      <c r="D214" s="498"/>
      <c r="E214" s="498"/>
      <c r="F214" s="498"/>
      <c r="G214" s="498"/>
      <c r="H214" s="498"/>
      <c r="I214" s="498"/>
      <c r="K214" s="833"/>
      <c r="L214" s="833"/>
    </row>
    <row r="215" spans="1:12" s="346" customFormat="1">
      <c r="A215" s="498"/>
      <c r="B215" s="498"/>
      <c r="C215" s="498"/>
      <c r="D215" s="498"/>
      <c r="E215" s="498"/>
      <c r="F215" s="498"/>
      <c r="G215" s="498"/>
      <c r="H215" s="498"/>
      <c r="I215" s="498"/>
      <c r="K215" s="833"/>
      <c r="L215" s="833"/>
    </row>
    <row r="216" spans="1:12" s="346" customFormat="1">
      <c r="A216" s="498"/>
      <c r="B216" s="498"/>
      <c r="C216" s="498"/>
      <c r="D216" s="498"/>
      <c r="E216" s="498"/>
      <c r="F216" s="498"/>
      <c r="G216" s="498"/>
      <c r="H216" s="498"/>
      <c r="I216" s="498"/>
      <c r="K216" s="833"/>
      <c r="L216" s="833"/>
    </row>
    <row r="217" spans="1:12" s="346" customFormat="1">
      <c r="A217" s="498"/>
      <c r="B217" s="498"/>
      <c r="C217" s="498"/>
      <c r="D217" s="498"/>
      <c r="E217" s="498"/>
      <c r="F217" s="498"/>
      <c r="G217" s="498"/>
      <c r="H217" s="498"/>
      <c r="I217" s="498"/>
      <c r="K217" s="833"/>
      <c r="L217" s="833"/>
    </row>
    <row r="218" spans="1:12" s="346" customFormat="1">
      <c r="A218" s="498"/>
      <c r="B218" s="498"/>
      <c r="C218" s="498"/>
      <c r="D218" s="498"/>
      <c r="E218" s="498"/>
      <c r="F218" s="498"/>
      <c r="G218" s="498"/>
      <c r="H218" s="498"/>
      <c r="I218" s="498"/>
      <c r="K218" s="833"/>
      <c r="L218" s="833"/>
    </row>
    <row r="219" spans="1:12" s="346" customFormat="1">
      <c r="A219" s="498"/>
      <c r="B219" s="498"/>
      <c r="C219" s="498"/>
      <c r="D219" s="498"/>
      <c r="E219" s="498"/>
      <c r="F219" s="498"/>
      <c r="G219" s="498"/>
      <c r="H219" s="498"/>
      <c r="I219" s="498"/>
      <c r="K219" s="833"/>
      <c r="L219" s="833"/>
    </row>
    <row r="220" spans="1:12" s="346" customFormat="1">
      <c r="A220" s="498"/>
      <c r="B220" s="498"/>
      <c r="C220" s="498"/>
      <c r="D220" s="498"/>
      <c r="E220" s="498"/>
      <c r="F220" s="498"/>
      <c r="G220" s="498"/>
      <c r="H220" s="498"/>
      <c r="I220" s="498"/>
      <c r="K220" s="833"/>
      <c r="L220" s="833"/>
    </row>
    <row r="221" spans="1:12" s="346" customFormat="1">
      <c r="A221" s="498"/>
      <c r="B221" s="498"/>
      <c r="C221" s="498"/>
      <c r="D221" s="498"/>
      <c r="E221" s="498"/>
      <c r="F221" s="498"/>
      <c r="G221" s="498"/>
      <c r="H221" s="498"/>
      <c r="I221" s="498"/>
      <c r="K221" s="833"/>
      <c r="L221" s="833"/>
    </row>
    <row r="222" spans="1:12" s="346" customFormat="1">
      <c r="A222" s="498"/>
      <c r="B222" s="498"/>
      <c r="C222" s="498"/>
      <c r="D222" s="498"/>
      <c r="E222" s="498"/>
      <c r="F222" s="498"/>
      <c r="G222" s="498"/>
      <c r="H222" s="498"/>
      <c r="I222" s="498"/>
      <c r="K222" s="833"/>
      <c r="L222" s="833"/>
    </row>
    <row r="223" spans="1:12" s="346" customFormat="1">
      <c r="A223" s="498"/>
      <c r="B223" s="498"/>
      <c r="C223" s="498"/>
      <c r="D223" s="498"/>
      <c r="E223" s="498"/>
      <c r="F223" s="498"/>
      <c r="G223" s="498"/>
      <c r="H223" s="498"/>
      <c r="I223" s="498"/>
      <c r="K223" s="833"/>
      <c r="L223" s="833"/>
    </row>
    <row r="224" spans="1:12" s="346" customFormat="1">
      <c r="A224" s="498"/>
      <c r="B224" s="498"/>
      <c r="C224" s="498"/>
      <c r="D224" s="498"/>
      <c r="E224" s="498"/>
      <c r="F224" s="498"/>
      <c r="G224" s="498"/>
      <c r="H224" s="498"/>
      <c r="I224" s="498"/>
      <c r="K224" s="833"/>
      <c r="L224" s="833"/>
    </row>
    <row r="225" spans="1:12" s="346" customFormat="1">
      <c r="A225" s="498"/>
      <c r="B225" s="498"/>
      <c r="C225" s="498"/>
      <c r="D225" s="498"/>
      <c r="E225" s="498"/>
      <c r="F225" s="498"/>
      <c r="G225" s="498"/>
      <c r="H225" s="498"/>
      <c r="I225" s="498"/>
      <c r="K225" s="833"/>
      <c r="L225" s="833"/>
    </row>
    <row r="226" spans="1:12" s="346" customFormat="1">
      <c r="A226" s="498"/>
      <c r="B226" s="498"/>
      <c r="C226" s="498"/>
      <c r="D226" s="498"/>
      <c r="E226" s="498"/>
      <c r="F226" s="498"/>
      <c r="G226" s="498"/>
      <c r="H226" s="498"/>
      <c r="I226" s="498"/>
      <c r="K226" s="833"/>
      <c r="L226" s="833"/>
    </row>
    <row r="227" spans="1:12" s="346" customFormat="1">
      <c r="A227" s="498"/>
      <c r="B227" s="498"/>
      <c r="C227" s="498"/>
      <c r="D227" s="498"/>
      <c r="E227" s="498"/>
      <c r="F227" s="498"/>
      <c r="G227" s="498"/>
      <c r="H227" s="498"/>
      <c r="I227" s="498"/>
      <c r="K227" s="833"/>
      <c r="L227" s="833"/>
    </row>
    <row r="228" spans="1:12" s="346" customFormat="1">
      <c r="A228" s="498"/>
      <c r="B228" s="498"/>
      <c r="C228" s="498"/>
      <c r="D228" s="498"/>
      <c r="E228" s="498"/>
      <c r="F228" s="498"/>
      <c r="G228" s="498"/>
      <c r="H228" s="498"/>
      <c r="I228" s="498"/>
      <c r="K228" s="833"/>
      <c r="L228" s="833"/>
    </row>
    <row r="229" spans="1:12" s="346" customFormat="1">
      <c r="A229" s="498"/>
      <c r="B229" s="498"/>
      <c r="C229" s="498"/>
      <c r="D229" s="498"/>
      <c r="E229" s="498"/>
      <c r="F229" s="498"/>
      <c r="G229" s="498"/>
      <c r="H229" s="498"/>
      <c r="I229" s="498"/>
      <c r="K229" s="833"/>
      <c r="L229" s="833"/>
    </row>
    <row r="230" spans="1:12" s="346" customFormat="1">
      <c r="A230" s="498"/>
      <c r="B230" s="498"/>
      <c r="C230" s="498"/>
      <c r="D230" s="498"/>
      <c r="E230" s="498"/>
      <c r="F230" s="498"/>
      <c r="G230" s="498"/>
      <c r="H230" s="498"/>
      <c r="I230" s="498"/>
      <c r="K230" s="833"/>
      <c r="L230" s="833"/>
    </row>
    <row r="231" spans="1:12" s="346" customFormat="1">
      <c r="A231" s="498"/>
      <c r="B231" s="498"/>
      <c r="C231" s="498"/>
      <c r="D231" s="498"/>
      <c r="E231" s="498"/>
      <c r="F231" s="498"/>
      <c r="G231" s="498"/>
      <c r="H231" s="498"/>
      <c r="I231" s="498"/>
      <c r="K231" s="833"/>
      <c r="L231" s="833"/>
    </row>
    <row r="232" spans="1:12" s="346" customFormat="1">
      <c r="A232" s="498"/>
      <c r="B232" s="498"/>
      <c r="C232" s="498"/>
      <c r="D232" s="498"/>
      <c r="E232" s="498"/>
      <c r="F232" s="498"/>
      <c r="G232" s="498"/>
      <c r="H232" s="498"/>
      <c r="I232" s="498"/>
      <c r="K232" s="833"/>
      <c r="L232" s="833"/>
    </row>
    <row r="233" spans="1:12" s="346" customFormat="1">
      <c r="A233" s="498"/>
      <c r="B233" s="498"/>
      <c r="C233" s="498"/>
      <c r="D233" s="498"/>
      <c r="E233" s="498"/>
      <c r="F233" s="498"/>
      <c r="G233" s="498"/>
      <c r="H233" s="498"/>
      <c r="I233" s="498"/>
      <c r="K233" s="833"/>
      <c r="L233" s="833"/>
    </row>
    <row r="234" spans="1:12" s="346" customFormat="1">
      <c r="A234" s="498"/>
      <c r="B234" s="498"/>
      <c r="C234" s="498"/>
      <c r="D234" s="498"/>
      <c r="E234" s="498"/>
      <c r="F234" s="498"/>
      <c r="G234" s="498"/>
      <c r="H234" s="498"/>
      <c r="I234" s="498"/>
      <c r="K234" s="833"/>
      <c r="L234" s="833"/>
    </row>
    <row r="235" spans="1:12" s="346" customFormat="1">
      <c r="A235" s="498"/>
      <c r="B235" s="498"/>
      <c r="C235" s="498"/>
      <c r="D235" s="498"/>
      <c r="E235" s="498"/>
      <c r="F235" s="498"/>
      <c r="G235" s="498"/>
      <c r="H235" s="498"/>
      <c r="I235" s="498"/>
      <c r="K235" s="833"/>
      <c r="L235" s="833"/>
    </row>
    <row r="236" spans="1:12" s="346" customFormat="1">
      <c r="A236" s="498"/>
      <c r="B236" s="498"/>
      <c r="C236" s="498"/>
      <c r="D236" s="498"/>
      <c r="E236" s="498"/>
      <c r="F236" s="498"/>
      <c r="G236" s="498"/>
      <c r="H236" s="498"/>
      <c r="I236" s="498"/>
      <c r="K236" s="833"/>
      <c r="L236" s="833"/>
    </row>
    <row r="237" spans="1:12" s="346" customFormat="1">
      <c r="A237" s="498"/>
      <c r="B237" s="498"/>
      <c r="C237" s="498"/>
      <c r="D237" s="498"/>
      <c r="E237" s="498"/>
      <c r="F237" s="498"/>
      <c r="G237" s="498"/>
      <c r="H237" s="498"/>
      <c r="I237" s="498"/>
    </row>
    <row r="238" spans="1:12" s="346" customFormat="1">
      <c r="A238" s="498"/>
      <c r="B238" s="498"/>
      <c r="C238" s="498"/>
      <c r="D238" s="498"/>
      <c r="E238" s="498"/>
      <c r="F238" s="498"/>
      <c r="G238" s="498"/>
      <c r="H238" s="498"/>
      <c r="I238" s="498"/>
    </row>
    <row r="239" spans="1:12" s="346" customFormat="1">
      <c r="A239" s="498"/>
      <c r="B239" s="498"/>
      <c r="C239" s="498"/>
      <c r="D239" s="498"/>
      <c r="E239" s="498"/>
      <c r="F239" s="498"/>
      <c r="G239" s="498"/>
      <c r="H239" s="498"/>
      <c r="I239" s="498"/>
    </row>
    <row r="240" spans="1:12" s="346" customFormat="1">
      <c r="A240" s="498"/>
      <c r="B240" s="498"/>
      <c r="C240" s="498"/>
      <c r="D240" s="498"/>
      <c r="E240" s="498"/>
      <c r="F240" s="498"/>
      <c r="G240" s="498"/>
      <c r="H240" s="498"/>
      <c r="I240" s="498"/>
    </row>
    <row r="241" spans="1:9" s="346" customFormat="1">
      <c r="A241" s="498"/>
      <c r="B241" s="498"/>
      <c r="C241" s="498"/>
      <c r="D241" s="498"/>
      <c r="E241" s="498"/>
      <c r="F241" s="498"/>
      <c r="G241" s="498"/>
      <c r="H241" s="498"/>
      <c r="I241" s="498"/>
    </row>
    <row r="242" spans="1:9" s="346" customFormat="1">
      <c r="A242" s="498"/>
      <c r="B242" s="498"/>
      <c r="C242" s="498"/>
      <c r="D242" s="498"/>
      <c r="E242" s="498"/>
      <c r="F242" s="498"/>
      <c r="G242" s="498"/>
      <c r="H242" s="498"/>
      <c r="I242" s="498"/>
    </row>
    <row r="243" spans="1:9" s="346" customFormat="1">
      <c r="A243" s="498"/>
      <c r="B243" s="498"/>
      <c r="C243" s="498"/>
      <c r="D243" s="498"/>
      <c r="E243" s="498"/>
      <c r="F243" s="498"/>
      <c r="G243" s="498"/>
      <c r="H243" s="498"/>
      <c r="I243" s="498"/>
    </row>
    <row r="244" spans="1:9" s="346" customFormat="1">
      <c r="A244" s="498"/>
      <c r="B244" s="498"/>
      <c r="C244" s="498"/>
      <c r="D244" s="498"/>
      <c r="E244" s="498"/>
      <c r="F244" s="498"/>
      <c r="G244" s="498"/>
      <c r="H244" s="498"/>
      <c r="I244" s="498"/>
    </row>
    <row r="245" spans="1:9" s="346" customFormat="1">
      <c r="A245" s="498"/>
      <c r="B245" s="498"/>
      <c r="C245" s="498"/>
      <c r="D245" s="498"/>
      <c r="E245" s="498"/>
      <c r="F245" s="498"/>
      <c r="G245" s="498"/>
      <c r="H245" s="498"/>
      <c r="I245" s="498"/>
    </row>
    <row r="246" spans="1:9" s="346" customFormat="1">
      <c r="A246" s="498"/>
      <c r="B246" s="498"/>
      <c r="C246" s="498"/>
      <c r="D246" s="498"/>
      <c r="E246" s="498"/>
      <c r="F246" s="498"/>
      <c r="G246" s="498"/>
      <c r="H246" s="498"/>
      <c r="I246" s="498"/>
    </row>
    <row r="247" spans="1:9" s="346" customFormat="1">
      <c r="A247" s="498"/>
      <c r="B247" s="498"/>
      <c r="C247" s="498"/>
      <c r="D247" s="498"/>
      <c r="E247" s="498"/>
      <c r="F247" s="498"/>
      <c r="G247" s="498"/>
      <c r="H247" s="498"/>
      <c r="I247" s="498"/>
    </row>
    <row r="248" spans="1:9" s="346" customFormat="1">
      <c r="A248" s="498"/>
      <c r="B248" s="498"/>
      <c r="C248" s="498"/>
      <c r="D248" s="498"/>
      <c r="E248" s="498"/>
      <c r="F248" s="498"/>
      <c r="G248" s="498"/>
      <c r="H248" s="498"/>
      <c r="I248" s="498"/>
    </row>
    <row r="249" spans="1:9" s="346" customFormat="1">
      <c r="A249" s="498"/>
      <c r="B249" s="498"/>
      <c r="C249" s="498"/>
      <c r="D249" s="498"/>
      <c r="E249" s="498"/>
      <c r="F249" s="498"/>
      <c r="G249" s="498"/>
      <c r="H249" s="498"/>
      <c r="I249" s="498"/>
    </row>
    <row r="250" spans="1:9" s="346" customFormat="1">
      <c r="A250" s="498"/>
      <c r="B250" s="498"/>
      <c r="C250" s="498"/>
      <c r="D250" s="498"/>
      <c r="E250" s="498"/>
      <c r="F250" s="498"/>
      <c r="G250" s="498"/>
      <c r="H250" s="498"/>
      <c r="I250" s="498"/>
    </row>
    <row r="251" spans="1:9" s="346" customFormat="1">
      <c r="A251" s="498"/>
      <c r="B251" s="498"/>
      <c r="C251" s="498"/>
      <c r="D251" s="498"/>
      <c r="E251" s="498"/>
      <c r="F251" s="498"/>
      <c r="G251" s="498"/>
      <c r="H251" s="498"/>
      <c r="I251" s="498"/>
    </row>
    <row r="252" spans="1:9" s="346" customFormat="1">
      <c r="A252" s="498"/>
      <c r="B252" s="498"/>
      <c r="C252" s="498"/>
      <c r="D252" s="498"/>
      <c r="E252" s="498"/>
      <c r="F252" s="498"/>
      <c r="G252" s="498"/>
      <c r="H252" s="498"/>
      <c r="I252" s="498"/>
    </row>
    <row r="253" spans="1:9" s="346" customFormat="1">
      <c r="A253" s="498"/>
      <c r="B253" s="498"/>
      <c r="C253" s="498"/>
      <c r="D253" s="498"/>
      <c r="E253" s="498"/>
      <c r="F253" s="498"/>
      <c r="G253" s="498"/>
      <c r="H253" s="498"/>
      <c r="I253" s="498"/>
    </row>
    <row r="254" spans="1:9" s="346" customFormat="1">
      <c r="A254" s="498"/>
      <c r="B254" s="498"/>
      <c r="C254" s="498"/>
      <c r="D254" s="498"/>
      <c r="E254" s="498"/>
      <c r="F254" s="498"/>
      <c r="G254" s="498"/>
      <c r="H254" s="498"/>
      <c r="I254" s="498"/>
    </row>
    <row r="255" spans="1:9" s="346" customFormat="1">
      <c r="A255" s="498"/>
      <c r="B255" s="498"/>
      <c r="C255" s="498"/>
      <c r="D255" s="498"/>
      <c r="E255" s="498"/>
      <c r="F255" s="498"/>
      <c r="G255" s="498"/>
      <c r="H255" s="498"/>
      <c r="I255" s="498"/>
    </row>
    <row r="256" spans="1:9" s="346" customFormat="1">
      <c r="A256" s="498"/>
      <c r="B256" s="498"/>
      <c r="C256" s="498"/>
      <c r="D256" s="498"/>
      <c r="E256" s="498"/>
      <c r="F256" s="498"/>
      <c r="G256" s="498"/>
      <c r="H256" s="498"/>
      <c r="I256" s="498"/>
    </row>
    <row r="257" spans="1:9" s="346" customFormat="1">
      <c r="A257" s="498"/>
      <c r="B257" s="498"/>
      <c r="C257" s="498"/>
      <c r="D257" s="498"/>
      <c r="E257" s="498"/>
      <c r="F257" s="498"/>
      <c r="G257" s="498"/>
      <c r="H257" s="498"/>
      <c r="I257" s="498"/>
    </row>
    <row r="258" spans="1:9" s="346" customFormat="1">
      <c r="A258" s="498"/>
      <c r="B258" s="498"/>
      <c r="C258" s="498"/>
      <c r="D258" s="498"/>
      <c r="E258" s="498"/>
      <c r="F258" s="498"/>
      <c r="G258" s="498"/>
      <c r="H258" s="498"/>
      <c r="I258" s="498"/>
    </row>
    <row r="259" spans="1:9" s="346" customFormat="1">
      <c r="A259" s="498"/>
      <c r="B259" s="498"/>
      <c r="C259" s="498"/>
      <c r="D259" s="498"/>
      <c r="E259" s="498"/>
      <c r="F259" s="498"/>
      <c r="G259" s="498"/>
      <c r="H259" s="498"/>
      <c r="I259" s="498"/>
    </row>
    <row r="260" spans="1:9" s="346" customFormat="1">
      <c r="A260" s="498"/>
      <c r="B260" s="498"/>
      <c r="C260" s="498"/>
      <c r="D260" s="498"/>
      <c r="E260" s="498"/>
      <c r="F260" s="498"/>
      <c r="G260" s="498"/>
      <c r="H260" s="498"/>
      <c r="I260" s="498"/>
    </row>
    <row r="261" spans="1:9" s="346" customFormat="1">
      <c r="A261" s="498"/>
      <c r="B261" s="498"/>
      <c r="C261" s="498"/>
      <c r="D261" s="498"/>
      <c r="E261" s="498"/>
      <c r="F261" s="498"/>
      <c r="G261" s="498"/>
      <c r="H261" s="498"/>
      <c r="I261" s="498"/>
    </row>
    <row r="262" spans="1:9" s="346" customFormat="1">
      <c r="A262" s="498"/>
      <c r="B262" s="498"/>
      <c r="C262" s="498"/>
      <c r="D262" s="498"/>
      <c r="E262" s="498"/>
      <c r="F262" s="498"/>
      <c r="G262" s="498"/>
      <c r="H262" s="498"/>
      <c r="I262" s="498"/>
    </row>
    <row r="263" spans="1:9" s="346" customFormat="1">
      <c r="A263" s="498"/>
      <c r="B263" s="498"/>
      <c r="C263" s="498"/>
      <c r="D263" s="498"/>
      <c r="E263" s="498"/>
      <c r="F263" s="498"/>
      <c r="G263" s="498"/>
      <c r="H263" s="498"/>
      <c r="I263" s="498"/>
    </row>
    <row r="264" spans="1:9" s="346" customFormat="1">
      <c r="A264" s="498"/>
      <c r="B264" s="498"/>
      <c r="C264" s="498"/>
      <c r="D264" s="498"/>
      <c r="E264" s="498"/>
      <c r="F264" s="498"/>
      <c r="G264" s="498"/>
      <c r="H264" s="498"/>
      <c r="I264" s="498"/>
    </row>
    <row r="265" spans="1:9" s="346" customFormat="1">
      <c r="A265" s="498"/>
      <c r="B265" s="498"/>
      <c r="C265" s="498"/>
      <c r="D265" s="498"/>
      <c r="E265" s="498"/>
      <c r="F265" s="498"/>
      <c r="G265" s="498"/>
      <c r="H265" s="498"/>
      <c r="I265" s="498"/>
    </row>
    <row r="266" spans="1:9" s="346" customFormat="1">
      <c r="A266" s="498"/>
      <c r="B266" s="498"/>
      <c r="C266" s="498"/>
      <c r="D266" s="498"/>
      <c r="E266" s="498"/>
      <c r="F266" s="498"/>
      <c r="G266" s="498"/>
      <c r="H266" s="498"/>
      <c r="I266" s="498"/>
    </row>
    <row r="267" spans="1:9" s="346" customFormat="1">
      <c r="A267" s="498"/>
      <c r="B267" s="498"/>
      <c r="C267" s="498"/>
      <c r="D267" s="498"/>
      <c r="E267" s="498"/>
      <c r="F267" s="498"/>
      <c r="G267" s="498"/>
      <c r="H267" s="498"/>
      <c r="I267" s="498"/>
    </row>
    <row r="268" spans="1:9" s="346" customFormat="1">
      <c r="A268" s="498"/>
      <c r="B268" s="498"/>
      <c r="C268" s="498"/>
      <c r="D268" s="498"/>
      <c r="E268" s="498"/>
      <c r="F268" s="498"/>
      <c r="G268" s="498"/>
      <c r="H268" s="498"/>
      <c r="I268" s="498"/>
    </row>
    <row r="269" spans="1:9" s="346" customFormat="1">
      <c r="A269" s="498"/>
      <c r="B269" s="498"/>
      <c r="C269" s="498"/>
      <c r="D269" s="498"/>
      <c r="E269" s="498"/>
      <c r="F269" s="498"/>
      <c r="G269" s="498"/>
      <c r="H269" s="498"/>
      <c r="I269" s="498"/>
    </row>
    <row r="270" spans="1:9" s="346" customFormat="1">
      <c r="A270" s="498"/>
      <c r="B270" s="498"/>
      <c r="C270" s="498"/>
      <c r="D270" s="498"/>
      <c r="E270" s="498"/>
      <c r="F270" s="498"/>
      <c r="G270" s="498"/>
      <c r="H270" s="498"/>
      <c r="I270" s="498"/>
    </row>
    <row r="271" spans="1:9" s="346" customFormat="1">
      <c r="A271" s="498"/>
      <c r="B271" s="498"/>
      <c r="C271" s="498"/>
      <c r="D271" s="498"/>
      <c r="E271" s="498"/>
      <c r="F271" s="498"/>
      <c r="G271" s="498"/>
      <c r="H271" s="498"/>
      <c r="I271" s="498"/>
    </row>
    <row r="272" spans="1:9" s="346" customFormat="1">
      <c r="A272" s="498"/>
      <c r="B272" s="498"/>
      <c r="C272" s="498"/>
      <c r="D272" s="498"/>
      <c r="E272" s="498"/>
      <c r="F272" s="498"/>
      <c r="G272" s="498"/>
      <c r="H272" s="498"/>
      <c r="I272" s="498"/>
    </row>
    <row r="273" spans="1:9" s="346" customFormat="1">
      <c r="A273" s="498"/>
      <c r="B273" s="498"/>
      <c r="C273" s="498"/>
      <c r="D273" s="498"/>
      <c r="E273" s="498"/>
      <c r="F273" s="498"/>
      <c r="G273" s="498"/>
      <c r="H273" s="498"/>
      <c r="I273" s="498"/>
    </row>
    <row r="274" spans="1:9" s="346" customFormat="1">
      <c r="A274" s="498"/>
      <c r="B274" s="498"/>
      <c r="C274" s="498"/>
      <c r="D274" s="498"/>
      <c r="E274" s="498"/>
      <c r="F274" s="498"/>
      <c r="G274" s="498"/>
      <c r="H274" s="498"/>
      <c r="I274" s="498"/>
    </row>
    <row r="275" spans="1:9" s="346" customFormat="1">
      <c r="A275" s="498"/>
      <c r="B275" s="498"/>
      <c r="C275" s="498"/>
      <c r="D275" s="498"/>
      <c r="E275" s="498"/>
      <c r="F275" s="498"/>
      <c r="G275" s="498"/>
      <c r="H275" s="498"/>
      <c r="I275" s="498"/>
    </row>
    <row r="276" spans="1:9" s="346" customFormat="1">
      <c r="A276" s="498"/>
      <c r="B276" s="498"/>
      <c r="C276" s="498"/>
      <c r="D276" s="498"/>
      <c r="E276" s="498"/>
      <c r="F276" s="498"/>
      <c r="G276" s="498"/>
      <c r="H276" s="498"/>
      <c r="I276" s="498"/>
    </row>
    <row r="277" spans="1:9" s="346" customFormat="1">
      <c r="A277" s="498"/>
      <c r="B277" s="498"/>
      <c r="C277" s="498"/>
      <c r="D277" s="498"/>
      <c r="E277" s="498"/>
      <c r="F277" s="498"/>
      <c r="G277" s="498"/>
      <c r="H277" s="498"/>
      <c r="I277" s="498"/>
    </row>
    <row r="278" spans="1:9" s="346" customFormat="1">
      <c r="A278" s="498"/>
      <c r="B278" s="498"/>
      <c r="C278" s="498"/>
      <c r="D278" s="498"/>
      <c r="E278" s="498"/>
      <c r="F278" s="498"/>
      <c r="G278" s="498"/>
      <c r="H278" s="498"/>
      <c r="I278" s="498"/>
    </row>
    <row r="279" spans="1:9" s="346" customFormat="1">
      <c r="A279" s="498"/>
      <c r="B279" s="498"/>
      <c r="C279" s="498"/>
      <c r="D279" s="498"/>
      <c r="E279" s="498"/>
      <c r="F279" s="498"/>
      <c r="G279" s="498"/>
      <c r="H279" s="498"/>
      <c r="I279" s="498"/>
    </row>
    <row r="280" spans="1:9" s="346" customFormat="1">
      <c r="A280" s="498"/>
      <c r="B280" s="498"/>
      <c r="C280" s="498"/>
      <c r="D280" s="498"/>
      <c r="E280" s="498"/>
      <c r="F280" s="498"/>
      <c r="G280" s="498"/>
      <c r="H280" s="498"/>
      <c r="I280" s="498"/>
    </row>
    <row r="281" spans="1:9" s="346" customFormat="1">
      <c r="A281" s="498"/>
      <c r="B281" s="498"/>
      <c r="C281" s="498"/>
      <c r="D281" s="498"/>
      <c r="E281" s="498"/>
      <c r="F281" s="498"/>
      <c r="G281" s="498"/>
      <c r="H281" s="498"/>
      <c r="I281" s="498"/>
    </row>
    <row r="282" spans="1:9" s="346" customFormat="1">
      <c r="A282" s="498"/>
      <c r="B282" s="498"/>
      <c r="C282" s="498"/>
      <c r="D282" s="498"/>
      <c r="E282" s="498"/>
      <c r="F282" s="498"/>
      <c r="G282" s="498"/>
      <c r="H282" s="498"/>
      <c r="I282" s="498"/>
    </row>
  </sheetData>
  <mergeCells count="26">
    <mergeCell ref="F141:G141"/>
    <mergeCell ref="A69:I69"/>
    <mergeCell ref="A70:I70"/>
    <mergeCell ref="F78:G78"/>
    <mergeCell ref="A80:I80"/>
    <mergeCell ref="A81:I81"/>
    <mergeCell ref="F98:G98"/>
    <mergeCell ref="A100:I100"/>
    <mergeCell ref="A101:I101"/>
    <mergeCell ref="F118:G118"/>
    <mergeCell ref="A120:I120"/>
    <mergeCell ref="A121:I121"/>
    <mergeCell ref="K9:K11"/>
    <mergeCell ref="L9:L11"/>
    <mergeCell ref="F67:G67"/>
    <mergeCell ref="B2:C2"/>
    <mergeCell ref="G2:H2"/>
    <mergeCell ref="G4:H4"/>
    <mergeCell ref="A7:I7"/>
    <mergeCell ref="A8:I8"/>
    <mergeCell ref="F27:G27"/>
    <mergeCell ref="A29:I29"/>
    <mergeCell ref="A30:I30"/>
    <mergeCell ref="F47:G47"/>
    <mergeCell ref="A49:I49"/>
    <mergeCell ref="A50:I50"/>
  </mergeCells>
  <printOptions horizontalCentered="1"/>
  <pageMargins left="0.7" right="0.7" top="0.75" bottom="0.75" header="0.3" footer="0.3"/>
  <pageSetup scale="53" fitToHeight="3" orientation="portrait" r:id="rId1"/>
  <headerFooter alignWithMargins="0">
    <oddHeader xml:space="preserve">&amp;C&amp;"Arial,Bold"&amp;11CalSAWS &amp;"Arial,Bold Italic"
&amp;"Arial,Bold" Cost Allocation Plan
FY 19/20&amp;"Arial,Bold Italic"
</oddHeader>
    <oddFooter>&amp;C&amp;F</oddFooter>
  </headerFooter>
  <rowBreaks count="1" manualBreakCount="1">
    <brk id="7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4</xdr:col>
                    <xdr:colOff>793750</xdr:colOff>
                    <xdr:row>2</xdr:row>
                    <xdr:rowOff>76200</xdr:rowOff>
                  </from>
                  <to>
                    <xdr:col>5</xdr:col>
                    <xdr:colOff>247650</xdr:colOff>
                    <xdr:row>4</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pageSetUpPr fitToPage="1"/>
  </sheetPr>
  <dimension ref="A1:V97"/>
  <sheetViews>
    <sheetView showGridLines="0" topLeftCell="A64" zoomScaleNormal="100" workbookViewId="0">
      <selection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7" width="15.1796875" style="1" customWidth="1"/>
    <col min="8" max="8" width="11.54296875" style="1" customWidth="1"/>
    <col min="9" max="9" width="13.1796875" style="1" customWidth="1"/>
    <col min="10" max="11" width="11.54296875" style="1" customWidth="1"/>
    <col min="12" max="12" width="6" style="1" customWidth="1"/>
    <col min="13" max="16" width="11.54296875" style="1" customWidth="1"/>
    <col min="17" max="17" width="3.81640625" style="1" customWidth="1"/>
    <col min="18" max="19" width="5.81640625" style="1" customWidth="1"/>
    <col min="20" max="20" width="12.81640625" style="1" customWidth="1"/>
    <col min="21" max="21" width="7.1796875" style="1" customWidth="1"/>
    <col min="22" max="22" width="19.453125" style="1" customWidth="1"/>
    <col min="23" max="16384" width="9.1796875" style="1"/>
  </cols>
  <sheetData>
    <row r="1" spans="1:22" ht="14">
      <c r="A1" s="999" t="s">
        <v>311</v>
      </c>
      <c r="B1" s="999"/>
      <c r="C1" s="999"/>
      <c r="D1" s="999"/>
      <c r="E1" s="999"/>
      <c r="F1" s="999"/>
      <c r="G1" s="999"/>
      <c r="H1" s="999"/>
      <c r="I1" s="999"/>
      <c r="J1" s="999"/>
      <c r="K1" s="999"/>
      <c r="L1" s="999"/>
    </row>
    <row r="2" spans="1:22" ht="12.75" customHeight="1"/>
    <row r="3" spans="1:22" ht="42.75" customHeight="1">
      <c r="A3" s="848" t="s">
        <v>44</v>
      </c>
      <c r="B3" s="848" t="s">
        <v>68</v>
      </c>
      <c r="C3" s="848" t="s">
        <v>67</v>
      </c>
      <c r="D3" s="848" t="s">
        <v>66</v>
      </c>
      <c r="E3" s="848" t="s">
        <v>214</v>
      </c>
      <c r="F3" s="848" t="s">
        <v>48</v>
      </c>
      <c r="G3" s="848" t="s">
        <v>65</v>
      </c>
      <c r="H3" s="848" t="s">
        <v>64</v>
      </c>
      <c r="I3" s="848" t="s">
        <v>63</v>
      </c>
      <c r="J3" s="763" t="s">
        <v>62</v>
      </c>
      <c r="K3" s="24" t="s">
        <v>61</v>
      </c>
      <c r="M3" s="24" t="s">
        <v>43</v>
      </c>
      <c r="N3" s="24" t="s">
        <v>42</v>
      </c>
      <c r="O3" s="24" t="s">
        <v>138</v>
      </c>
      <c r="P3" s="24" t="s">
        <v>60</v>
      </c>
    </row>
    <row r="4" spans="1:22" ht="12.75" customHeight="1">
      <c r="A4" s="560" t="s">
        <v>171</v>
      </c>
      <c r="B4" s="655">
        <v>43922</v>
      </c>
      <c r="C4" s="656">
        <v>0</v>
      </c>
      <c r="D4" s="655">
        <v>43952</v>
      </c>
      <c r="E4" s="342">
        <v>135382</v>
      </c>
      <c r="F4" s="874">
        <f>SUM(G4:K4)</f>
        <v>135382</v>
      </c>
      <c r="G4" s="342">
        <v>69465</v>
      </c>
      <c r="H4" s="342">
        <v>12661</v>
      </c>
      <c r="I4" s="342">
        <v>47364</v>
      </c>
      <c r="J4" s="342">
        <v>5892</v>
      </c>
      <c r="K4" s="342">
        <v>0</v>
      </c>
      <c r="M4" s="342">
        <v>5030</v>
      </c>
      <c r="N4" s="342">
        <v>77</v>
      </c>
      <c r="O4" s="342">
        <v>785</v>
      </c>
      <c r="P4" s="857">
        <f>SUM(M4:O4)</f>
        <v>5892</v>
      </c>
      <c r="Q4" s="764"/>
      <c r="S4" s="765"/>
      <c r="T4" s="766"/>
      <c r="U4" s="767"/>
      <c r="V4" s="768"/>
    </row>
    <row r="5" spans="1:22" ht="12.75" customHeight="1">
      <c r="A5" s="560" t="s">
        <v>170</v>
      </c>
      <c r="B5" s="655">
        <v>43922</v>
      </c>
      <c r="C5" s="656">
        <v>0</v>
      </c>
      <c r="D5" s="655">
        <v>43952</v>
      </c>
      <c r="E5" s="342">
        <v>56103</v>
      </c>
      <c r="F5" s="874">
        <f t="shared" ref="F5:F29" si="0">SUM(G5:K5)</f>
        <v>56103</v>
      </c>
      <c r="G5" s="342">
        <v>28787</v>
      </c>
      <c r="H5" s="342">
        <v>5247</v>
      </c>
      <c r="I5" s="342">
        <v>19628</v>
      </c>
      <c r="J5" s="342">
        <v>2441</v>
      </c>
      <c r="K5" s="342">
        <v>0</v>
      </c>
      <c r="M5" s="342">
        <v>2084</v>
      </c>
      <c r="N5" s="342">
        <v>32</v>
      </c>
      <c r="O5" s="342">
        <v>325</v>
      </c>
      <c r="P5" s="857">
        <f t="shared" ref="P5:P29" si="1">SUM(M5:O5)</f>
        <v>2441</v>
      </c>
      <c r="Q5" s="764"/>
      <c r="S5" s="769"/>
      <c r="T5" s="770"/>
      <c r="U5" s="771"/>
      <c r="V5" s="772"/>
    </row>
    <row r="6" spans="1:22" ht="12.75" customHeight="1">
      <c r="A6" s="560" t="s">
        <v>169</v>
      </c>
      <c r="B6" s="655">
        <v>43922</v>
      </c>
      <c r="C6" s="656">
        <v>0</v>
      </c>
      <c r="D6" s="655">
        <v>43952</v>
      </c>
      <c r="E6" s="342">
        <v>60356</v>
      </c>
      <c r="F6" s="874">
        <f t="shared" si="0"/>
        <v>60356</v>
      </c>
      <c r="G6" s="342">
        <v>30969</v>
      </c>
      <c r="H6" s="342">
        <v>5645</v>
      </c>
      <c r="I6" s="342">
        <v>21116</v>
      </c>
      <c r="J6" s="342">
        <v>2626</v>
      </c>
      <c r="K6" s="342">
        <v>0</v>
      </c>
      <c r="M6" s="342">
        <v>2242</v>
      </c>
      <c r="N6" s="342">
        <v>34</v>
      </c>
      <c r="O6" s="342">
        <v>350</v>
      </c>
      <c r="P6" s="857">
        <f t="shared" si="1"/>
        <v>2626</v>
      </c>
      <c r="S6" s="773"/>
      <c r="T6" s="774"/>
      <c r="U6" s="771"/>
      <c r="V6" s="772"/>
    </row>
    <row r="7" spans="1:22" ht="12.75" customHeight="1">
      <c r="A7" s="560" t="s">
        <v>168</v>
      </c>
      <c r="B7" s="655">
        <v>43922</v>
      </c>
      <c r="C7" s="656">
        <v>0</v>
      </c>
      <c r="D7" s="655">
        <v>43952</v>
      </c>
      <c r="E7" s="342">
        <v>93611</v>
      </c>
      <c r="F7" s="874">
        <f t="shared" si="0"/>
        <v>93611</v>
      </c>
      <c r="G7" s="342">
        <v>48032</v>
      </c>
      <c r="H7" s="342">
        <v>8755</v>
      </c>
      <c r="I7" s="342">
        <v>32750</v>
      </c>
      <c r="J7" s="342">
        <v>4074</v>
      </c>
      <c r="K7" s="342">
        <v>0</v>
      </c>
      <c r="M7" s="342">
        <v>3478</v>
      </c>
      <c r="N7" s="342">
        <v>53</v>
      </c>
      <c r="O7" s="342">
        <v>543</v>
      </c>
      <c r="P7" s="857">
        <f t="shared" si="1"/>
        <v>4074</v>
      </c>
      <c r="Q7" s="764"/>
      <c r="S7" s="773"/>
      <c r="T7" s="774"/>
      <c r="U7" s="771"/>
      <c r="V7" s="772"/>
    </row>
    <row r="8" spans="1:22" ht="12.75" customHeight="1">
      <c r="A8" s="560" t="s">
        <v>167</v>
      </c>
      <c r="B8" s="655">
        <v>43922</v>
      </c>
      <c r="C8" s="656">
        <v>0</v>
      </c>
      <c r="D8" s="655">
        <v>43952</v>
      </c>
      <c r="E8" s="342">
        <v>68755</v>
      </c>
      <c r="F8" s="874">
        <f t="shared" si="0"/>
        <v>68755</v>
      </c>
      <c r="G8" s="342">
        <v>35277</v>
      </c>
      <c r="H8" s="342">
        <v>6432</v>
      </c>
      <c r="I8" s="342">
        <v>24054</v>
      </c>
      <c r="J8" s="342">
        <v>2992</v>
      </c>
      <c r="K8" s="342">
        <v>0</v>
      </c>
      <c r="M8" s="342">
        <v>2554</v>
      </c>
      <c r="N8" s="342">
        <v>39</v>
      </c>
      <c r="O8" s="342">
        <v>399</v>
      </c>
      <c r="P8" s="857">
        <f t="shared" si="1"/>
        <v>2992</v>
      </c>
      <c r="S8" s="773"/>
      <c r="T8" s="774"/>
      <c r="U8" s="771"/>
      <c r="V8" s="772"/>
    </row>
    <row r="9" spans="1:22" ht="12.75" customHeight="1">
      <c r="A9" s="560" t="s">
        <v>166</v>
      </c>
      <c r="B9" s="655">
        <v>43922</v>
      </c>
      <c r="C9" s="656">
        <v>0</v>
      </c>
      <c r="D9" s="655">
        <v>43952</v>
      </c>
      <c r="E9" s="342">
        <v>268636</v>
      </c>
      <c r="F9" s="874">
        <f t="shared" si="0"/>
        <v>268636</v>
      </c>
      <c r="G9" s="342">
        <v>137837</v>
      </c>
      <c r="H9" s="342">
        <v>25124</v>
      </c>
      <c r="I9" s="342">
        <v>93983</v>
      </c>
      <c r="J9" s="342">
        <v>11692</v>
      </c>
      <c r="K9" s="342">
        <v>0</v>
      </c>
      <c r="M9" s="342">
        <v>9981</v>
      </c>
      <c r="N9" s="342">
        <v>153</v>
      </c>
      <c r="O9" s="342">
        <v>1558</v>
      </c>
      <c r="P9" s="857">
        <f t="shared" si="1"/>
        <v>11692</v>
      </c>
      <c r="S9" s="773"/>
      <c r="T9" s="774"/>
      <c r="U9" s="771"/>
      <c r="V9" s="772"/>
    </row>
    <row r="10" spans="1:22" ht="12.75" customHeight="1">
      <c r="A10" s="560" t="s">
        <v>11</v>
      </c>
      <c r="B10" s="655">
        <v>43922</v>
      </c>
      <c r="C10" s="656">
        <v>0</v>
      </c>
      <c r="D10" s="655">
        <v>43952</v>
      </c>
      <c r="E10" s="342">
        <v>5557620</v>
      </c>
      <c r="F10" s="874">
        <f t="shared" si="0"/>
        <v>5557620</v>
      </c>
      <c r="G10" s="342">
        <v>2969362</v>
      </c>
      <c r="H10" s="342">
        <v>473290</v>
      </c>
      <c r="I10" s="342">
        <v>1894705</v>
      </c>
      <c r="J10" s="342">
        <v>220263</v>
      </c>
      <c r="K10" s="342">
        <v>0</v>
      </c>
      <c r="M10" s="342">
        <v>188026</v>
      </c>
      <c r="N10" s="342">
        <v>2885</v>
      </c>
      <c r="O10" s="342">
        <v>29352</v>
      </c>
      <c r="P10" s="857">
        <f t="shared" si="1"/>
        <v>220263</v>
      </c>
      <c r="Q10" s="12"/>
      <c r="S10" s="773"/>
      <c r="T10" s="774"/>
      <c r="U10" s="771"/>
      <c r="V10" s="772"/>
    </row>
    <row r="11" spans="1:22" ht="12.75" customHeight="1">
      <c r="A11" s="560" t="s">
        <v>165</v>
      </c>
      <c r="B11" s="655">
        <v>43922</v>
      </c>
      <c r="C11" s="656">
        <v>0</v>
      </c>
      <c r="D11" s="655">
        <v>43952</v>
      </c>
      <c r="E11" s="342">
        <v>157831</v>
      </c>
      <c r="F11" s="874">
        <f t="shared" si="0"/>
        <v>157831</v>
      </c>
      <c r="G11" s="342">
        <v>80983</v>
      </c>
      <c r="H11" s="342">
        <v>14761</v>
      </c>
      <c r="I11" s="342">
        <v>55218</v>
      </c>
      <c r="J11" s="342">
        <v>6869</v>
      </c>
      <c r="K11" s="342">
        <v>0</v>
      </c>
      <c r="M11" s="342">
        <v>5864</v>
      </c>
      <c r="N11" s="342">
        <v>90</v>
      </c>
      <c r="O11" s="342">
        <v>915</v>
      </c>
      <c r="P11" s="857">
        <f t="shared" si="1"/>
        <v>6869</v>
      </c>
      <c r="S11" s="773"/>
      <c r="T11" s="774"/>
      <c r="U11" s="771"/>
      <c r="V11" s="772"/>
    </row>
    <row r="12" spans="1:22" ht="12.75" customHeight="1">
      <c r="A12" s="560" t="s">
        <v>164</v>
      </c>
      <c r="B12" s="655">
        <v>43739</v>
      </c>
      <c r="C12" s="345">
        <v>1</v>
      </c>
      <c r="D12" s="655">
        <v>43952</v>
      </c>
      <c r="E12" s="342">
        <v>140332</v>
      </c>
      <c r="F12" s="874">
        <f t="shared" si="0"/>
        <v>140332</v>
      </c>
      <c r="G12" s="342">
        <v>72005</v>
      </c>
      <c r="H12" s="342">
        <v>13124</v>
      </c>
      <c r="I12" s="342">
        <v>49095</v>
      </c>
      <c r="J12" s="342">
        <v>6108</v>
      </c>
      <c r="K12" s="342">
        <v>0</v>
      </c>
      <c r="M12" s="342">
        <v>5214</v>
      </c>
      <c r="N12" s="342">
        <v>80</v>
      </c>
      <c r="O12" s="342">
        <v>814</v>
      </c>
      <c r="P12" s="857">
        <f t="shared" si="1"/>
        <v>6108</v>
      </c>
      <c r="S12" s="773"/>
      <c r="T12" s="774"/>
      <c r="U12" s="771"/>
      <c r="V12" s="772"/>
    </row>
    <row r="13" spans="1:22" ht="12.75" customHeight="1">
      <c r="A13" s="560" t="s">
        <v>164</v>
      </c>
      <c r="B13" s="655">
        <v>43922</v>
      </c>
      <c r="C13" s="656">
        <v>0</v>
      </c>
      <c r="D13" s="655">
        <v>43952</v>
      </c>
      <c r="E13" s="342">
        <v>23178</v>
      </c>
      <c r="F13" s="874">
        <f t="shared" si="0"/>
        <v>23178</v>
      </c>
      <c r="G13" s="342">
        <v>11894</v>
      </c>
      <c r="H13" s="342">
        <v>2167</v>
      </c>
      <c r="I13" s="342">
        <v>8109</v>
      </c>
      <c r="J13" s="342">
        <v>1008</v>
      </c>
      <c r="K13" s="342">
        <v>0</v>
      </c>
      <c r="M13" s="342">
        <v>861</v>
      </c>
      <c r="N13" s="342">
        <v>13</v>
      </c>
      <c r="O13" s="342">
        <v>134</v>
      </c>
      <c r="P13" s="857">
        <f t="shared" si="1"/>
        <v>1008</v>
      </c>
      <c r="S13" s="773"/>
      <c r="T13" s="774"/>
      <c r="U13" s="771"/>
      <c r="V13" s="772"/>
    </row>
    <row r="14" spans="1:22" ht="12.75" customHeight="1">
      <c r="A14" s="560" t="s">
        <v>163</v>
      </c>
      <c r="B14" s="655">
        <v>43922</v>
      </c>
      <c r="C14" s="656">
        <v>0</v>
      </c>
      <c r="D14" s="655">
        <v>43952</v>
      </c>
      <c r="E14" s="342">
        <v>55506</v>
      </c>
      <c r="F14" s="874">
        <f t="shared" si="0"/>
        <v>55506</v>
      </c>
      <c r="G14" s="342">
        <v>28480</v>
      </c>
      <c r="H14" s="342">
        <v>5192</v>
      </c>
      <c r="I14" s="342">
        <v>19419</v>
      </c>
      <c r="J14" s="342">
        <v>2415</v>
      </c>
      <c r="K14" s="342">
        <v>0</v>
      </c>
      <c r="M14" s="342">
        <v>2062</v>
      </c>
      <c r="N14" s="342">
        <v>31</v>
      </c>
      <c r="O14" s="342">
        <v>322</v>
      </c>
      <c r="P14" s="857">
        <f t="shared" si="1"/>
        <v>2415</v>
      </c>
      <c r="S14" s="773"/>
      <c r="T14" s="774"/>
      <c r="U14" s="771"/>
      <c r="V14" s="772"/>
    </row>
    <row r="15" spans="1:22" ht="12.75" customHeight="1">
      <c r="A15" s="560" t="s">
        <v>162</v>
      </c>
      <c r="B15" s="655">
        <v>43922</v>
      </c>
      <c r="C15" s="656">
        <v>0</v>
      </c>
      <c r="D15" s="655">
        <v>43952</v>
      </c>
      <c r="E15" s="342">
        <v>48455</v>
      </c>
      <c r="F15" s="874">
        <f t="shared" si="0"/>
        <v>48455</v>
      </c>
      <c r="G15" s="342">
        <v>24863</v>
      </c>
      <c r="H15" s="342">
        <v>4531</v>
      </c>
      <c r="I15" s="342">
        <v>16952</v>
      </c>
      <c r="J15" s="342">
        <v>2109</v>
      </c>
      <c r="K15" s="342">
        <v>0</v>
      </c>
      <c r="M15" s="342">
        <v>1800</v>
      </c>
      <c r="N15" s="342">
        <v>28</v>
      </c>
      <c r="O15" s="342">
        <v>281</v>
      </c>
      <c r="P15" s="857">
        <f t="shared" si="1"/>
        <v>2109</v>
      </c>
      <c r="S15" s="773"/>
      <c r="T15" s="774"/>
      <c r="U15" s="771"/>
      <c r="V15" s="772"/>
    </row>
    <row r="16" spans="1:22" ht="12.75" customHeight="1">
      <c r="A16" s="560" t="s">
        <v>161</v>
      </c>
      <c r="B16" s="655">
        <v>43922</v>
      </c>
      <c r="C16" s="656">
        <v>0</v>
      </c>
      <c r="D16" s="655">
        <v>43952</v>
      </c>
      <c r="E16" s="342">
        <v>89420</v>
      </c>
      <c r="F16" s="874">
        <f t="shared" si="0"/>
        <v>89420</v>
      </c>
      <c r="G16" s="342">
        <v>45882</v>
      </c>
      <c r="H16" s="342">
        <v>8362</v>
      </c>
      <c r="I16" s="342">
        <v>31284</v>
      </c>
      <c r="J16" s="342">
        <v>3892</v>
      </c>
      <c r="K16" s="342">
        <v>0</v>
      </c>
      <c r="M16" s="342">
        <v>3322</v>
      </c>
      <c r="N16" s="342">
        <v>51</v>
      </c>
      <c r="O16" s="342">
        <v>519</v>
      </c>
      <c r="P16" s="857">
        <f t="shared" si="1"/>
        <v>3892</v>
      </c>
      <c r="S16" s="773"/>
      <c r="T16" s="774"/>
      <c r="U16" s="771"/>
      <c r="V16" s="772"/>
    </row>
    <row r="17" spans="1:22" ht="12.75" customHeight="1">
      <c r="A17" s="560" t="s">
        <v>160</v>
      </c>
      <c r="B17" s="655">
        <v>44105</v>
      </c>
      <c r="C17" s="345">
        <v>2</v>
      </c>
      <c r="D17" s="655">
        <v>43952</v>
      </c>
      <c r="E17" s="342">
        <v>-3727</v>
      </c>
      <c r="F17" s="874">
        <f t="shared" si="0"/>
        <v>-3727</v>
      </c>
      <c r="G17" s="342">
        <v>-1913</v>
      </c>
      <c r="H17" s="342">
        <v>-348</v>
      </c>
      <c r="I17" s="342">
        <v>-1304</v>
      </c>
      <c r="J17" s="342">
        <v>-162</v>
      </c>
      <c r="K17" s="342">
        <v>0</v>
      </c>
      <c r="M17" s="342">
        <v>-138</v>
      </c>
      <c r="N17" s="342">
        <v>-2</v>
      </c>
      <c r="O17" s="342">
        <v>-22</v>
      </c>
      <c r="P17" s="857">
        <f t="shared" si="1"/>
        <v>-162</v>
      </c>
      <c r="S17" s="773"/>
      <c r="T17" s="774"/>
      <c r="U17" s="771"/>
      <c r="V17" s="772"/>
    </row>
    <row r="18" spans="1:22" ht="12.75" customHeight="1">
      <c r="A18" s="560" t="s">
        <v>160</v>
      </c>
      <c r="B18" s="655">
        <v>44136</v>
      </c>
      <c r="C18" s="345">
        <v>2</v>
      </c>
      <c r="D18" s="655">
        <v>43952</v>
      </c>
      <c r="E18" s="342">
        <v>-1645</v>
      </c>
      <c r="F18" s="874">
        <f t="shared" si="0"/>
        <v>-1645</v>
      </c>
      <c r="G18" s="342">
        <v>-844</v>
      </c>
      <c r="H18" s="342">
        <v>-153</v>
      </c>
      <c r="I18" s="342">
        <v>-576</v>
      </c>
      <c r="J18" s="342">
        <v>-72</v>
      </c>
      <c r="K18" s="342">
        <v>0</v>
      </c>
      <c r="M18" s="342">
        <v>-61</v>
      </c>
      <c r="N18" s="342">
        <v>-1</v>
      </c>
      <c r="O18" s="342">
        <v>-10</v>
      </c>
      <c r="P18" s="857">
        <f t="shared" si="1"/>
        <v>-72</v>
      </c>
      <c r="S18" s="773"/>
      <c r="T18" s="774"/>
      <c r="U18" s="771"/>
      <c r="V18" s="772"/>
    </row>
    <row r="19" spans="1:22" ht="12.75" customHeight="1">
      <c r="A19" s="560" t="s">
        <v>160</v>
      </c>
      <c r="B19" s="655">
        <v>44166</v>
      </c>
      <c r="C19" s="345">
        <v>2</v>
      </c>
      <c r="D19" s="655">
        <v>43952</v>
      </c>
      <c r="E19" s="342">
        <v>2491</v>
      </c>
      <c r="F19" s="874">
        <f t="shared" si="0"/>
        <v>2491</v>
      </c>
      <c r="G19" s="342">
        <v>1280</v>
      </c>
      <c r="H19" s="342">
        <v>233</v>
      </c>
      <c r="I19" s="342">
        <v>871</v>
      </c>
      <c r="J19" s="342">
        <v>107</v>
      </c>
      <c r="K19" s="342">
        <v>0</v>
      </c>
      <c r="M19" s="342">
        <v>92</v>
      </c>
      <c r="N19" s="342">
        <v>1</v>
      </c>
      <c r="O19" s="342">
        <v>14</v>
      </c>
      <c r="P19" s="857">
        <f t="shared" si="1"/>
        <v>107</v>
      </c>
      <c r="S19" s="773"/>
      <c r="T19" s="774"/>
      <c r="U19" s="771"/>
      <c r="V19" s="772"/>
    </row>
    <row r="20" spans="1:22" ht="12.75" customHeight="1">
      <c r="A20" s="560" t="s">
        <v>160</v>
      </c>
      <c r="B20" s="655">
        <v>43831</v>
      </c>
      <c r="C20" s="345">
        <v>2</v>
      </c>
      <c r="D20" s="655">
        <v>43952</v>
      </c>
      <c r="E20" s="342">
        <v>-2611</v>
      </c>
      <c r="F20" s="874">
        <f t="shared" si="0"/>
        <v>-2611</v>
      </c>
      <c r="G20" s="342">
        <v>-1341</v>
      </c>
      <c r="H20" s="342">
        <v>-244</v>
      </c>
      <c r="I20" s="342">
        <v>-913</v>
      </c>
      <c r="J20" s="342">
        <v>-113</v>
      </c>
      <c r="K20" s="342">
        <v>0</v>
      </c>
      <c r="M20" s="342">
        <v>-97</v>
      </c>
      <c r="N20" s="342">
        <v>-1</v>
      </c>
      <c r="O20" s="342">
        <v>-15</v>
      </c>
      <c r="P20" s="857">
        <f t="shared" si="1"/>
        <v>-113</v>
      </c>
      <c r="S20" s="773"/>
      <c r="T20" s="774"/>
      <c r="U20" s="771"/>
      <c r="V20" s="772"/>
    </row>
    <row r="21" spans="1:22" ht="12.75" customHeight="1">
      <c r="A21" s="560" t="s">
        <v>160</v>
      </c>
      <c r="B21" s="655">
        <v>43862</v>
      </c>
      <c r="C21" s="345">
        <v>2</v>
      </c>
      <c r="D21" s="655">
        <v>43952</v>
      </c>
      <c r="E21" s="342">
        <v>-3767</v>
      </c>
      <c r="F21" s="874">
        <f t="shared" si="0"/>
        <v>-3767</v>
      </c>
      <c r="G21" s="342">
        <v>-1933</v>
      </c>
      <c r="H21" s="342">
        <v>-353</v>
      </c>
      <c r="I21" s="342">
        <v>-1318</v>
      </c>
      <c r="J21" s="342">
        <v>-163</v>
      </c>
      <c r="K21" s="342">
        <v>0</v>
      </c>
      <c r="M21" s="342">
        <v>-139</v>
      </c>
      <c r="N21" s="342">
        <v>-2</v>
      </c>
      <c r="O21" s="342">
        <v>-22</v>
      </c>
      <c r="P21" s="857">
        <f t="shared" si="1"/>
        <v>-163</v>
      </c>
      <c r="S21" s="773"/>
      <c r="T21" s="774"/>
      <c r="U21" s="771"/>
      <c r="V21" s="772"/>
    </row>
    <row r="22" spans="1:22" ht="12.75" customHeight="1">
      <c r="A22" s="560" t="s">
        <v>160</v>
      </c>
      <c r="B22" s="655">
        <v>43891</v>
      </c>
      <c r="C22" s="345">
        <v>1</v>
      </c>
      <c r="D22" s="655">
        <v>43952</v>
      </c>
      <c r="E22" s="342">
        <v>-11466</v>
      </c>
      <c r="F22" s="874">
        <f t="shared" si="0"/>
        <v>-11466</v>
      </c>
      <c r="G22" s="342">
        <v>-5884</v>
      </c>
      <c r="H22" s="342">
        <v>-1071</v>
      </c>
      <c r="I22" s="342">
        <v>-4011</v>
      </c>
      <c r="J22" s="342">
        <v>-500</v>
      </c>
      <c r="K22" s="342">
        <v>0</v>
      </c>
      <c r="M22" s="342">
        <v>-426</v>
      </c>
      <c r="N22" s="342">
        <v>-7</v>
      </c>
      <c r="O22" s="342">
        <v>-67</v>
      </c>
      <c r="P22" s="857">
        <f t="shared" si="1"/>
        <v>-500</v>
      </c>
      <c r="S22" s="773"/>
      <c r="T22" s="774"/>
      <c r="U22" s="771"/>
      <c r="V22" s="772"/>
    </row>
    <row r="23" spans="1:22" ht="12.75" customHeight="1">
      <c r="A23" s="560" t="s">
        <v>160</v>
      </c>
      <c r="B23" s="655">
        <v>43922</v>
      </c>
      <c r="C23" s="656">
        <v>0</v>
      </c>
      <c r="D23" s="655">
        <v>43952</v>
      </c>
      <c r="E23" s="342">
        <v>226149</v>
      </c>
      <c r="F23" s="874">
        <f t="shared" si="0"/>
        <v>226149</v>
      </c>
      <c r="G23" s="342">
        <v>116036</v>
      </c>
      <c r="H23" s="342">
        <v>21151</v>
      </c>
      <c r="I23" s="342">
        <v>79119</v>
      </c>
      <c r="J23" s="342">
        <v>9843</v>
      </c>
      <c r="K23" s="342">
        <v>0</v>
      </c>
      <c r="M23" s="342">
        <v>8402</v>
      </c>
      <c r="N23" s="342">
        <v>129</v>
      </c>
      <c r="O23" s="342">
        <v>1312</v>
      </c>
      <c r="P23" s="857">
        <f t="shared" si="1"/>
        <v>9843</v>
      </c>
      <c r="S23" s="773"/>
      <c r="T23" s="774"/>
      <c r="U23" s="771"/>
      <c r="V23" s="772"/>
    </row>
    <row r="24" spans="1:22" ht="12.75" customHeight="1">
      <c r="A24" s="560" t="s">
        <v>159</v>
      </c>
      <c r="B24" s="655">
        <v>43922</v>
      </c>
      <c r="C24" s="656">
        <v>0</v>
      </c>
      <c r="D24" s="655">
        <v>43952</v>
      </c>
      <c r="E24" s="342">
        <v>21946</v>
      </c>
      <c r="F24" s="874">
        <f t="shared" si="0"/>
        <v>21946</v>
      </c>
      <c r="G24" s="342">
        <v>11260</v>
      </c>
      <c r="H24" s="342">
        <v>2053</v>
      </c>
      <c r="I24" s="342">
        <v>7678</v>
      </c>
      <c r="J24" s="342">
        <v>955</v>
      </c>
      <c r="K24" s="342">
        <v>0</v>
      </c>
      <c r="M24" s="342">
        <v>815</v>
      </c>
      <c r="N24" s="342">
        <v>13</v>
      </c>
      <c r="O24" s="342">
        <v>127</v>
      </c>
      <c r="P24" s="857">
        <f t="shared" si="1"/>
        <v>955</v>
      </c>
      <c r="S24" s="773"/>
      <c r="T24" s="774"/>
      <c r="U24" s="771"/>
      <c r="V24" s="772"/>
    </row>
    <row r="25" spans="1:22" ht="12.75" customHeight="1">
      <c r="A25" s="560" t="s">
        <v>158</v>
      </c>
      <c r="B25" s="655">
        <v>43922</v>
      </c>
      <c r="C25" s="656">
        <v>0</v>
      </c>
      <c r="D25" s="655">
        <v>43952</v>
      </c>
      <c r="E25" s="342">
        <v>38393</v>
      </c>
      <c r="F25" s="874">
        <f t="shared" si="0"/>
        <v>38393</v>
      </c>
      <c r="G25" s="342">
        <v>19699</v>
      </c>
      <c r="H25" s="342">
        <v>3591</v>
      </c>
      <c r="I25" s="342">
        <v>13432</v>
      </c>
      <c r="J25" s="342">
        <v>1671</v>
      </c>
      <c r="K25" s="342">
        <v>0</v>
      </c>
      <c r="M25" s="342">
        <v>1426</v>
      </c>
      <c r="N25" s="342">
        <v>22</v>
      </c>
      <c r="O25" s="342">
        <v>223</v>
      </c>
      <c r="P25" s="857">
        <f t="shared" si="1"/>
        <v>1671</v>
      </c>
      <c r="S25" s="775"/>
      <c r="T25" s="774"/>
      <c r="U25" s="771"/>
      <c r="V25" s="772"/>
    </row>
    <row r="26" spans="1:22" ht="12.75" customHeight="1">
      <c r="A26" s="560" t="s">
        <v>157</v>
      </c>
      <c r="B26" s="655">
        <v>43922</v>
      </c>
      <c r="C26" s="656">
        <v>0</v>
      </c>
      <c r="D26" s="655">
        <v>43952</v>
      </c>
      <c r="E26" s="342">
        <v>67912</v>
      </c>
      <c r="F26" s="874">
        <f t="shared" si="0"/>
        <v>67912</v>
      </c>
      <c r="G26" s="342">
        <v>34846</v>
      </c>
      <c r="H26" s="342">
        <v>6351</v>
      </c>
      <c r="I26" s="342">
        <v>23759</v>
      </c>
      <c r="J26" s="342">
        <v>2956</v>
      </c>
      <c r="K26" s="342">
        <v>0</v>
      </c>
      <c r="M26" s="342">
        <v>2523</v>
      </c>
      <c r="N26" s="342">
        <v>39</v>
      </c>
      <c r="O26" s="342">
        <v>394</v>
      </c>
      <c r="P26" s="857">
        <f t="shared" si="1"/>
        <v>2956</v>
      </c>
      <c r="S26" s="775"/>
      <c r="T26" s="774"/>
      <c r="U26" s="771"/>
      <c r="V26" s="772"/>
    </row>
    <row r="27" spans="1:22" ht="12.75" customHeight="1">
      <c r="A27" s="560" t="s">
        <v>156</v>
      </c>
      <c r="B27" s="655">
        <v>43922</v>
      </c>
      <c r="C27" s="656">
        <v>0</v>
      </c>
      <c r="D27" s="655">
        <v>43952</v>
      </c>
      <c r="E27" s="342">
        <v>32618</v>
      </c>
      <c r="F27" s="874">
        <f t="shared" si="0"/>
        <v>32618</v>
      </c>
      <c r="G27" s="342">
        <v>16738</v>
      </c>
      <c r="H27" s="342">
        <v>3050</v>
      </c>
      <c r="I27" s="342">
        <v>11411</v>
      </c>
      <c r="J27" s="342">
        <v>1419</v>
      </c>
      <c r="K27" s="342">
        <v>0</v>
      </c>
      <c r="M27" s="342">
        <v>1211</v>
      </c>
      <c r="N27" s="342">
        <v>19</v>
      </c>
      <c r="O27" s="342">
        <v>189</v>
      </c>
      <c r="P27" s="857">
        <f t="shared" si="1"/>
        <v>1419</v>
      </c>
      <c r="S27" s="773"/>
      <c r="T27" s="774"/>
      <c r="U27" s="771"/>
      <c r="V27" s="772"/>
    </row>
    <row r="28" spans="1:22" ht="12.75" customHeight="1">
      <c r="A28" s="560" t="s">
        <v>155</v>
      </c>
      <c r="B28" s="655">
        <v>43922</v>
      </c>
      <c r="C28" s="656">
        <v>0</v>
      </c>
      <c r="D28" s="655">
        <v>43952</v>
      </c>
      <c r="E28" s="342">
        <v>137437</v>
      </c>
      <c r="F28" s="874">
        <f t="shared" si="0"/>
        <v>137437</v>
      </c>
      <c r="G28" s="342">
        <v>70519</v>
      </c>
      <c r="H28" s="342">
        <v>12854</v>
      </c>
      <c r="I28" s="342">
        <v>48083</v>
      </c>
      <c r="J28" s="342">
        <v>5981</v>
      </c>
      <c r="K28" s="342">
        <v>0</v>
      </c>
      <c r="M28" s="342">
        <v>5106</v>
      </c>
      <c r="N28" s="342">
        <v>78</v>
      </c>
      <c r="O28" s="342">
        <v>797</v>
      </c>
      <c r="P28" s="857">
        <f t="shared" si="1"/>
        <v>5981</v>
      </c>
      <c r="R28" s="773"/>
      <c r="S28" s="774"/>
      <c r="T28" s="771"/>
      <c r="U28" s="772"/>
    </row>
    <row r="29" spans="1:22" ht="12.75" customHeight="1" thickBot="1">
      <c r="A29" s="752" t="s">
        <v>154</v>
      </c>
      <c r="B29" s="844">
        <v>43922</v>
      </c>
      <c r="C29" s="893">
        <v>0</v>
      </c>
      <c r="D29" s="844">
        <v>43952</v>
      </c>
      <c r="E29" s="778">
        <v>36929</v>
      </c>
      <c r="F29" s="897">
        <f t="shared" si="0"/>
        <v>36929</v>
      </c>
      <c r="G29" s="778">
        <v>18949</v>
      </c>
      <c r="H29" s="778">
        <v>3453</v>
      </c>
      <c r="I29" s="778">
        <v>12920</v>
      </c>
      <c r="J29" s="778">
        <v>1607</v>
      </c>
      <c r="K29" s="778">
        <v>0</v>
      </c>
      <c r="M29" s="778">
        <v>1372</v>
      </c>
      <c r="N29" s="778">
        <v>21</v>
      </c>
      <c r="O29" s="778">
        <v>214</v>
      </c>
      <c r="P29" s="882">
        <f t="shared" si="1"/>
        <v>1607</v>
      </c>
      <c r="R29" s="765"/>
      <c r="S29" s="766"/>
      <c r="T29" s="767"/>
      <c r="U29" s="768"/>
      <c r="V29" s="772"/>
    </row>
    <row r="30" spans="1:22" ht="12.75" customHeight="1">
      <c r="A30" s="892" t="s">
        <v>171</v>
      </c>
      <c r="B30" s="876">
        <v>43800</v>
      </c>
      <c r="C30" s="868">
        <v>2</v>
      </c>
      <c r="D30" s="876">
        <v>43983</v>
      </c>
      <c r="E30" s="780">
        <v>-83538</v>
      </c>
      <c r="F30" s="898">
        <f>SUM(G30:K30)</f>
        <v>-83538</v>
      </c>
      <c r="G30" s="780">
        <v>-42862</v>
      </c>
      <c r="H30" s="780">
        <v>-7813</v>
      </c>
      <c r="I30" s="780">
        <v>-29226</v>
      </c>
      <c r="J30" s="780">
        <v>-3637</v>
      </c>
      <c r="K30" s="780">
        <v>0</v>
      </c>
      <c r="M30" s="780">
        <v>-3104</v>
      </c>
      <c r="N30" s="780">
        <v>-48</v>
      </c>
      <c r="O30" s="780">
        <v>-485</v>
      </c>
      <c r="P30" s="856">
        <f>SUM(M30:O30)</f>
        <v>-3637</v>
      </c>
      <c r="R30" s="769"/>
      <c r="S30" s="770"/>
      <c r="T30" s="771"/>
      <c r="U30" s="772"/>
      <c r="V30"/>
    </row>
    <row r="31" spans="1:22" ht="12.75" customHeight="1">
      <c r="A31" s="565" t="s">
        <v>171</v>
      </c>
      <c r="B31" s="660">
        <v>43952</v>
      </c>
      <c r="C31" s="661">
        <v>0</v>
      </c>
      <c r="D31" s="660">
        <v>43983</v>
      </c>
      <c r="E31" s="342">
        <v>275182</v>
      </c>
      <c r="F31" s="899">
        <f>SUM(G31:K31)</f>
        <v>275182</v>
      </c>
      <c r="G31" s="342">
        <v>141195</v>
      </c>
      <c r="H31" s="342">
        <v>25737</v>
      </c>
      <c r="I31" s="342">
        <v>96273</v>
      </c>
      <c r="J31" s="342">
        <v>11977</v>
      </c>
      <c r="K31" s="342">
        <v>0</v>
      </c>
      <c r="M31" s="342">
        <v>10224</v>
      </c>
      <c r="N31" s="342">
        <v>157</v>
      </c>
      <c r="O31" s="342">
        <v>1596</v>
      </c>
      <c r="P31" s="883">
        <f>SUM(M31:O31)</f>
        <v>11977</v>
      </c>
      <c r="R31" s="769"/>
      <c r="S31" s="770"/>
      <c r="T31" s="771"/>
      <c r="U31" s="772"/>
      <c r="V31"/>
    </row>
    <row r="32" spans="1:22" ht="12.75" customHeight="1">
      <c r="A32" s="560" t="s">
        <v>170</v>
      </c>
      <c r="B32" s="660">
        <v>43800</v>
      </c>
      <c r="C32" s="756">
        <v>1</v>
      </c>
      <c r="D32" s="660">
        <v>43983</v>
      </c>
      <c r="E32" s="342">
        <v>27706</v>
      </c>
      <c r="F32" s="899">
        <f t="shared" ref="F32:F55" si="2">SUM(G32:K32)</f>
        <v>27706</v>
      </c>
      <c r="G32" s="342">
        <v>14215</v>
      </c>
      <c r="H32" s="342">
        <v>2592</v>
      </c>
      <c r="I32" s="342">
        <v>9693</v>
      </c>
      <c r="J32" s="342">
        <v>1206</v>
      </c>
      <c r="K32" s="342">
        <v>0</v>
      </c>
      <c r="M32" s="342">
        <v>1029</v>
      </c>
      <c r="N32" s="342">
        <v>16</v>
      </c>
      <c r="O32" s="342">
        <v>161</v>
      </c>
      <c r="P32" s="883">
        <f t="shared" ref="P32:P55" si="3">SUM(M32:O32)</f>
        <v>1206</v>
      </c>
      <c r="R32" s="773"/>
      <c r="S32" s="774"/>
      <c r="T32" s="771"/>
      <c r="U32" s="772"/>
    </row>
    <row r="33" spans="1:21" ht="12.75" customHeight="1">
      <c r="A33" s="560" t="s">
        <v>170</v>
      </c>
      <c r="B33" s="660">
        <v>43831</v>
      </c>
      <c r="C33" s="756">
        <v>1</v>
      </c>
      <c r="D33" s="660">
        <v>43983</v>
      </c>
      <c r="E33" s="342">
        <v>70583</v>
      </c>
      <c r="F33" s="899">
        <f t="shared" si="2"/>
        <v>70583</v>
      </c>
      <c r="G33" s="342">
        <v>36216</v>
      </c>
      <c r="H33" s="342">
        <v>6602</v>
      </c>
      <c r="I33" s="342">
        <v>24694</v>
      </c>
      <c r="J33" s="342">
        <v>3071</v>
      </c>
      <c r="K33" s="342">
        <v>0</v>
      </c>
      <c r="M33" s="342">
        <v>2622</v>
      </c>
      <c r="N33" s="342">
        <v>40</v>
      </c>
      <c r="O33" s="342">
        <v>409</v>
      </c>
      <c r="P33" s="883">
        <f t="shared" si="3"/>
        <v>3071</v>
      </c>
      <c r="R33" s="773"/>
      <c r="S33" s="774"/>
      <c r="T33" s="771"/>
      <c r="U33" s="772"/>
    </row>
    <row r="34" spans="1:21" ht="12.75" customHeight="1">
      <c r="A34" s="560" t="s">
        <v>170</v>
      </c>
      <c r="B34" s="660">
        <v>43862</v>
      </c>
      <c r="C34" s="756">
        <v>1</v>
      </c>
      <c r="D34" s="660">
        <v>43983</v>
      </c>
      <c r="E34" s="342">
        <v>102767</v>
      </c>
      <c r="F34" s="899">
        <f t="shared" si="2"/>
        <v>102767</v>
      </c>
      <c r="G34" s="342">
        <v>52731</v>
      </c>
      <c r="H34" s="342">
        <v>9611</v>
      </c>
      <c r="I34" s="342">
        <v>35953</v>
      </c>
      <c r="J34" s="342">
        <v>4472</v>
      </c>
      <c r="K34" s="342">
        <v>0</v>
      </c>
      <c r="M34" s="342">
        <v>3818</v>
      </c>
      <c r="N34" s="342">
        <v>58</v>
      </c>
      <c r="O34" s="342">
        <v>596</v>
      </c>
      <c r="P34" s="883">
        <f t="shared" si="3"/>
        <v>4472</v>
      </c>
      <c r="R34" s="773"/>
      <c r="S34" s="774"/>
      <c r="T34" s="771"/>
      <c r="U34" s="772"/>
    </row>
    <row r="35" spans="1:21" ht="12.75" customHeight="1">
      <c r="A35" s="560" t="s">
        <v>170</v>
      </c>
      <c r="B35" s="660">
        <v>43891</v>
      </c>
      <c r="C35" s="756">
        <v>1</v>
      </c>
      <c r="D35" s="660">
        <v>43983</v>
      </c>
      <c r="E35" s="342">
        <v>83914</v>
      </c>
      <c r="F35" s="899">
        <f t="shared" si="2"/>
        <v>83914</v>
      </c>
      <c r="G35" s="342">
        <v>43057</v>
      </c>
      <c r="H35" s="342">
        <v>7848</v>
      </c>
      <c r="I35" s="342">
        <v>29357</v>
      </c>
      <c r="J35" s="342">
        <v>3652</v>
      </c>
      <c r="K35" s="342">
        <v>0</v>
      </c>
      <c r="M35" s="342">
        <v>3117</v>
      </c>
      <c r="N35" s="342">
        <v>48</v>
      </c>
      <c r="O35" s="342">
        <v>487</v>
      </c>
      <c r="P35" s="883">
        <f t="shared" si="3"/>
        <v>3652</v>
      </c>
      <c r="R35" s="773"/>
      <c r="S35" s="774"/>
      <c r="T35" s="771"/>
      <c r="U35" s="772"/>
    </row>
    <row r="36" spans="1:21" ht="12.75" customHeight="1">
      <c r="A36" s="560" t="s">
        <v>170</v>
      </c>
      <c r="B36" s="660">
        <v>43922</v>
      </c>
      <c r="C36" s="756">
        <v>1</v>
      </c>
      <c r="D36" s="660">
        <v>43983</v>
      </c>
      <c r="E36" s="342">
        <v>89541</v>
      </c>
      <c r="F36" s="899">
        <f t="shared" si="2"/>
        <v>89541</v>
      </c>
      <c r="G36" s="342">
        <v>45944</v>
      </c>
      <c r="H36" s="342">
        <v>8375</v>
      </c>
      <c r="I36" s="342">
        <v>31326</v>
      </c>
      <c r="J36" s="342">
        <v>3896</v>
      </c>
      <c r="K36" s="342">
        <v>0</v>
      </c>
      <c r="M36" s="342">
        <v>3326</v>
      </c>
      <c r="N36" s="342">
        <v>51</v>
      </c>
      <c r="O36" s="342">
        <v>519</v>
      </c>
      <c r="P36" s="883">
        <f t="shared" si="3"/>
        <v>3896</v>
      </c>
      <c r="R36" s="773"/>
      <c r="S36" s="774"/>
      <c r="T36" s="771"/>
      <c r="U36" s="772"/>
    </row>
    <row r="37" spans="1:21" ht="12.75" customHeight="1">
      <c r="A37" s="560" t="s">
        <v>170</v>
      </c>
      <c r="B37" s="660">
        <v>43952</v>
      </c>
      <c r="C37" s="661">
        <v>0</v>
      </c>
      <c r="D37" s="660">
        <v>43983</v>
      </c>
      <c r="E37" s="342">
        <v>90921</v>
      </c>
      <c r="F37" s="899">
        <f t="shared" si="2"/>
        <v>90921</v>
      </c>
      <c r="G37" s="342">
        <v>46652</v>
      </c>
      <c r="H37" s="342">
        <v>8503</v>
      </c>
      <c r="I37" s="342">
        <v>31809</v>
      </c>
      <c r="J37" s="342">
        <v>3957</v>
      </c>
      <c r="K37" s="342">
        <v>0</v>
      </c>
      <c r="M37" s="342">
        <v>3378</v>
      </c>
      <c r="N37" s="342">
        <v>52</v>
      </c>
      <c r="O37" s="342">
        <v>527</v>
      </c>
      <c r="P37" s="883">
        <f t="shared" si="3"/>
        <v>3957</v>
      </c>
      <c r="R37" s="773"/>
      <c r="S37" s="774"/>
      <c r="T37" s="771"/>
      <c r="U37" s="772"/>
    </row>
    <row r="38" spans="1:21" ht="12.75" customHeight="1">
      <c r="A38" s="560" t="s">
        <v>169</v>
      </c>
      <c r="B38" s="660">
        <v>43952</v>
      </c>
      <c r="C38" s="656">
        <v>0</v>
      </c>
      <c r="D38" s="660">
        <v>43983</v>
      </c>
      <c r="E38" s="342">
        <v>136358</v>
      </c>
      <c r="F38" s="899">
        <f t="shared" si="2"/>
        <v>136358</v>
      </c>
      <c r="G38" s="342">
        <v>69965</v>
      </c>
      <c r="H38" s="342">
        <v>12753</v>
      </c>
      <c r="I38" s="342">
        <v>47705</v>
      </c>
      <c r="J38" s="342">
        <v>5935</v>
      </c>
      <c r="K38" s="342">
        <v>0</v>
      </c>
      <c r="M38" s="342">
        <v>5066</v>
      </c>
      <c r="N38" s="342">
        <v>78</v>
      </c>
      <c r="O38" s="342">
        <v>791</v>
      </c>
      <c r="P38" s="883">
        <f t="shared" si="3"/>
        <v>5935</v>
      </c>
      <c r="R38" s="773"/>
      <c r="S38" s="774"/>
      <c r="T38" s="771"/>
      <c r="U38" s="772"/>
    </row>
    <row r="39" spans="1:21" ht="12.75" customHeight="1">
      <c r="A39" s="560" t="s">
        <v>168</v>
      </c>
      <c r="B39" s="660">
        <v>43922</v>
      </c>
      <c r="C39" s="345">
        <v>1</v>
      </c>
      <c r="D39" s="660">
        <v>43983</v>
      </c>
      <c r="E39" s="342">
        <v>201174</v>
      </c>
      <c r="F39" s="899">
        <f t="shared" si="2"/>
        <v>201174</v>
      </c>
      <c r="G39" s="342">
        <v>103223</v>
      </c>
      <c r="H39" s="342">
        <v>18814</v>
      </c>
      <c r="I39" s="342">
        <v>70381</v>
      </c>
      <c r="J39" s="342">
        <v>8756</v>
      </c>
      <c r="K39" s="342">
        <v>0</v>
      </c>
      <c r="M39" s="342">
        <v>7474</v>
      </c>
      <c r="N39" s="342">
        <v>115</v>
      </c>
      <c r="O39" s="342">
        <v>1167</v>
      </c>
      <c r="P39" s="883">
        <f t="shared" si="3"/>
        <v>8756</v>
      </c>
      <c r="R39" s="773"/>
      <c r="S39" s="774"/>
      <c r="T39" s="771"/>
      <c r="U39" s="772"/>
    </row>
    <row r="40" spans="1:21" ht="12.75" customHeight="1">
      <c r="A40" s="560" t="s">
        <v>168</v>
      </c>
      <c r="B40" s="660">
        <v>43952</v>
      </c>
      <c r="C40" s="656">
        <v>0</v>
      </c>
      <c r="D40" s="660">
        <v>43983</v>
      </c>
      <c r="E40" s="342">
        <v>450650</v>
      </c>
      <c r="F40" s="899">
        <f t="shared" si="2"/>
        <v>450650</v>
      </c>
      <c r="G40" s="342">
        <v>231228</v>
      </c>
      <c r="H40" s="342">
        <v>42147</v>
      </c>
      <c r="I40" s="342">
        <v>157660</v>
      </c>
      <c r="J40" s="342">
        <v>19615</v>
      </c>
      <c r="K40" s="342">
        <v>0</v>
      </c>
      <c r="M40" s="342">
        <v>16744</v>
      </c>
      <c r="N40" s="342">
        <v>257</v>
      </c>
      <c r="O40" s="342">
        <v>2614</v>
      </c>
      <c r="P40" s="883">
        <f t="shared" si="3"/>
        <v>19615</v>
      </c>
      <c r="R40" s="773"/>
      <c r="S40" s="774"/>
      <c r="T40" s="771"/>
      <c r="U40" s="772"/>
    </row>
    <row r="41" spans="1:21" ht="12.75" customHeight="1">
      <c r="A41" s="560" t="s">
        <v>167</v>
      </c>
      <c r="B41" s="660">
        <v>43952</v>
      </c>
      <c r="C41" s="656">
        <v>0</v>
      </c>
      <c r="D41" s="660">
        <v>43983</v>
      </c>
      <c r="E41" s="342">
        <v>46188</v>
      </c>
      <c r="F41" s="899">
        <f t="shared" si="2"/>
        <v>46188</v>
      </c>
      <c r="G41" s="342">
        <v>23698</v>
      </c>
      <c r="H41" s="342">
        <v>4320</v>
      </c>
      <c r="I41" s="342">
        <v>16160</v>
      </c>
      <c r="J41" s="342">
        <v>2010</v>
      </c>
      <c r="K41" s="342">
        <v>0</v>
      </c>
      <c r="M41" s="342">
        <v>1716</v>
      </c>
      <c r="N41" s="342">
        <v>26</v>
      </c>
      <c r="O41" s="342">
        <v>268</v>
      </c>
      <c r="P41" s="883">
        <f t="shared" si="3"/>
        <v>2010</v>
      </c>
      <c r="R41" s="773"/>
      <c r="S41" s="774"/>
      <c r="T41" s="771"/>
      <c r="U41" s="772"/>
    </row>
    <row r="42" spans="1:21" ht="12.75" customHeight="1">
      <c r="A42" s="560" t="s">
        <v>166</v>
      </c>
      <c r="B42" s="660">
        <v>43952</v>
      </c>
      <c r="C42" s="656">
        <v>0</v>
      </c>
      <c r="D42" s="660">
        <v>43983</v>
      </c>
      <c r="E42" s="342">
        <v>311175</v>
      </c>
      <c r="F42" s="899">
        <f t="shared" si="2"/>
        <v>311175</v>
      </c>
      <c r="G42" s="342">
        <v>159664</v>
      </c>
      <c r="H42" s="342">
        <v>29102</v>
      </c>
      <c r="I42" s="342">
        <v>108865</v>
      </c>
      <c r="J42" s="342">
        <v>13544</v>
      </c>
      <c r="K42" s="342">
        <v>0</v>
      </c>
      <c r="M42" s="342">
        <v>11562</v>
      </c>
      <c r="N42" s="342">
        <v>177</v>
      </c>
      <c r="O42" s="342">
        <v>1805</v>
      </c>
      <c r="P42" s="883">
        <f t="shared" si="3"/>
        <v>13544</v>
      </c>
      <c r="R42" s="773"/>
      <c r="S42" s="774"/>
      <c r="T42" s="771"/>
      <c r="U42" s="772"/>
    </row>
    <row r="43" spans="1:21" ht="12.75" customHeight="1">
      <c r="A43" s="560" t="s">
        <v>11</v>
      </c>
      <c r="B43" s="660">
        <v>43952</v>
      </c>
      <c r="C43" s="656">
        <v>0</v>
      </c>
      <c r="D43" s="660">
        <v>43983</v>
      </c>
      <c r="E43" s="342">
        <v>5422168</v>
      </c>
      <c r="F43" s="899">
        <f t="shared" si="2"/>
        <v>5422168</v>
      </c>
      <c r="G43" s="342">
        <v>2902733</v>
      </c>
      <c r="H43" s="342">
        <v>459491</v>
      </c>
      <c r="I43" s="342">
        <v>1846106</v>
      </c>
      <c r="J43" s="342">
        <v>213838</v>
      </c>
      <c r="K43" s="342">
        <v>0</v>
      </c>
      <c r="M43" s="342">
        <v>182542</v>
      </c>
      <c r="N43" s="342">
        <v>2800</v>
      </c>
      <c r="O43" s="342">
        <v>28496</v>
      </c>
      <c r="P43" s="883">
        <f t="shared" si="3"/>
        <v>213838</v>
      </c>
      <c r="R43" s="773"/>
      <c r="S43" s="774"/>
      <c r="T43" s="771"/>
      <c r="U43" s="772"/>
    </row>
    <row r="44" spans="1:21" ht="12.75" customHeight="1">
      <c r="A44" s="560" t="s">
        <v>165</v>
      </c>
      <c r="B44" s="660">
        <v>43952</v>
      </c>
      <c r="C44" s="656">
        <v>0</v>
      </c>
      <c r="D44" s="660">
        <v>43983</v>
      </c>
      <c r="E44" s="342">
        <v>181390</v>
      </c>
      <c r="F44" s="899">
        <f t="shared" si="2"/>
        <v>181390</v>
      </c>
      <c r="G44" s="342">
        <v>93072</v>
      </c>
      <c r="H44" s="342">
        <v>16965</v>
      </c>
      <c r="I44" s="342">
        <v>63459</v>
      </c>
      <c r="J44" s="342">
        <v>7894</v>
      </c>
      <c r="K44" s="342">
        <v>0</v>
      </c>
      <c r="M44" s="342">
        <v>6739</v>
      </c>
      <c r="N44" s="342">
        <v>103</v>
      </c>
      <c r="O44" s="342">
        <v>1052</v>
      </c>
      <c r="P44" s="883">
        <f t="shared" si="3"/>
        <v>7894</v>
      </c>
      <c r="R44" s="773"/>
      <c r="S44" s="774"/>
      <c r="T44" s="771"/>
      <c r="U44" s="772"/>
    </row>
    <row r="45" spans="1:21" ht="12.75" customHeight="1">
      <c r="A45" s="560" t="s">
        <v>164</v>
      </c>
      <c r="B45" s="660">
        <v>43952</v>
      </c>
      <c r="C45" s="656">
        <v>0</v>
      </c>
      <c r="D45" s="660">
        <v>43983</v>
      </c>
      <c r="E45" s="342">
        <v>146891</v>
      </c>
      <c r="F45" s="899">
        <f t="shared" si="2"/>
        <v>146891</v>
      </c>
      <c r="G45" s="342">
        <v>75370</v>
      </c>
      <c r="H45" s="342">
        <v>13738</v>
      </c>
      <c r="I45" s="342">
        <v>51390</v>
      </c>
      <c r="J45" s="342">
        <v>6393</v>
      </c>
      <c r="K45" s="342">
        <v>0</v>
      </c>
      <c r="M45" s="342">
        <v>5457</v>
      </c>
      <c r="N45" s="342">
        <v>84</v>
      </c>
      <c r="O45" s="342">
        <v>852</v>
      </c>
      <c r="P45" s="883">
        <f t="shared" si="3"/>
        <v>6393</v>
      </c>
      <c r="R45" s="773"/>
      <c r="S45" s="774"/>
      <c r="T45" s="771"/>
      <c r="U45" s="772"/>
    </row>
    <row r="46" spans="1:21" ht="12.75" customHeight="1">
      <c r="A46" s="560" t="s">
        <v>163</v>
      </c>
      <c r="B46" s="660">
        <v>43952</v>
      </c>
      <c r="C46" s="656">
        <v>0</v>
      </c>
      <c r="D46" s="660">
        <v>43983</v>
      </c>
      <c r="E46" s="342">
        <v>54651</v>
      </c>
      <c r="F46" s="899">
        <f t="shared" si="2"/>
        <v>54651</v>
      </c>
      <c r="G46" s="342">
        <v>28042</v>
      </c>
      <c r="H46" s="342">
        <v>5112</v>
      </c>
      <c r="I46" s="342">
        <v>19119</v>
      </c>
      <c r="J46" s="342">
        <v>2378</v>
      </c>
      <c r="K46" s="342">
        <v>0</v>
      </c>
      <c r="M46" s="342">
        <v>2030</v>
      </c>
      <c r="N46" s="342">
        <v>31</v>
      </c>
      <c r="O46" s="342">
        <v>317</v>
      </c>
      <c r="P46" s="883">
        <f t="shared" si="3"/>
        <v>2378</v>
      </c>
      <c r="R46" s="773"/>
      <c r="S46" s="774"/>
      <c r="T46" s="771"/>
      <c r="U46" s="772"/>
    </row>
    <row r="47" spans="1:21" ht="12.75" customHeight="1">
      <c r="A47" s="560" t="s">
        <v>162</v>
      </c>
      <c r="B47" s="660">
        <v>43952</v>
      </c>
      <c r="C47" s="656">
        <v>0</v>
      </c>
      <c r="D47" s="660">
        <v>43983</v>
      </c>
      <c r="E47" s="342">
        <v>31113</v>
      </c>
      <c r="F47" s="899">
        <f t="shared" si="2"/>
        <v>31113</v>
      </c>
      <c r="G47" s="342">
        <v>15965</v>
      </c>
      <c r="H47" s="342">
        <v>2909</v>
      </c>
      <c r="I47" s="342">
        <v>10885</v>
      </c>
      <c r="J47" s="342">
        <v>1354</v>
      </c>
      <c r="K47" s="342">
        <v>0</v>
      </c>
      <c r="M47" s="342">
        <v>1156</v>
      </c>
      <c r="N47" s="342">
        <v>18</v>
      </c>
      <c r="O47" s="342">
        <v>180</v>
      </c>
      <c r="P47" s="883">
        <f t="shared" si="3"/>
        <v>1354</v>
      </c>
      <c r="R47" s="773"/>
      <c r="S47" s="774"/>
      <c r="T47" s="771"/>
      <c r="U47" s="772"/>
    </row>
    <row r="48" spans="1:21" ht="12.75" customHeight="1">
      <c r="A48" s="560" t="s">
        <v>161</v>
      </c>
      <c r="B48" s="660">
        <v>43952</v>
      </c>
      <c r="C48" s="656">
        <v>0</v>
      </c>
      <c r="D48" s="660">
        <v>43983</v>
      </c>
      <c r="E48" s="342">
        <v>174744</v>
      </c>
      <c r="F48" s="899">
        <f t="shared" si="2"/>
        <v>174744</v>
      </c>
      <c r="G48" s="342">
        <v>89661</v>
      </c>
      <c r="H48" s="342">
        <v>16342</v>
      </c>
      <c r="I48" s="342">
        <v>61134</v>
      </c>
      <c r="J48" s="342">
        <v>7607</v>
      </c>
      <c r="K48" s="342">
        <v>0</v>
      </c>
      <c r="M48" s="342">
        <v>6493</v>
      </c>
      <c r="N48" s="342">
        <v>100</v>
      </c>
      <c r="O48" s="342">
        <v>1014</v>
      </c>
      <c r="P48" s="883">
        <f t="shared" si="3"/>
        <v>7607</v>
      </c>
      <c r="R48" s="773"/>
      <c r="S48" s="774"/>
      <c r="T48" s="771"/>
      <c r="U48" s="772"/>
    </row>
    <row r="49" spans="1:21" ht="12.75" customHeight="1">
      <c r="A49" s="560" t="s">
        <v>160</v>
      </c>
      <c r="B49" s="660">
        <v>43952</v>
      </c>
      <c r="C49" s="656">
        <v>0</v>
      </c>
      <c r="D49" s="660">
        <v>43983</v>
      </c>
      <c r="E49" s="342">
        <v>155471</v>
      </c>
      <c r="F49" s="899">
        <f t="shared" si="2"/>
        <v>155471</v>
      </c>
      <c r="G49" s="342">
        <v>79772</v>
      </c>
      <c r="H49" s="342">
        <v>14541</v>
      </c>
      <c r="I49" s="342">
        <v>54392</v>
      </c>
      <c r="J49" s="342">
        <v>6766</v>
      </c>
      <c r="K49" s="342">
        <v>0</v>
      </c>
      <c r="M49" s="342">
        <v>5776</v>
      </c>
      <c r="N49" s="342">
        <v>88</v>
      </c>
      <c r="O49" s="342">
        <v>902</v>
      </c>
      <c r="P49" s="883">
        <f t="shared" si="3"/>
        <v>6766</v>
      </c>
      <c r="R49" s="773"/>
      <c r="S49" s="774"/>
      <c r="T49" s="771"/>
      <c r="U49" s="772"/>
    </row>
    <row r="50" spans="1:21" ht="12.75" customHeight="1">
      <c r="A50" s="560" t="s">
        <v>159</v>
      </c>
      <c r="B50" s="660">
        <v>43952</v>
      </c>
      <c r="C50" s="656">
        <v>0</v>
      </c>
      <c r="D50" s="660">
        <v>43983</v>
      </c>
      <c r="E50" s="342">
        <v>147477</v>
      </c>
      <c r="F50" s="899">
        <f t="shared" si="2"/>
        <v>147477</v>
      </c>
      <c r="G50" s="342">
        <v>75671</v>
      </c>
      <c r="H50" s="342">
        <v>13793</v>
      </c>
      <c r="I50" s="342">
        <v>51595</v>
      </c>
      <c r="J50" s="342">
        <v>6418</v>
      </c>
      <c r="K50" s="342">
        <v>0</v>
      </c>
      <c r="M50" s="342">
        <v>5479</v>
      </c>
      <c r="N50" s="342">
        <v>84</v>
      </c>
      <c r="O50" s="342">
        <v>855</v>
      </c>
      <c r="P50" s="883">
        <f t="shared" si="3"/>
        <v>6418</v>
      </c>
      <c r="R50" s="775"/>
      <c r="S50" s="774"/>
      <c r="T50" s="771"/>
      <c r="U50" s="772"/>
    </row>
    <row r="51" spans="1:21" ht="12.75" customHeight="1">
      <c r="A51" s="560" t="s">
        <v>158</v>
      </c>
      <c r="B51" s="660">
        <v>43952</v>
      </c>
      <c r="C51" s="656">
        <v>0</v>
      </c>
      <c r="D51" s="660">
        <v>43983</v>
      </c>
      <c r="E51" s="342">
        <v>110987</v>
      </c>
      <c r="F51" s="899">
        <f t="shared" si="2"/>
        <v>110987</v>
      </c>
      <c r="G51" s="342">
        <v>56947</v>
      </c>
      <c r="H51" s="342">
        <v>10381</v>
      </c>
      <c r="I51" s="342">
        <v>38829</v>
      </c>
      <c r="J51" s="342">
        <v>4830</v>
      </c>
      <c r="K51" s="342">
        <v>0</v>
      </c>
      <c r="M51" s="342">
        <v>4123</v>
      </c>
      <c r="N51" s="342">
        <v>63</v>
      </c>
      <c r="O51" s="342">
        <v>644</v>
      </c>
      <c r="P51" s="883">
        <f t="shared" si="3"/>
        <v>4830</v>
      </c>
      <c r="R51" s="775"/>
      <c r="S51" s="774"/>
      <c r="T51" s="771"/>
      <c r="U51" s="772"/>
    </row>
    <row r="52" spans="1:21" ht="12.75" customHeight="1">
      <c r="A52" s="560" t="s">
        <v>157</v>
      </c>
      <c r="B52" s="660">
        <v>43952</v>
      </c>
      <c r="C52" s="656">
        <v>0</v>
      </c>
      <c r="D52" s="660">
        <v>43983</v>
      </c>
      <c r="E52" s="342">
        <v>99489</v>
      </c>
      <c r="F52" s="899">
        <f t="shared" si="2"/>
        <v>99489</v>
      </c>
      <c r="G52" s="342">
        <v>51048</v>
      </c>
      <c r="H52" s="342">
        <v>9304</v>
      </c>
      <c r="I52" s="342">
        <v>34807</v>
      </c>
      <c r="J52" s="342">
        <v>4330</v>
      </c>
      <c r="K52" s="342">
        <v>0</v>
      </c>
      <c r="M52" s="342">
        <v>3696</v>
      </c>
      <c r="N52" s="342">
        <v>57</v>
      </c>
      <c r="O52" s="342">
        <v>577</v>
      </c>
      <c r="P52" s="883">
        <f t="shared" si="3"/>
        <v>4330</v>
      </c>
      <c r="R52" s="773"/>
      <c r="S52" s="774"/>
      <c r="T52" s="771"/>
      <c r="U52" s="772"/>
    </row>
    <row r="53" spans="1:21" ht="12.75" customHeight="1">
      <c r="A53" s="560" t="s">
        <v>156</v>
      </c>
      <c r="B53" s="660">
        <v>43952</v>
      </c>
      <c r="C53" s="656">
        <v>0</v>
      </c>
      <c r="D53" s="660">
        <v>43983</v>
      </c>
      <c r="E53" s="342">
        <v>0</v>
      </c>
      <c r="F53" s="899">
        <f t="shared" si="2"/>
        <v>0</v>
      </c>
      <c r="G53" s="342">
        <v>0</v>
      </c>
      <c r="H53" s="342">
        <v>0</v>
      </c>
      <c r="I53" s="342">
        <v>0</v>
      </c>
      <c r="J53" s="342">
        <v>0</v>
      </c>
      <c r="K53" s="342">
        <v>0</v>
      </c>
      <c r="M53" s="342">
        <v>0</v>
      </c>
      <c r="N53" s="342">
        <v>0</v>
      </c>
      <c r="O53" s="342">
        <v>0</v>
      </c>
      <c r="P53" s="883">
        <f t="shared" si="3"/>
        <v>0</v>
      </c>
      <c r="R53" s="773"/>
      <c r="S53" s="774"/>
      <c r="T53" s="771"/>
      <c r="U53" s="772"/>
    </row>
    <row r="54" spans="1:21" ht="12.75" customHeight="1">
      <c r="A54" s="560" t="s">
        <v>155</v>
      </c>
      <c r="B54" s="660">
        <v>43952</v>
      </c>
      <c r="C54" s="656">
        <v>0</v>
      </c>
      <c r="D54" s="660">
        <v>43983</v>
      </c>
      <c r="E54" s="342">
        <v>102201</v>
      </c>
      <c r="F54" s="899">
        <f t="shared" si="2"/>
        <v>102201</v>
      </c>
      <c r="G54" s="342">
        <v>52440</v>
      </c>
      <c r="H54" s="342">
        <v>9558</v>
      </c>
      <c r="I54" s="342">
        <v>35755</v>
      </c>
      <c r="J54" s="342">
        <v>4448</v>
      </c>
      <c r="K54" s="342">
        <v>0</v>
      </c>
      <c r="M54" s="342">
        <v>3797</v>
      </c>
      <c r="N54" s="342">
        <v>58</v>
      </c>
      <c r="O54" s="342">
        <v>593</v>
      </c>
      <c r="P54" s="883">
        <f t="shared" si="3"/>
        <v>4448</v>
      </c>
      <c r="R54" s="773"/>
      <c r="S54" s="774"/>
      <c r="T54" s="771"/>
      <c r="U54" s="772"/>
    </row>
    <row r="55" spans="1:21" ht="12.75" customHeight="1" thickBot="1">
      <c r="A55" s="752" t="s">
        <v>154</v>
      </c>
      <c r="B55" s="863">
        <v>43952</v>
      </c>
      <c r="C55" s="893">
        <v>0</v>
      </c>
      <c r="D55" s="863">
        <v>43983</v>
      </c>
      <c r="E55" s="778">
        <v>68831</v>
      </c>
      <c r="F55" s="851">
        <f t="shared" si="2"/>
        <v>68831</v>
      </c>
      <c r="G55" s="778">
        <v>35317</v>
      </c>
      <c r="H55" s="778">
        <v>6438</v>
      </c>
      <c r="I55" s="778">
        <v>24081</v>
      </c>
      <c r="J55" s="778">
        <v>2995</v>
      </c>
      <c r="K55" s="778">
        <v>0</v>
      </c>
      <c r="M55" s="778">
        <v>2557</v>
      </c>
      <c r="N55" s="778">
        <v>39</v>
      </c>
      <c r="O55" s="778">
        <v>399</v>
      </c>
      <c r="P55" s="855">
        <f t="shared" si="3"/>
        <v>2995</v>
      </c>
      <c r="R55" s="773"/>
      <c r="S55" s="770"/>
      <c r="T55" s="771"/>
      <c r="U55" s="772"/>
    </row>
    <row r="56" spans="1:21" ht="12.75" customHeight="1">
      <c r="A56" s="892" t="s">
        <v>171</v>
      </c>
      <c r="B56" s="876">
        <v>43881</v>
      </c>
      <c r="C56" s="868">
        <v>1</v>
      </c>
      <c r="D56" s="876">
        <v>44013</v>
      </c>
      <c r="E56" s="780">
        <v>6412</v>
      </c>
      <c r="F56" s="898">
        <f>SUM(G56:K56)</f>
        <v>6412</v>
      </c>
      <c r="G56" s="780">
        <v>3290</v>
      </c>
      <c r="H56" s="780">
        <v>599</v>
      </c>
      <c r="I56" s="780">
        <v>2244</v>
      </c>
      <c r="J56" s="780">
        <v>279</v>
      </c>
      <c r="K56" s="780">
        <v>0</v>
      </c>
      <c r="M56" s="780">
        <v>238</v>
      </c>
      <c r="N56" s="780">
        <v>4</v>
      </c>
      <c r="O56" s="780">
        <v>37</v>
      </c>
      <c r="P56" s="856">
        <f>SUM(M56:O56)</f>
        <v>279</v>
      </c>
    </row>
    <row r="57" spans="1:21" ht="12.75" customHeight="1">
      <c r="A57" s="560" t="s">
        <v>171</v>
      </c>
      <c r="B57" s="655">
        <v>43910</v>
      </c>
      <c r="C57" s="345">
        <v>1</v>
      </c>
      <c r="D57" s="655">
        <v>44013</v>
      </c>
      <c r="E57" s="342">
        <v>-15055</v>
      </c>
      <c r="F57" s="874">
        <f t="shared" ref="F57:F82" si="4">SUM(G57:K57)</f>
        <v>-15055</v>
      </c>
      <c r="G57" s="342">
        <v>-7724</v>
      </c>
      <c r="H57" s="342">
        <v>-1408</v>
      </c>
      <c r="I57" s="342">
        <v>-5268</v>
      </c>
      <c r="J57" s="342">
        <v>-655</v>
      </c>
      <c r="K57" s="342">
        <v>0</v>
      </c>
      <c r="M57" s="342">
        <v>-559</v>
      </c>
      <c r="N57" s="342">
        <v>-9</v>
      </c>
      <c r="O57" s="342">
        <v>-87</v>
      </c>
      <c r="P57" s="857">
        <f t="shared" ref="P57:P82" si="5">SUM(M57:O57)</f>
        <v>-655</v>
      </c>
    </row>
    <row r="58" spans="1:21" ht="12.75" customHeight="1">
      <c r="A58" s="560" t="s">
        <v>171</v>
      </c>
      <c r="B58" s="655">
        <v>43941</v>
      </c>
      <c r="C58" s="345">
        <v>1</v>
      </c>
      <c r="D58" s="655">
        <v>44013</v>
      </c>
      <c r="E58" s="342">
        <v>20019</v>
      </c>
      <c r="F58" s="874">
        <f t="shared" si="4"/>
        <v>20019</v>
      </c>
      <c r="G58" s="342">
        <v>10272</v>
      </c>
      <c r="H58" s="342">
        <v>1873</v>
      </c>
      <c r="I58" s="342">
        <v>7004</v>
      </c>
      <c r="J58" s="342">
        <v>870</v>
      </c>
      <c r="K58" s="342">
        <v>0</v>
      </c>
      <c r="M58" s="342">
        <v>743</v>
      </c>
      <c r="N58" s="342">
        <v>11</v>
      </c>
      <c r="O58" s="342">
        <v>116</v>
      </c>
      <c r="P58" s="857">
        <f t="shared" si="5"/>
        <v>870</v>
      </c>
    </row>
    <row r="59" spans="1:21" ht="12.75" customHeight="1">
      <c r="A59" s="560" t="s">
        <v>171</v>
      </c>
      <c r="B59" s="655">
        <v>43983</v>
      </c>
      <c r="C59" s="656">
        <v>0</v>
      </c>
      <c r="D59" s="655">
        <v>44013</v>
      </c>
      <c r="E59" s="342">
        <v>341931</v>
      </c>
      <c r="F59" s="874">
        <f t="shared" si="4"/>
        <v>341931</v>
      </c>
      <c r="G59" s="342">
        <v>175444</v>
      </c>
      <c r="H59" s="342">
        <v>31980</v>
      </c>
      <c r="I59" s="342">
        <v>119625</v>
      </c>
      <c r="J59" s="342">
        <v>14882</v>
      </c>
      <c r="K59" s="342">
        <v>0</v>
      </c>
      <c r="M59" s="342">
        <v>12704</v>
      </c>
      <c r="N59" s="342">
        <v>195</v>
      </c>
      <c r="O59" s="342">
        <v>1983</v>
      </c>
      <c r="P59" s="857">
        <f t="shared" si="5"/>
        <v>14882</v>
      </c>
    </row>
    <row r="60" spans="1:21" ht="12.75" customHeight="1">
      <c r="A60" s="565" t="s">
        <v>170</v>
      </c>
      <c r="B60" s="660">
        <v>43983</v>
      </c>
      <c r="C60" s="661">
        <v>0</v>
      </c>
      <c r="D60" s="660">
        <v>44013</v>
      </c>
      <c r="E60" s="342">
        <v>80617</v>
      </c>
      <c r="F60" s="899">
        <f t="shared" si="4"/>
        <v>80617</v>
      </c>
      <c r="G60" s="342">
        <v>41364</v>
      </c>
      <c r="H60" s="342">
        <v>7540</v>
      </c>
      <c r="I60" s="342">
        <v>28204</v>
      </c>
      <c r="J60" s="342">
        <v>3509</v>
      </c>
      <c r="K60" s="342">
        <v>0</v>
      </c>
      <c r="M60" s="342">
        <v>2995</v>
      </c>
      <c r="N60" s="342">
        <v>46</v>
      </c>
      <c r="O60" s="342">
        <v>468</v>
      </c>
      <c r="P60" s="883">
        <f t="shared" si="5"/>
        <v>3509</v>
      </c>
    </row>
    <row r="61" spans="1:21" ht="12.75" customHeight="1">
      <c r="A61" s="560" t="s">
        <v>169</v>
      </c>
      <c r="B61" s="655">
        <v>43983</v>
      </c>
      <c r="C61" s="656">
        <v>0</v>
      </c>
      <c r="D61" s="655">
        <v>44013</v>
      </c>
      <c r="E61" s="342">
        <v>152476</v>
      </c>
      <c r="F61" s="874">
        <f t="shared" si="4"/>
        <v>152476</v>
      </c>
      <c r="G61" s="342">
        <v>78236</v>
      </c>
      <c r="H61" s="342">
        <v>14260</v>
      </c>
      <c r="I61" s="342">
        <v>53344</v>
      </c>
      <c r="J61" s="342">
        <v>6636</v>
      </c>
      <c r="K61" s="342">
        <v>0</v>
      </c>
      <c r="M61" s="342">
        <v>5665</v>
      </c>
      <c r="N61" s="342">
        <v>87</v>
      </c>
      <c r="O61" s="342">
        <v>884</v>
      </c>
      <c r="P61" s="857">
        <f t="shared" si="5"/>
        <v>6636</v>
      </c>
    </row>
    <row r="62" spans="1:21" ht="12.75" customHeight="1">
      <c r="A62" s="560" t="s">
        <v>168</v>
      </c>
      <c r="B62" s="655">
        <v>43983</v>
      </c>
      <c r="C62" s="656">
        <v>0</v>
      </c>
      <c r="D62" s="655">
        <v>44013</v>
      </c>
      <c r="E62" s="342">
        <v>156026</v>
      </c>
      <c r="F62" s="874">
        <f t="shared" si="4"/>
        <v>156026</v>
      </c>
      <c r="G62" s="342">
        <v>80057</v>
      </c>
      <c r="H62" s="342">
        <v>14592</v>
      </c>
      <c r="I62" s="342">
        <v>54586</v>
      </c>
      <c r="J62" s="342">
        <v>6791</v>
      </c>
      <c r="K62" s="342">
        <v>0</v>
      </c>
      <c r="M62" s="342">
        <v>5797</v>
      </c>
      <c r="N62" s="342">
        <v>89</v>
      </c>
      <c r="O62" s="342">
        <v>905</v>
      </c>
      <c r="P62" s="857">
        <f t="shared" si="5"/>
        <v>6791</v>
      </c>
    </row>
    <row r="63" spans="1:21" ht="12.75" customHeight="1">
      <c r="A63" s="560" t="s">
        <v>167</v>
      </c>
      <c r="B63" s="655">
        <v>43983</v>
      </c>
      <c r="C63" s="656">
        <v>0</v>
      </c>
      <c r="D63" s="655">
        <v>44013</v>
      </c>
      <c r="E63" s="342">
        <v>27076</v>
      </c>
      <c r="F63" s="874">
        <f t="shared" si="4"/>
        <v>27076</v>
      </c>
      <c r="G63" s="342">
        <v>13894</v>
      </c>
      <c r="H63" s="342">
        <v>2531</v>
      </c>
      <c r="I63" s="342">
        <v>9473</v>
      </c>
      <c r="J63" s="342">
        <v>1178</v>
      </c>
      <c r="K63" s="342">
        <v>0</v>
      </c>
      <c r="M63" s="342">
        <v>1006</v>
      </c>
      <c r="N63" s="342">
        <v>15</v>
      </c>
      <c r="O63" s="342">
        <v>157</v>
      </c>
      <c r="P63" s="857">
        <f t="shared" si="5"/>
        <v>1178</v>
      </c>
    </row>
    <row r="64" spans="1:21" ht="12.75" customHeight="1">
      <c r="A64" s="560" t="s">
        <v>166</v>
      </c>
      <c r="B64" s="655">
        <v>43983</v>
      </c>
      <c r="C64" s="656">
        <v>0</v>
      </c>
      <c r="D64" s="655">
        <v>44013</v>
      </c>
      <c r="E64" s="342">
        <v>208255</v>
      </c>
      <c r="F64" s="874">
        <f t="shared" si="4"/>
        <v>208255</v>
      </c>
      <c r="G64" s="342">
        <v>106856</v>
      </c>
      <c r="H64" s="342">
        <v>19477</v>
      </c>
      <c r="I64" s="342">
        <v>72858</v>
      </c>
      <c r="J64" s="342">
        <v>9064</v>
      </c>
      <c r="K64" s="342">
        <v>0</v>
      </c>
      <c r="M64" s="342">
        <v>7737</v>
      </c>
      <c r="N64" s="342">
        <v>119</v>
      </c>
      <c r="O64" s="342">
        <v>1208</v>
      </c>
      <c r="P64" s="857">
        <f t="shared" si="5"/>
        <v>9064</v>
      </c>
    </row>
    <row r="65" spans="1:17" ht="12.75" customHeight="1">
      <c r="A65" s="560" t="s">
        <v>11</v>
      </c>
      <c r="B65" s="655">
        <v>43983</v>
      </c>
      <c r="C65" s="656">
        <v>0</v>
      </c>
      <c r="D65" s="655">
        <v>44013</v>
      </c>
      <c r="E65" s="342">
        <v>7241726</v>
      </c>
      <c r="F65" s="874">
        <f t="shared" si="4"/>
        <v>7241726</v>
      </c>
      <c r="G65" s="342">
        <v>3922568</v>
      </c>
      <c r="H65" s="342">
        <v>573477</v>
      </c>
      <c r="I65" s="342">
        <v>2403993</v>
      </c>
      <c r="J65" s="342">
        <v>266887</v>
      </c>
      <c r="K65" s="342">
        <v>74801</v>
      </c>
      <c r="M65" s="342">
        <v>227827</v>
      </c>
      <c r="N65" s="342">
        <v>3495</v>
      </c>
      <c r="O65" s="342">
        <v>35565</v>
      </c>
      <c r="P65" s="857">
        <f t="shared" si="5"/>
        <v>266887</v>
      </c>
      <c r="Q65" s="12"/>
    </row>
    <row r="66" spans="1:17" ht="12.75" customHeight="1">
      <c r="A66" s="560" t="s">
        <v>165</v>
      </c>
      <c r="B66" s="655">
        <v>43983</v>
      </c>
      <c r="C66" s="656">
        <v>0</v>
      </c>
      <c r="D66" s="655">
        <v>44013</v>
      </c>
      <c r="E66" s="342">
        <v>636001</v>
      </c>
      <c r="F66" s="874">
        <f t="shared" si="4"/>
        <v>636001</v>
      </c>
      <c r="G66" s="342">
        <v>326332</v>
      </c>
      <c r="H66" s="342">
        <v>59482</v>
      </c>
      <c r="I66" s="342">
        <v>222506</v>
      </c>
      <c r="J66" s="342">
        <v>27681</v>
      </c>
      <c r="K66" s="342">
        <v>0</v>
      </c>
      <c r="M66" s="342">
        <v>23630</v>
      </c>
      <c r="N66" s="342">
        <v>362</v>
      </c>
      <c r="O66" s="342">
        <v>3689</v>
      </c>
      <c r="P66" s="857">
        <f t="shared" si="5"/>
        <v>27681</v>
      </c>
    </row>
    <row r="67" spans="1:17" ht="12.75" customHeight="1">
      <c r="A67" s="560" t="s">
        <v>164</v>
      </c>
      <c r="B67" s="655">
        <v>43739</v>
      </c>
      <c r="C67" s="345">
        <v>2</v>
      </c>
      <c r="D67" s="655">
        <v>44013</v>
      </c>
      <c r="E67" s="342">
        <v>-1178</v>
      </c>
      <c r="F67" s="874">
        <f t="shared" si="4"/>
        <v>-1178</v>
      </c>
      <c r="G67" s="342">
        <v>-605</v>
      </c>
      <c r="H67" s="342">
        <v>-109</v>
      </c>
      <c r="I67" s="342">
        <v>-412</v>
      </c>
      <c r="J67" s="342">
        <v>-52</v>
      </c>
      <c r="K67" s="342">
        <v>0</v>
      </c>
      <c r="M67" s="342">
        <v>-44</v>
      </c>
      <c r="N67" s="342">
        <v>-1</v>
      </c>
      <c r="O67" s="342">
        <v>-7</v>
      </c>
      <c r="P67" s="857">
        <f t="shared" si="5"/>
        <v>-52</v>
      </c>
    </row>
    <row r="68" spans="1:17" ht="12.75" customHeight="1">
      <c r="A68" s="560" t="s">
        <v>164</v>
      </c>
      <c r="B68" s="655">
        <v>43862</v>
      </c>
      <c r="C68" s="345">
        <v>1</v>
      </c>
      <c r="D68" s="655">
        <v>44013</v>
      </c>
      <c r="E68" s="342">
        <v>45080</v>
      </c>
      <c r="F68" s="874">
        <f t="shared" si="4"/>
        <v>45080</v>
      </c>
      <c r="G68" s="342">
        <v>23130</v>
      </c>
      <c r="H68" s="342">
        <v>4216</v>
      </c>
      <c r="I68" s="342">
        <v>15772</v>
      </c>
      <c r="J68" s="342">
        <v>1962</v>
      </c>
      <c r="K68" s="342">
        <v>0</v>
      </c>
      <c r="M68" s="342">
        <v>1675</v>
      </c>
      <c r="N68" s="342">
        <v>26</v>
      </c>
      <c r="O68" s="342">
        <v>261</v>
      </c>
      <c r="P68" s="857">
        <f t="shared" si="5"/>
        <v>1962</v>
      </c>
    </row>
    <row r="69" spans="1:17" ht="12.75" customHeight="1">
      <c r="A69" s="560" t="s">
        <v>164</v>
      </c>
      <c r="B69" s="655">
        <v>43922</v>
      </c>
      <c r="C69" s="345">
        <v>1</v>
      </c>
      <c r="D69" s="655">
        <v>44013</v>
      </c>
      <c r="E69" s="342">
        <v>10583</v>
      </c>
      <c r="F69" s="874">
        <f t="shared" si="4"/>
        <v>10583</v>
      </c>
      <c r="G69" s="342">
        <v>5430</v>
      </c>
      <c r="H69" s="342">
        <v>990</v>
      </c>
      <c r="I69" s="342">
        <v>3703</v>
      </c>
      <c r="J69" s="342">
        <v>460</v>
      </c>
      <c r="K69" s="342">
        <v>0</v>
      </c>
      <c r="M69" s="342">
        <v>393</v>
      </c>
      <c r="N69" s="342">
        <v>6</v>
      </c>
      <c r="O69" s="342">
        <v>61</v>
      </c>
      <c r="P69" s="857">
        <f t="shared" si="5"/>
        <v>460</v>
      </c>
    </row>
    <row r="70" spans="1:17" ht="12.75" customHeight="1">
      <c r="A70" s="560" t="s">
        <v>164</v>
      </c>
      <c r="B70" s="655">
        <v>43952</v>
      </c>
      <c r="C70" s="345">
        <v>1</v>
      </c>
      <c r="D70" s="655">
        <v>44013</v>
      </c>
      <c r="E70" s="342">
        <v>4034</v>
      </c>
      <c r="F70" s="874">
        <f t="shared" si="4"/>
        <v>4034</v>
      </c>
      <c r="G70" s="342">
        <v>2070</v>
      </c>
      <c r="H70" s="342">
        <v>379</v>
      </c>
      <c r="I70" s="342">
        <v>1411</v>
      </c>
      <c r="J70" s="342">
        <v>174</v>
      </c>
      <c r="K70" s="342">
        <v>0</v>
      </c>
      <c r="M70" s="342">
        <v>149</v>
      </c>
      <c r="N70" s="342">
        <v>2</v>
      </c>
      <c r="O70" s="342">
        <v>23</v>
      </c>
      <c r="P70" s="857">
        <f t="shared" si="5"/>
        <v>174</v>
      </c>
    </row>
    <row r="71" spans="1:17" ht="12.75" customHeight="1">
      <c r="A71" s="560" t="s">
        <v>164</v>
      </c>
      <c r="B71" s="655">
        <v>43983</v>
      </c>
      <c r="C71" s="656">
        <v>0</v>
      </c>
      <c r="D71" s="655">
        <v>44013</v>
      </c>
      <c r="E71" s="342">
        <v>206132</v>
      </c>
      <c r="F71" s="874">
        <f t="shared" si="4"/>
        <v>206132</v>
      </c>
      <c r="G71" s="342">
        <v>105765</v>
      </c>
      <c r="H71" s="342">
        <v>19279</v>
      </c>
      <c r="I71" s="342">
        <v>72116</v>
      </c>
      <c r="J71" s="342">
        <v>8972</v>
      </c>
      <c r="K71" s="342">
        <v>0</v>
      </c>
      <c r="M71" s="342">
        <v>7658</v>
      </c>
      <c r="N71" s="342">
        <v>118</v>
      </c>
      <c r="O71" s="342">
        <v>1196</v>
      </c>
      <c r="P71" s="857">
        <f t="shared" si="5"/>
        <v>8972</v>
      </c>
    </row>
    <row r="72" spans="1:17" ht="12.75" customHeight="1">
      <c r="A72" s="560" t="s">
        <v>163</v>
      </c>
      <c r="B72" s="655">
        <v>43983</v>
      </c>
      <c r="C72" s="656">
        <v>0</v>
      </c>
      <c r="D72" s="655">
        <v>44013</v>
      </c>
      <c r="E72" s="342">
        <v>147832</v>
      </c>
      <c r="F72" s="874">
        <f t="shared" si="4"/>
        <v>147832</v>
      </c>
      <c r="G72" s="342">
        <v>75853</v>
      </c>
      <c r="H72" s="342">
        <v>13826</v>
      </c>
      <c r="I72" s="342">
        <v>51719</v>
      </c>
      <c r="J72" s="342">
        <v>6434</v>
      </c>
      <c r="K72" s="342">
        <v>0</v>
      </c>
      <c r="M72" s="342">
        <v>5493</v>
      </c>
      <c r="N72" s="342">
        <v>84</v>
      </c>
      <c r="O72" s="342">
        <v>857</v>
      </c>
      <c r="P72" s="857">
        <f t="shared" si="5"/>
        <v>6434</v>
      </c>
    </row>
    <row r="73" spans="1:17" ht="12.75" customHeight="1">
      <c r="A73" s="560" t="s">
        <v>162</v>
      </c>
      <c r="B73" s="655">
        <v>43983</v>
      </c>
      <c r="C73" s="656">
        <v>0</v>
      </c>
      <c r="D73" s="655">
        <v>44013</v>
      </c>
      <c r="E73" s="342">
        <v>47537</v>
      </c>
      <c r="F73" s="874">
        <f t="shared" si="4"/>
        <v>47537</v>
      </c>
      <c r="G73" s="342">
        <v>24391</v>
      </c>
      <c r="H73" s="342">
        <v>4446</v>
      </c>
      <c r="I73" s="342">
        <v>16631</v>
      </c>
      <c r="J73" s="342">
        <v>2069</v>
      </c>
      <c r="K73" s="342">
        <v>0</v>
      </c>
      <c r="M73" s="342">
        <v>1766</v>
      </c>
      <c r="N73" s="342">
        <v>27</v>
      </c>
      <c r="O73" s="342">
        <v>276</v>
      </c>
      <c r="P73" s="857">
        <f t="shared" si="5"/>
        <v>2069</v>
      </c>
    </row>
    <row r="74" spans="1:17" ht="12.75" customHeight="1">
      <c r="A74" s="560" t="s">
        <v>161</v>
      </c>
      <c r="B74" s="655">
        <v>43983</v>
      </c>
      <c r="C74" s="656">
        <v>0</v>
      </c>
      <c r="D74" s="655">
        <v>44013</v>
      </c>
      <c r="E74" s="342">
        <v>106144</v>
      </c>
      <c r="F74" s="874">
        <f t="shared" si="4"/>
        <v>106144</v>
      </c>
      <c r="G74" s="342">
        <v>54461</v>
      </c>
      <c r="H74" s="342">
        <v>9927</v>
      </c>
      <c r="I74" s="342">
        <v>37135</v>
      </c>
      <c r="J74" s="342">
        <v>4621</v>
      </c>
      <c r="K74" s="342">
        <v>0</v>
      </c>
      <c r="M74" s="342">
        <v>3944</v>
      </c>
      <c r="N74" s="342">
        <v>61</v>
      </c>
      <c r="O74" s="342">
        <v>616</v>
      </c>
      <c r="P74" s="857">
        <f t="shared" si="5"/>
        <v>4621</v>
      </c>
    </row>
    <row r="75" spans="1:17" ht="12.75" customHeight="1">
      <c r="A75" s="560" t="s">
        <v>160</v>
      </c>
      <c r="B75" s="655">
        <v>43983</v>
      </c>
      <c r="C75" s="656">
        <v>0</v>
      </c>
      <c r="D75" s="655">
        <v>44013</v>
      </c>
      <c r="E75" s="342">
        <v>785248</v>
      </c>
      <c r="F75" s="874">
        <f t="shared" si="4"/>
        <v>785248</v>
      </c>
      <c r="G75" s="342">
        <v>402910</v>
      </c>
      <c r="H75" s="342">
        <v>73440</v>
      </c>
      <c r="I75" s="342">
        <v>274720</v>
      </c>
      <c r="J75" s="342">
        <v>34178</v>
      </c>
      <c r="K75" s="342">
        <v>0</v>
      </c>
      <c r="M75" s="342">
        <v>29176</v>
      </c>
      <c r="N75" s="342">
        <v>448</v>
      </c>
      <c r="O75" s="342">
        <v>4554</v>
      </c>
      <c r="P75" s="857">
        <f t="shared" si="5"/>
        <v>34178</v>
      </c>
    </row>
    <row r="76" spans="1:17" ht="12.75" customHeight="1">
      <c r="A76" s="560" t="s">
        <v>159</v>
      </c>
      <c r="B76" s="655">
        <v>43983</v>
      </c>
      <c r="C76" s="656">
        <v>0</v>
      </c>
      <c r="D76" s="655">
        <v>44013</v>
      </c>
      <c r="E76" s="342">
        <v>75045</v>
      </c>
      <c r="F76" s="874">
        <f t="shared" si="4"/>
        <v>75045</v>
      </c>
      <c r="G76" s="342">
        <v>38505</v>
      </c>
      <c r="H76" s="342">
        <v>7019</v>
      </c>
      <c r="I76" s="342">
        <v>26255</v>
      </c>
      <c r="J76" s="342">
        <v>3266</v>
      </c>
      <c r="K76" s="342">
        <v>0</v>
      </c>
      <c r="M76" s="342">
        <v>2788</v>
      </c>
      <c r="N76" s="342">
        <v>43</v>
      </c>
      <c r="O76" s="342">
        <v>435</v>
      </c>
      <c r="P76" s="857">
        <f t="shared" si="5"/>
        <v>3266</v>
      </c>
    </row>
    <row r="77" spans="1:17" ht="12.75" customHeight="1">
      <c r="A77" s="560" t="s">
        <v>158</v>
      </c>
      <c r="B77" s="655">
        <v>43983</v>
      </c>
      <c r="C77" s="656">
        <v>0</v>
      </c>
      <c r="D77" s="655">
        <v>44013</v>
      </c>
      <c r="E77" s="342">
        <v>81220</v>
      </c>
      <c r="F77" s="874">
        <f t="shared" si="4"/>
        <v>81220</v>
      </c>
      <c r="G77" s="342">
        <v>41675</v>
      </c>
      <c r="H77" s="342">
        <v>7595</v>
      </c>
      <c r="I77" s="342">
        <v>28415</v>
      </c>
      <c r="J77" s="342">
        <v>3535</v>
      </c>
      <c r="K77" s="342">
        <v>0</v>
      </c>
      <c r="M77" s="342">
        <v>3018</v>
      </c>
      <c r="N77" s="342">
        <v>46</v>
      </c>
      <c r="O77" s="342">
        <v>471</v>
      </c>
      <c r="P77" s="857">
        <f t="shared" si="5"/>
        <v>3535</v>
      </c>
    </row>
    <row r="78" spans="1:17" ht="12.75" customHeight="1">
      <c r="A78" s="560" t="s">
        <v>157</v>
      </c>
      <c r="B78" s="655">
        <v>43983</v>
      </c>
      <c r="C78" s="656">
        <v>0</v>
      </c>
      <c r="D78" s="655">
        <v>44013</v>
      </c>
      <c r="E78" s="342">
        <v>7514</v>
      </c>
      <c r="F78" s="874">
        <f t="shared" si="4"/>
        <v>7514</v>
      </c>
      <c r="G78" s="342">
        <v>3855</v>
      </c>
      <c r="H78" s="342">
        <v>703</v>
      </c>
      <c r="I78" s="342">
        <v>2629</v>
      </c>
      <c r="J78" s="342">
        <v>327</v>
      </c>
      <c r="K78" s="342">
        <v>0</v>
      </c>
      <c r="M78" s="342">
        <v>279</v>
      </c>
      <c r="N78" s="342">
        <v>4</v>
      </c>
      <c r="O78" s="342">
        <v>44</v>
      </c>
      <c r="P78" s="857">
        <f t="shared" si="5"/>
        <v>327</v>
      </c>
    </row>
    <row r="79" spans="1:17" ht="12.75" customHeight="1">
      <c r="A79" s="560" t="s">
        <v>156</v>
      </c>
      <c r="B79" s="655">
        <v>43983</v>
      </c>
      <c r="C79" s="656">
        <v>0</v>
      </c>
      <c r="D79" s="655">
        <v>44013</v>
      </c>
      <c r="E79" s="342">
        <v>27624</v>
      </c>
      <c r="F79" s="874">
        <f t="shared" si="4"/>
        <v>27624</v>
      </c>
      <c r="G79" s="342">
        <v>14174</v>
      </c>
      <c r="H79" s="342">
        <v>2583</v>
      </c>
      <c r="I79" s="342">
        <v>9665</v>
      </c>
      <c r="J79" s="342">
        <v>1202</v>
      </c>
      <c r="K79" s="342">
        <v>0</v>
      </c>
      <c r="M79" s="342">
        <v>1026</v>
      </c>
      <c r="N79" s="342">
        <v>16</v>
      </c>
      <c r="O79" s="342">
        <v>160</v>
      </c>
      <c r="P79" s="857">
        <f t="shared" si="5"/>
        <v>1202</v>
      </c>
    </row>
    <row r="80" spans="1:17" ht="12.75" customHeight="1">
      <c r="A80" s="560" t="s">
        <v>155</v>
      </c>
      <c r="B80" s="655">
        <v>43983</v>
      </c>
      <c r="C80" s="656">
        <v>0</v>
      </c>
      <c r="D80" s="655">
        <v>44013</v>
      </c>
      <c r="E80" s="342">
        <v>97230</v>
      </c>
      <c r="F80" s="874">
        <f t="shared" si="4"/>
        <v>97230</v>
      </c>
      <c r="G80" s="342">
        <v>49888</v>
      </c>
      <c r="H80" s="342">
        <v>9094</v>
      </c>
      <c r="I80" s="342">
        <v>34016</v>
      </c>
      <c r="J80" s="342">
        <v>4232</v>
      </c>
      <c r="K80" s="342">
        <v>0</v>
      </c>
      <c r="M80" s="342">
        <v>3613</v>
      </c>
      <c r="N80" s="342">
        <v>55</v>
      </c>
      <c r="O80" s="342">
        <v>564</v>
      </c>
      <c r="P80" s="857">
        <f t="shared" si="5"/>
        <v>4232</v>
      </c>
    </row>
    <row r="81" spans="1:16" ht="12.75" customHeight="1">
      <c r="A81" s="752" t="s">
        <v>154</v>
      </c>
      <c r="B81" s="655">
        <v>43952</v>
      </c>
      <c r="C81" s="345">
        <v>1</v>
      </c>
      <c r="D81" s="655">
        <v>44013</v>
      </c>
      <c r="E81" s="342">
        <v>-8</v>
      </c>
      <c r="F81" s="874">
        <f t="shared" si="4"/>
        <v>-8</v>
      </c>
      <c r="G81" s="342">
        <v>-4</v>
      </c>
      <c r="H81" s="342">
        <v>-1</v>
      </c>
      <c r="I81" s="342">
        <v>-3</v>
      </c>
      <c r="J81" s="342">
        <v>0</v>
      </c>
      <c r="K81" s="342">
        <v>0</v>
      </c>
      <c r="M81" s="342">
        <v>0</v>
      </c>
      <c r="N81" s="342">
        <v>0</v>
      </c>
      <c r="O81" s="342">
        <v>0</v>
      </c>
      <c r="P81" s="857">
        <f t="shared" si="5"/>
        <v>0</v>
      </c>
    </row>
    <row r="82" spans="1:16" ht="12.75" customHeight="1" thickBot="1">
      <c r="A82" s="657" t="s">
        <v>154</v>
      </c>
      <c r="B82" s="655">
        <v>43983</v>
      </c>
      <c r="C82" s="656">
        <v>0</v>
      </c>
      <c r="D82" s="655">
        <v>44013</v>
      </c>
      <c r="E82" s="342">
        <v>31119</v>
      </c>
      <c r="F82" s="874">
        <f t="shared" si="4"/>
        <v>31119</v>
      </c>
      <c r="G82" s="342">
        <v>15968</v>
      </c>
      <c r="H82" s="342">
        <v>2910</v>
      </c>
      <c r="I82" s="342">
        <v>10887</v>
      </c>
      <c r="J82" s="342">
        <v>1354</v>
      </c>
      <c r="K82" s="342">
        <v>0</v>
      </c>
      <c r="M82" s="342">
        <v>1156</v>
      </c>
      <c r="N82" s="342">
        <v>18</v>
      </c>
      <c r="O82" s="342">
        <v>180</v>
      </c>
      <c r="P82" s="857">
        <f t="shared" si="5"/>
        <v>1354</v>
      </c>
    </row>
    <row r="83" spans="1:16" ht="3.65" customHeight="1">
      <c r="A83" s="662"/>
      <c r="B83" s="663"/>
      <c r="C83" s="664"/>
      <c r="D83" s="665"/>
      <c r="E83" s="666"/>
      <c r="F83" s="666"/>
      <c r="G83" s="666"/>
      <c r="H83" s="666"/>
      <c r="I83" s="666"/>
      <c r="J83" s="667"/>
      <c r="K83" s="782">
        <v>18251</v>
      </c>
      <c r="M83" s="783"/>
      <c r="N83" s="852"/>
      <c r="O83" s="852"/>
      <c r="P83" s="852"/>
    </row>
    <row r="84" spans="1:16">
      <c r="A84" s="784" t="s">
        <v>59</v>
      </c>
      <c r="B84" s="784"/>
      <c r="C84" s="65"/>
      <c r="D84" s="655">
        <v>43971</v>
      </c>
      <c r="E84" s="342">
        <f t="shared" ref="E84:K84" si="6">SUM(E4:E29)</f>
        <v>7295844</v>
      </c>
      <c r="F84" s="342">
        <f t="shared" si="6"/>
        <v>7295844</v>
      </c>
      <c r="G84" s="342">
        <f t="shared" si="6"/>
        <v>3861248</v>
      </c>
      <c r="H84" s="342">
        <f t="shared" si="6"/>
        <v>635858</v>
      </c>
      <c r="I84" s="342">
        <f t="shared" si="6"/>
        <v>2502828</v>
      </c>
      <c r="J84" s="342">
        <f t="shared" si="6"/>
        <v>295910</v>
      </c>
      <c r="K84" s="342">
        <f t="shared" si="6"/>
        <v>0</v>
      </c>
      <c r="M84" s="342">
        <f>SUM(M4:M29)</f>
        <v>252604</v>
      </c>
      <c r="N84" s="342">
        <f>SUM(N4:N29)</f>
        <v>3875</v>
      </c>
      <c r="O84" s="342">
        <f>SUM(O4:O29)</f>
        <v>39431</v>
      </c>
      <c r="P84" s="342">
        <f>SUM(P4:P29)</f>
        <v>295910</v>
      </c>
    </row>
    <row r="85" spans="1:16">
      <c r="A85" s="784" t="s">
        <v>59</v>
      </c>
      <c r="B85" s="785"/>
      <c r="C85" s="65"/>
      <c r="D85" s="655">
        <v>44002</v>
      </c>
      <c r="E85" s="342">
        <f t="shared" ref="E85:K85" si="7">SUM(E30:E55)</f>
        <v>8498034</v>
      </c>
      <c r="F85" s="342">
        <f t="shared" si="7"/>
        <v>8498034</v>
      </c>
      <c r="G85" s="342">
        <f t="shared" si="7"/>
        <v>4480964</v>
      </c>
      <c r="H85" s="342">
        <f t="shared" si="7"/>
        <v>747163</v>
      </c>
      <c r="I85" s="342">
        <f t="shared" si="7"/>
        <v>2922202</v>
      </c>
      <c r="J85" s="342">
        <f t="shared" si="7"/>
        <v>347705</v>
      </c>
      <c r="K85" s="342">
        <f t="shared" si="7"/>
        <v>0</v>
      </c>
      <c r="M85" s="342">
        <f>SUM(M30:M55)</f>
        <v>296817</v>
      </c>
      <c r="N85" s="342">
        <f>SUM(N30:N55)</f>
        <v>4552</v>
      </c>
      <c r="O85" s="342">
        <f>SUM(O30:O55)</f>
        <v>46336</v>
      </c>
      <c r="P85" s="342">
        <f>SUM(P30:P55)</f>
        <v>347705</v>
      </c>
    </row>
    <row r="86" spans="1:16" ht="13" thickBot="1">
      <c r="A86" s="786" t="s">
        <v>59</v>
      </c>
      <c r="B86" s="787"/>
      <c r="C86" s="668"/>
      <c r="D86" s="658">
        <v>44032</v>
      </c>
      <c r="E86" s="778">
        <f t="shared" ref="E86:K86" si="8">SUM(E56:E82)</f>
        <v>10526640</v>
      </c>
      <c r="F86" s="778">
        <f t="shared" si="8"/>
        <v>10526640</v>
      </c>
      <c r="G86" s="778">
        <f t="shared" si="8"/>
        <v>5608055</v>
      </c>
      <c r="H86" s="778">
        <f t="shared" si="8"/>
        <v>880700</v>
      </c>
      <c r="I86" s="778">
        <f t="shared" si="8"/>
        <v>3553228</v>
      </c>
      <c r="J86" s="778">
        <f t="shared" si="8"/>
        <v>409856</v>
      </c>
      <c r="K86" s="778">
        <f t="shared" si="8"/>
        <v>74801</v>
      </c>
      <c r="M86" s="778">
        <f>SUM(M56:M82)</f>
        <v>349873</v>
      </c>
      <c r="N86" s="778">
        <f>SUM(N56:N82)</f>
        <v>5367</v>
      </c>
      <c r="O86" s="778">
        <f>SUM(O56:O82)</f>
        <v>54616</v>
      </c>
      <c r="P86" s="778">
        <f>SUM(P56:P82)</f>
        <v>409856</v>
      </c>
    </row>
    <row r="87" spans="1:16" ht="13" thickBot="1">
      <c r="A87" s="670" t="s">
        <v>58</v>
      </c>
      <c r="B87" s="671"/>
      <c r="C87" s="668"/>
      <c r="D87" s="671"/>
      <c r="E87" s="788">
        <f t="shared" ref="E87:K87" si="9">SUM(E84:E86)</f>
        <v>26320518</v>
      </c>
      <c r="F87" s="788">
        <f t="shared" si="9"/>
        <v>26320518</v>
      </c>
      <c r="G87" s="788">
        <f t="shared" si="9"/>
        <v>13950267</v>
      </c>
      <c r="H87" s="788">
        <f t="shared" si="9"/>
        <v>2263721</v>
      </c>
      <c r="I87" s="788">
        <f t="shared" si="9"/>
        <v>8978258</v>
      </c>
      <c r="J87" s="788">
        <f t="shared" si="9"/>
        <v>1053471</v>
      </c>
      <c r="K87" s="788">
        <f t="shared" si="9"/>
        <v>74801</v>
      </c>
      <c r="M87" s="788">
        <f t="shared" ref="M87:P87" si="10">SUM(M84:M86)</f>
        <v>899294</v>
      </c>
      <c r="N87" s="788">
        <f t="shared" si="10"/>
        <v>13794</v>
      </c>
      <c r="O87" s="788">
        <f t="shared" si="10"/>
        <v>140383</v>
      </c>
      <c r="P87" s="788">
        <f t="shared" si="10"/>
        <v>1053471</v>
      </c>
    </row>
    <row r="88" spans="1:16">
      <c r="A88" s="58" t="s">
        <v>57</v>
      </c>
      <c r="B88" s="655"/>
      <c r="C88" s="655"/>
      <c r="D88" s="655"/>
      <c r="E88" s="65"/>
      <c r="F88" s="65"/>
      <c r="G88" s="65">
        <v>-14</v>
      </c>
      <c r="H88" s="65">
        <v>-2</v>
      </c>
      <c r="I88" s="65">
        <v>-13</v>
      </c>
      <c r="J88" s="65">
        <v>29</v>
      </c>
      <c r="K88" s="65">
        <v>0</v>
      </c>
      <c r="M88" s="777">
        <v>24</v>
      </c>
      <c r="N88" s="777">
        <v>2</v>
      </c>
      <c r="O88" s="777">
        <v>3</v>
      </c>
      <c r="P88" s="777">
        <v>29</v>
      </c>
    </row>
    <row r="89" spans="1:16" ht="3" customHeight="1">
      <c r="A89" s="672"/>
      <c r="B89" s="673"/>
      <c r="C89" s="674"/>
      <c r="D89" s="674"/>
      <c r="E89" s="674"/>
      <c r="F89" s="674"/>
      <c r="G89" s="674"/>
      <c r="H89" s="674"/>
      <c r="I89" s="674"/>
      <c r="J89" s="869"/>
      <c r="K89" s="869"/>
      <c r="M89" s="789"/>
      <c r="N89" s="674"/>
      <c r="O89" s="674"/>
      <c r="P89" s="674"/>
    </row>
    <row r="90" spans="1:16" ht="13">
      <c r="A90" s="16" t="s">
        <v>48</v>
      </c>
      <c r="B90" s="105" t="s">
        <v>303</v>
      </c>
      <c r="C90" s="62"/>
      <c r="D90" s="62"/>
      <c r="E90" s="62">
        <f t="shared" ref="E90:P90" si="11">SUM(E87:E88)</f>
        <v>26320518</v>
      </c>
      <c r="F90" s="62">
        <f t="shared" si="11"/>
        <v>26320518</v>
      </c>
      <c r="G90" s="62">
        <f t="shared" si="11"/>
        <v>13950253</v>
      </c>
      <c r="H90" s="62">
        <f t="shared" si="11"/>
        <v>2263719</v>
      </c>
      <c r="I90" s="62">
        <f t="shared" si="11"/>
        <v>8978245</v>
      </c>
      <c r="J90" s="62">
        <f t="shared" si="11"/>
        <v>1053500</v>
      </c>
      <c r="K90" s="62">
        <f t="shared" si="11"/>
        <v>74801</v>
      </c>
      <c r="L90" s="790"/>
      <c r="M90" s="62">
        <f t="shared" si="11"/>
        <v>899318</v>
      </c>
      <c r="N90" s="62">
        <f t="shared" si="11"/>
        <v>13796</v>
      </c>
      <c r="O90" s="62">
        <f t="shared" si="11"/>
        <v>140386</v>
      </c>
      <c r="P90" s="62">
        <f t="shared" si="11"/>
        <v>1053500</v>
      </c>
    </row>
    <row r="91" spans="1:16">
      <c r="F91" s="731"/>
      <c r="G91" s="741"/>
      <c r="M91" s="89"/>
      <c r="N91" s="89"/>
      <c r="O91" s="89"/>
      <c r="P91" s="12"/>
    </row>
    <row r="92" spans="1:16">
      <c r="E92" s="675"/>
      <c r="F92" s="731"/>
      <c r="G92" s="731"/>
      <c r="M92" s="89"/>
      <c r="N92" s="89"/>
      <c r="O92" s="89"/>
      <c r="P92" s="12"/>
    </row>
    <row r="93" spans="1:16">
      <c r="F93" s="731"/>
      <c r="G93" s="731"/>
    </row>
    <row r="94" spans="1:16">
      <c r="F94" s="731"/>
      <c r="G94" s="731"/>
      <c r="H94" s="731"/>
    </row>
    <row r="95" spans="1:16">
      <c r="H95" s="676"/>
    </row>
    <row r="97" spans="6:6">
      <c r="F97" s="12"/>
    </row>
  </sheetData>
  <mergeCells count="1">
    <mergeCell ref="A1:L1"/>
  </mergeCells>
  <pageMargins left="0.25" right="0.25" top="0.25" bottom="0.25" header="0.34" footer="0.5"/>
  <pageSetup scale="64" orientation="landscape" r:id="rId1"/>
  <headerFooter>
    <oddHeader>&amp;CCalWIN Maintenance and Operations Project County Claim Summary</oddHeader>
    <oddFooter>&amp;Cpage &amp;P of &amp;N</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59999389629810485"/>
    <pageSetUpPr fitToPage="1"/>
  </sheetPr>
  <dimension ref="A1:P104"/>
  <sheetViews>
    <sheetView showGridLines="0" zoomScaleNormal="100" workbookViewId="0">
      <pane xSplit="2" ySplit="3" topLeftCell="C76" activePane="bottomRight" state="frozen"/>
      <selection pane="topRight" activeCell="C1" sqref="C1"/>
      <selection pane="bottomLeft" activeCell="A4" sqref="A4"/>
      <selection pane="bottomRight"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11" width="12.7265625" style="1" customWidth="1"/>
    <col min="12" max="12" width="6" style="1" customWidth="1"/>
    <col min="13" max="16" width="11.54296875" style="1" customWidth="1"/>
    <col min="17" max="16384" width="9.1796875" style="1"/>
  </cols>
  <sheetData>
    <row r="1" spans="1:16" ht="14">
      <c r="A1" s="999" t="s">
        <v>311</v>
      </c>
      <c r="B1" s="999"/>
      <c r="C1" s="999"/>
      <c r="D1" s="999"/>
      <c r="E1" s="999"/>
      <c r="F1" s="999"/>
      <c r="G1" s="999"/>
      <c r="H1" s="999"/>
      <c r="I1" s="999"/>
      <c r="J1" s="999"/>
      <c r="K1" s="999"/>
      <c r="L1" s="999"/>
    </row>
    <row r="2" spans="1:16" ht="12.75" customHeight="1"/>
    <row r="3" spans="1:16" ht="42.75" customHeight="1">
      <c r="A3" s="848" t="s">
        <v>44</v>
      </c>
      <c r="B3" s="848" t="s">
        <v>68</v>
      </c>
      <c r="C3" s="848" t="s">
        <v>67</v>
      </c>
      <c r="D3" s="848" t="s">
        <v>66</v>
      </c>
      <c r="E3" s="848" t="s">
        <v>214</v>
      </c>
      <c r="F3" s="848" t="s">
        <v>48</v>
      </c>
      <c r="G3" s="848" t="s">
        <v>65</v>
      </c>
      <c r="H3" s="848" t="s">
        <v>64</v>
      </c>
      <c r="I3" s="848" t="s">
        <v>63</v>
      </c>
      <c r="J3" s="853" t="s">
        <v>62</v>
      </c>
      <c r="K3" s="24" t="s">
        <v>61</v>
      </c>
      <c r="M3" s="24" t="s">
        <v>43</v>
      </c>
      <c r="N3" s="24" t="s">
        <v>42</v>
      </c>
      <c r="O3" s="24" t="s">
        <v>138</v>
      </c>
      <c r="P3" s="24" t="s">
        <v>60</v>
      </c>
    </row>
    <row r="4" spans="1:16" ht="12.75" customHeight="1">
      <c r="A4" s="560" t="s">
        <v>171</v>
      </c>
      <c r="B4" s="655">
        <v>43922</v>
      </c>
      <c r="C4" s="656">
        <v>0</v>
      </c>
      <c r="D4" s="655">
        <v>43952</v>
      </c>
      <c r="E4" s="342">
        <v>0</v>
      </c>
      <c r="F4" s="791">
        <f>SUM(G4:K4)</f>
        <v>0</v>
      </c>
      <c r="G4" s="776">
        <v>0</v>
      </c>
      <c r="H4" s="776">
        <v>0</v>
      </c>
      <c r="I4" s="776">
        <v>0</v>
      </c>
      <c r="J4" s="776">
        <v>0</v>
      </c>
      <c r="K4" s="342">
        <v>0</v>
      </c>
      <c r="L4" s="723">
        <v>0</v>
      </c>
      <c r="M4" s="65">
        <v>0</v>
      </c>
      <c r="N4" s="65">
        <v>0</v>
      </c>
      <c r="O4" s="65">
        <v>0</v>
      </c>
      <c r="P4" s="792">
        <f>SUM(M4:O4)</f>
        <v>0</v>
      </c>
    </row>
    <row r="5" spans="1:16" ht="12.75" customHeight="1">
      <c r="A5" s="560" t="s">
        <v>170</v>
      </c>
      <c r="B5" s="655">
        <v>43922</v>
      </c>
      <c r="C5" s="656">
        <v>0</v>
      </c>
      <c r="D5" s="655">
        <v>43952</v>
      </c>
      <c r="E5" s="342">
        <v>0</v>
      </c>
      <c r="F5" s="791">
        <f t="shared" ref="F5:F55" si="0">SUM(G5:K5)</f>
        <v>0</v>
      </c>
      <c r="G5" s="776">
        <v>0</v>
      </c>
      <c r="H5" s="776">
        <v>0</v>
      </c>
      <c r="I5" s="776">
        <v>0</v>
      </c>
      <c r="J5" s="776">
        <v>0</v>
      </c>
      <c r="K5" s="342">
        <v>0</v>
      </c>
      <c r="L5" s="723">
        <v>0</v>
      </c>
      <c r="M5" s="65">
        <v>0</v>
      </c>
      <c r="N5" s="65">
        <v>0</v>
      </c>
      <c r="O5" s="65">
        <v>0</v>
      </c>
      <c r="P5" s="792">
        <f t="shared" ref="P5:P55" si="1">SUM(M5:O5)</f>
        <v>0</v>
      </c>
    </row>
    <row r="6" spans="1:16" ht="12.75" customHeight="1">
      <c r="A6" s="560" t="s">
        <v>169</v>
      </c>
      <c r="B6" s="655">
        <v>43922</v>
      </c>
      <c r="C6" s="656">
        <v>0</v>
      </c>
      <c r="D6" s="655">
        <v>43952</v>
      </c>
      <c r="E6" s="342">
        <v>0</v>
      </c>
      <c r="F6" s="791">
        <f t="shared" si="0"/>
        <v>0</v>
      </c>
      <c r="G6" s="776">
        <v>0</v>
      </c>
      <c r="H6" s="776">
        <v>0</v>
      </c>
      <c r="I6" s="776">
        <v>0</v>
      </c>
      <c r="J6" s="776">
        <v>0</v>
      </c>
      <c r="K6" s="342">
        <v>0</v>
      </c>
      <c r="L6" s="723">
        <v>0</v>
      </c>
      <c r="M6" s="65">
        <v>0</v>
      </c>
      <c r="N6" s="65">
        <v>0</v>
      </c>
      <c r="O6" s="65">
        <v>0</v>
      </c>
      <c r="P6" s="792">
        <f t="shared" si="1"/>
        <v>0</v>
      </c>
    </row>
    <row r="7" spans="1:16" ht="12.75" customHeight="1">
      <c r="A7" s="560" t="s">
        <v>168</v>
      </c>
      <c r="B7" s="655">
        <v>43922</v>
      </c>
      <c r="C7" s="656">
        <v>0</v>
      </c>
      <c r="D7" s="655">
        <v>43952</v>
      </c>
      <c r="E7" s="342">
        <v>0</v>
      </c>
      <c r="F7" s="791">
        <f t="shared" si="0"/>
        <v>0</v>
      </c>
      <c r="G7" s="776">
        <v>0</v>
      </c>
      <c r="H7" s="776">
        <v>0</v>
      </c>
      <c r="I7" s="776">
        <v>0</v>
      </c>
      <c r="J7" s="776">
        <v>0</v>
      </c>
      <c r="K7" s="342">
        <v>0</v>
      </c>
      <c r="L7" s="723">
        <v>0</v>
      </c>
      <c r="M7" s="65">
        <v>0</v>
      </c>
      <c r="N7" s="65">
        <v>0</v>
      </c>
      <c r="O7" s="65">
        <v>0</v>
      </c>
      <c r="P7" s="792">
        <f t="shared" si="1"/>
        <v>0</v>
      </c>
    </row>
    <row r="8" spans="1:16" ht="12.75" customHeight="1">
      <c r="A8" s="560" t="s">
        <v>167</v>
      </c>
      <c r="B8" s="655">
        <v>43922</v>
      </c>
      <c r="C8" s="656">
        <v>0</v>
      </c>
      <c r="D8" s="655">
        <v>43952</v>
      </c>
      <c r="E8" s="342">
        <v>0</v>
      </c>
      <c r="F8" s="791">
        <f t="shared" si="0"/>
        <v>0</v>
      </c>
      <c r="G8" s="776">
        <v>0</v>
      </c>
      <c r="H8" s="776">
        <v>0</v>
      </c>
      <c r="I8" s="776">
        <v>0</v>
      </c>
      <c r="J8" s="776">
        <v>0</v>
      </c>
      <c r="K8" s="342">
        <v>0</v>
      </c>
      <c r="L8" s="723">
        <v>0</v>
      </c>
      <c r="M8" s="65">
        <v>0</v>
      </c>
      <c r="N8" s="65">
        <v>0</v>
      </c>
      <c r="O8" s="65">
        <v>0</v>
      </c>
      <c r="P8" s="792">
        <f t="shared" si="1"/>
        <v>0</v>
      </c>
    </row>
    <row r="9" spans="1:16" ht="12.75" customHeight="1">
      <c r="A9" s="560" t="s">
        <v>166</v>
      </c>
      <c r="B9" s="655">
        <v>43922</v>
      </c>
      <c r="C9" s="656">
        <v>0</v>
      </c>
      <c r="D9" s="655">
        <v>43952</v>
      </c>
      <c r="E9" s="342">
        <v>0</v>
      </c>
      <c r="F9" s="791">
        <f t="shared" si="0"/>
        <v>0</v>
      </c>
      <c r="G9" s="776">
        <v>0</v>
      </c>
      <c r="H9" s="776">
        <v>0</v>
      </c>
      <c r="I9" s="776">
        <v>0</v>
      </c>
      <c r="J9" s="776">
        <v>0</v>
      </c>
      <c r="K9" s="342">
        <v>0</v>
      </c>
      <c r="L9" s="723">
        <v>0</v>
      </c>
      <c r="M9" s="65">
        <v>0</v>
      </c>
      <c r="N9" s="65">
        <v>0</v>
      </c>
      <c r="O9" s="65">
        <v>0</v>
      </c>
      <c r="P9" s="792">
        <f t="shared" si="1"/>
        <v>0</v>
      </c>
    </row>
    <row r="10" spans="1:16" ht="12.75" customHeight="1">
      <c r="A10" s="560" t="s">
        <v>11</v>
      </c>
      <c r="B10" s="655">
        <v>43922</v>
      </c>
      <c r="C10" s="656">
        <v>0</v>
      </c>
      <c r="D10" s="655">
        <v>43952</v>
      </c>
      <c r="E10" s="342">
        <v>4866144</v>
      </c>
      <c r="F10" s="791">
        <f t="shared" si="0"/>
        <v>4866144</v>
      </c>
      <c r="G10" s="776">
        <v>2496817</v>
      </c>
      <c r="H10" s="776">
        <v>455106</v>
      </c>
      <c r="I10" s="776">
        <v>1702421</v>
      </c>
      <c r="J10" s="776">
        <v>211800</v>
      </c>
      <c r="K10" s="776">
        <v>0</v>
      </c>
      <c r="L10" s="723">
        <v>0</v>
      </c>
      <c r="M10" s="65">
        <v>180802</v>
      </c>
      <c r="N10" s="65">
        <v>2774</v>
      </c>
      <c r="O10" s="65">
        <v>28224</v>
      </c>
      <c r="P10" s="792">
        <f t="shared" si="1"/>
        <v>211800</v>
      </c>
    </row>
    <row r="11" spans="1:16" ht="12.75" customHeight="1">
      <c r="A11" s="560" t="s">
        <v>165</v>
      </c>
      <c r="B11" s="655">
        <v>43922</v>
      </c>
      <c r="C11" s="656">
        <v>0</v>
      </c>
      <c r="D11" s="655">
        <v>43952</v>
      </c>
      <c r="E11" s="342">
        <v>0</v>
      </c>
      <c r="F11" s="791">
        <f t="shared" si="0"/>
        <v>0</v>
      </c>
      <c r="G11" s="776">
        <v>0</v>
      </c>
      <c r="H11" s="776">
        <v>0</v>
      </c>
      <c r="I11" s="776">
        <v>0</v>
      </c>
      <c r="J11" s="776">
        <v>0</v>
      </c>
      <c r="K11" s="342">
        <v>0</v>
      </c>
      <c r="L11" s="723">
        <v>0</v>
      </c>
      <c r="M11" s="65">
        <v>0</v>
      </c>
      <c r="N11" s="65">
        <v>0</v>
      </c>
      <c r="O11" s="65">
        <v>0</v>
      </c>
      <c r="P11" s="792">
        <f t="shared" si="1"/>
        <v>0</v>
      </c>
    </row>
    <row r="12" spans="1:16" ht="12.75" customHeight="1">
      <c r="A12" s="560" t="s">
        <v>164</v>
      </c>
      <c r="B12" s="655">
        <v>43739</v>
      </c>
      <c r="C12" s="345">
        <v>1</v>
      </c>
      <c r="D12" s="655">
        <v>43952</v>
      </c>
      <c r="E12" s="342">
        <v>0</v>
      </c>
      <c r="F12" s="791">
        <f t="shared" si="0"/>
        <v>0</v>
      </c>
      <c r="G12" s="776">
        <v>0</v>
      </c>
      <c r="H12" s="776">
        <v>0</v>
      </c>
      <c r="I12" s="776">
        <v>0</v>
      </c>
      <c r="J12" s="776">
        <v>0</v>
      </c>
      <c r="K12" s="342">
        <v>0</v>
      </c>
      <c r="L12" s="723">
        <v>0</v>
      </c>
      <c r="M12" s="65">
        <v>0</v>
      </c>
      <c r="N12" s="65">
        <v>0</v>
      </c>
      <c r="O12" s="65">
        <v>0</v>
      </c>
      <c r="P12" s="792">
        <f t="shared" si="1"/>
        <v>0</v>
      </c>
    </row>
    <row r="13" spans="1:16" ht="12.75" customHeight="1">
      <c r="A13" s="560" t="s">
        <v>164</v>
      </c>
      <c r="B13" s="655">
        <v>43922</v>
      </c>
      <c r="C13" s="656">
        <v>0</v>
      </c>
      <c r="D13" s="655">
        <v>43952</v>
      </c>
      <c r="E13" s="342">
        <v>0</v>
      </c>
      <c r="F13" s="791">
        <f t="shared" si="0"/>
        <v>0</v>
      </c>
      <c r="G13" s="776">
        <v>0</v>
      </c>
      <c r="H13" s="776">
        <v>0</v>
      </c>
      <c r="I13" s="776">
        <v>0</v>
      </c>
      <c r="J13" s="776">
        <v>0</v>
      </c>
      <c r="K13" s="342">
        <v>0</v>
      </c>
      <c r="L13" s="723">
        <v>0</v>
      </c>
      <c r="M13" s="65">
        <v>0</v>
      </c>
      <c r="N13" s="65">
        <v>0</v>
      </c>
      <c r="O13" s="65">
        <v>0</v>
      </c>
      <c r="P13" s="792">
        <f t="shared" si="1"/>
        <v>0</v>
      </c>
    </row>
    <row r="14" spans="1:16" ht="12.75" customHeight="1">
      <c r="A14" s="560" t="s">
        <v>163</v>
      </c>
      <c r="B14" s="655">
        <v>43922</v>
      </c>
      <c r="C14" s="656">
        <v>0</v>
      </c>
      <c r="D14" s="655">
        <v>43952</v>
      </c>
      <c r="E14" s="342">
        <v>0</v>
      </c>
      <c r="F14" s="791">
        <f t="shared" si="0"/>
        <v>0</v>
      </c>
      <c r="G14" s="776">
        <v>0</v>
      </c>
      <c r="H14" s="776">
        <v>0</v>
      </c>
      <c r="I14" s="776">
        <v>0</v>
      </c>
      <c r="J14" s="776">
        <v>0</v>
      </c>
      <c r="K14" s="342">
        <v>0</v>
      </c>
      <c r="L14" s="723">
        <v>0</v>
      </c>
      <c r="M14" s="65">
        <v>0</v>
      </c>
      <c r="N14" s="65">
        <v>0</v>
      </c>
      <c r="O14" s="65">
        <v>0</v>
      </c>
      <c r="P14" s="792">
        <f t="shared" si="1"/>
        <v>0</v>
      </c>
    </row>
    <row r="15" spans="1:16" ht="12.75" customHeight="1">
      <c r="A15" s="560" t="s">
        <v>162</v>
      </c>
      <c r="B15" s="655">
        <v>43922</v>
      </c>
      <c r="C15" s="656">
        <v>0</v>
      </c>
      <c r="D15" s="655">
        <v>43952</v>
      </c>
      <c r="E15" s="342">
        <v>0</v>
      </c>
      <c r="F15" s="791">
        <f t="shared" si="0"/>
        <v>0</v>
      </c>
      <c r="G15" s="776">
        <v>0</v>
      </c>
      <c r="H15" s="776">
        <v>0</v>
      </c>
      <c r="I15" s="776">
        <v>0</v>
      </c>
      <c r="J15" s="776">
        <v>0</v>
      </c>
      <c r="K15" s="342">
        <v>0</v>
      </c>
      <c r="L15" s="723">
        <v>0</v>
      </c>
      <c r="M15" s="65">
        <v>0</v>
      </c>
      <c r="N15" s="65">
        <v>0</v>
      </c>
      <c r="O15" s="65">
        <v>0</v>
      </c>
      <c r="P15" s="792">
        <f t="shared" si="1"/>
        <v>0</v>
      </c>
    </row>
    <row r="16" spans="1:16" ht="12.75" customHeight="1">
      <c r="A16" s="560" t="s">
        <v>161</v>
      </c>
      <c r="B16" s="655">
        <v>43922</v>
      </c>
      <c r="C16" s="656">
        <v>0</v>
      </c>
      <c r="D16" s="655">
        <v>43952</v>
      </c>
      <c r="E16" s="342">
        <v>0</v>
      </c>
      <c r="F16" s="791">
        <f t="shared" si="0"/>
        <v>0</v>
      </c>
      <c r="G16" s="776">
        <v>0</v>
      </c>
      <c r="H16" s="776">
        <v>0</v>
      </c>
      <c r="I16" s="776">
        <v>0</v>
      </c>
      <c r="J16" s="776">
        <v>0</v>
      </c>
      <c r="K16" s="342">
        <v>0</v>
      </c>
      <c r="L16" s="723">
        <v>0</v>
      </c>
      <c r="M16" s="65">
        <v>0</v>
      </c>
      <c r="N16" s="65">
        <v>0</v>
      </c>
      <c r="O16" s="65">
        <v>0</v>
      </c>
      <c r="P16" s="792">
        <f t="shared" si="1"/>
        <v>0</v>
      </c>
    </row>
    <row r="17" spans="1:16" ht="12.75" customHeight="1">
      <c r="A17" s="560" t="s">
        <v>160</v>
      </c>
      <c r="B17" s="655">
        <v>44105</v>
      </c>
      <c r="C17" s="345">
        <v>2</v>
      </c>
      <c r="D17" s="655">
        <v>43952</v>
      </c>
      <c r="E17" s="342">
        <v>0</v>
      </c>
      <c r="F17" s="791">
        <f t="shared" si="0"/>
        <v>0</v>
      </c>
      <c r="G17" s="776">
        <v>0</v>
      </c>
      <c r="H17" s="776">
        <v>0</v>
      </c>
      <c r="I17" s="776">
        <v>0</v>
      </c>
      <c r="J17" s="776">
        <v>0</v>
      </c>
      <c r="K17" s="342">
        <v>0</v>
      </c>
      <c r="L17" s="723">
        <v>0</v>
      </c>
      <c r="M17" s="65">
        <v>0</v>
      </c>
      <c r="N17" s="65">
        <v>0</v>
      </c>
      <c r="O17" s="65">
        <v>0</v>
      </c>
      <c r="P17" s="792">
        <f t="shared" si="1"/>
        <v>0</v>
      </c>
    </row>
    <row r="18" spans="1:16" ht="12.75" customHeight="1">
      <c r="A18" s="560" t="s">
        <v>160</v>
      </c>
      <c r="B18" s="655">
        <v>44136</v>
      </c>
      <c r="C18" s="345">
        <v>2</v>
      </c>
      <c r="D18" s="655">
        <v>43952</v>
      </c>
      <c r="E18" s="342">
        <v>0</v>
      </c>
      <c r="F18" s="791">
        <f t="shared" si="0"/>
        <v>0</v>
      </c>
      <c r="G18" s="776">
        <v>0</v>
      </c>
      <c r="H18" s="776">
        <v>0</v>
      </c>
      <c r="I18" s="776">
        <v>0</v>
      </c>
      <c r="J18" s="776">
        <v>0</v>
      </c>
      <c r="K18" s="342">
        <v>0</v>
      </c>
      <c r="L18" s="723">
        <v>0</v>
      </c>
      <c r="M18" s="65">
        <v>0</v>
      </c>
      <c r="N18" s="65">
        <v>0</v>
      </c>
      <c r="O18" s="65">
        <v>0</v>
      </c>
      <c r="P18" s="792">
        <f t="shared" si="1"/>
        <v>0</v>
      </c>
    </row>
    <row r="19" spans="1:16" ht="12.75" customHeight="1">
      <c r="A19" s="560" t="s">
        <v>160</v>
      </c>
      <c r="B19" s="655">
        <v>44166</v>
      </c>
      <c r="C19" s="345">
        <v>2</v>
      </c>
      <c r="D19" s="655">
        <v>43952</v>
      </c>
      <c r="E19" s="342">
        <v>0</v>
      </c>
      <c r="F19" s="791">
        <f t="shared" si="0"/>
        <v>0</v>
      </c>
      <c r="G19" s="776">
        <v>0</v>
      </c>
      <c r="H19" s="776">
        <v>0</v>
      </c>
      <c r="I19" s="776">
        <v>0</v>
      </c>
      <c r="J19" s="776">
        <v>0</v>
      </c>
      <c r="K19" s="342">
        <v>0</v>
      </c>
      <c r="L19" s="723">
        <v>0</v>
      </c>
      <c r="M19" s="65">
        <v>0</v>
      </c>
      <c r="N19" s="65">
        <v>0</v>
      </c>
      <c r="O19" s="65">
        <v>0</v>
      </c>
      <c r="P19" s="792">
        <f t="shared" si="1"/>
        <v>0</v>
      </c>
    </row>
    <row r="20" spans="1:16" ht="12.75" customHeight="1">
      <c r="A20" s="560" t="s">
        <v>160</v>
      </c>
      <c r="B20" s="655">
        <v>43831</v>
      </c>
      <c r="C20" s="345">
        <v>2</v>
      </c>
      <c r="D20" s="655">
        <v>43952</v>
      </c>
      <c r="E20" s="342">
        <v>0</v>
      </c>
      <c r="F20" s="791">
        <f t="shared" si="0"/>
        <v>0</v>
      </c>
      <c r="G20" s="776">
        <v>0</v>
      </c>
      <c r="H20" s="776">
        <v>0</v>
      </c>
      <c r="I20" s="776">
        <v>0</v>
      </c>
      <c r="J20" s="776">
        <v>0</v>
      </c>
      <c r="K20" s="342">
        <v>0</v>
      </c>
      <c r="L20" s="723">
        <v>0</v>
      </c>
      <c r="M20" s="65">
        <v>0</v>
      </c>
      <c r="N20" s="65">
        <v>0</v>
      </c>
      <c r="O20" s="65">
        <v>0</v>
      </c>
      <c r="P20" s="792">
        <f t="shared" si="1"/>
        <v>0</v>
      </c>
    </row>
    <row r="21" spans="1:16" ht="12.75" customHeight="1">
      <c r="A21" s="560" t="s">
        <v>160</v>
      </c>
      <c r="B21" s="655">
        <v>43862</v>
      </c>
      <c r="C21" s="345">
        <v>2</v>
      </c>
      <c r="D21" s="655">
        <v>43952</v>
      </c>
      <c r="E21" s="342">
        <v>0</v>
      </c>
      <c r="F21" s="791">
        <f t="shared" si="0"/>
        <v>0</v>
      </c>
      <c r="G21" s="776">
        <v>0</v>
      </c>
      <c r="H21" s="776">
        <v>0</v>
      </c>
      <c r="I21" s="776">
        <v>0</v>
      </c>
      <c r="J21" s="776">
        <v>0</v>
      </c>
      <c r="K21" s="342">
        <v>0</v>
      </c>
      <c r="L21" s="723">
        <v>0</v>
      </c>
      <c r="M21" s="65">
        <v>0</v>
      </c>
      <c r="N21" s="65">
        <v>0</v>
      </c>
      <c r="O21" s="65">
        <v>0</v>
      </c>
      <c r="P21" s="792">
        <f t="shared" si="1"/>
        <v>0</v>
      </c>
    </row>
    <row r="22" spans="1:16" ht="12.75" customHeight="1">
      <c r="A22" s="560" t="s">
        <v>160</v>
      </c>
      <c r="B22" s="655">
        <v>43891</v>
      </c>
      <c r="C22" s="345">
        <v>1</v>
      </c>
      <c r="D22" s="655">
        <v>43952</v>
      </c>
      <c r="E22" s="342">
        <v>0</v>
      </c>
      <c r="F22" s="791">
        <f t="shared" si="0"/>
        <v>0</v>
      </c>
      <c r="G22" s="776">
        <v>0</v>
      </c>
      <c r="H22" s="776">
        <v>0</v>
      </c>
      <c r="I22" s="776">
        <v>0</v>
      </c>
      <c r="J22" s="776">
        <v>0</v>
      </c>
      <c r="K22" s="342">
        <v>0</v>
      </c>
      <c r="L22" s="723">
        <v>0</v>
      </c>
      <c r="M22" s="65">
        <v>0</v>
      </c>
      <c r="N22" s="65">
        <v>0</v>
      </c>
      <c r="O22" s="65">
        <v>0</v>
      </c>
      <c r="P22" s="792">
        <f t="shared" si="1"/>
        <v>0</v>
      </c>
    </row>
    <row r="23" spans="1:16" ht="12.75" customHeight="1">
      <c r="A23" s="560" t="s">
        <v>160</v>
      </c>
      <c r="B23" s="655">
        <v>43922</v>
      </c>
      <c r="C23" s="656">
        <v>0</v>
      </c>
      <c r="D23" s="655">
        <v>43952</v>
      </c>
      <c r="E23" s="342">
        <v>0</v>
      </c>
      <c r="F23" s="791">
        <f t="shared" si="0"/>
        <v>0</v>
      </c>
      <c r="G23" s="776">
        <v>0</v>
      </c>
      <c r="H23" s="776">
        <v>0</v>
      </c>
      <c r="I23" s="776">
        <v>0</v>
      </c>
      <c r="J23" s="776">
        <v>0</v>
      </c>
      <c r="K23" s="342">
        <v>0</v>
      </c>
      <c r="L23" s="723">
        <v>0</v>
      </c>
      <c r="M23" s="65">
        <v>0</v>
      </c>
      <c r="N23" s="65">
        <v>0</v>
      </c>
      <c r="O23" s="65">
        <v>0</v>
      </c>
      <c r="P23" s="792">
        <f t="shared" si="1"/>
        <v>0</v>
      </c>
    </row>
    <row r="24" spans="1:16" ht="12.75" customHeight="1">
      <c r="A24" s="560" t="s">
        <v>159</v>
      </c>
      <c r="B24" s="655">
        <v>43922</v>
      </c>
      <c r="C24" s="656">
        <v>0</v>
      </c>
      <c r="D24" s="655">
        <v>43952</v>
      </c>
      <c r="E24" s="342">
        <v>0</v>
      </c>
      <c r="F24" s="791">
        <f t="shared" si="0"/>
        <v>0</v>
      </c>
      <c r="G24" s="776">
        <v>0</v>
      </c>
      <c r="H24" s="776">
        <v>0</v>
      </c>
      <c r="I24" s="776">
        <v>0</v>
      </c>
      <c r="J24" s="776">
        <v>0</v>
      </c>
      <c r="K24" s="342">
        <v>0</v>
      </c>
      <c r="L24" s="723">
        <v>0</v>
      </c>
      <c r="M24" s="65">
        <v>0</v>
      </c>
      <c r="N24" s="65">
        <v>0</v>
      </c>
      <c r="O24" s="65">
        <v>0</v>
      </c>
      <c r="P24" s="792">
        <f t="shared" si="1"/>
        <v>0</v>
      </c>
    </row>
    <row r="25" spans="1:16" ht="12.75" customHeight="1">
      <c r="A25" s="560" t="s">
        <v>158</v>
      </c>
      <c r="B25" s="655">
        <v>43922</v>
      </c>
      <c r="C25" s="656">
        <v>0</v>
      </c>
      <c r="D25" s="655">
        <v>43952</v>
      </c>
      <c r="E25" s="342">
        <v>0</v>
      </c>
      <c r="F25" s="791">
        <f t="shared" si="0"/>
        <v>0</v>
      </c>
      <c r="G25" s="776">
        <v>0</v>
      </c>
      <c r="H25" s="776">
        <v>0</v>
      </c>
      <c r="I25" s="776">
        <v>0</v>
      </c>
      <c r="J25" s="776">
        <v>0</v>
      </c>
      <c r="K25" s="342">
        <v>0</v>
      </c>
      <c r="L25" s="723">
        <v>0</v>
      </c>
      <c r="M25" s="65">
        <v>0</v>
      </c>
      <c r="N25" s="65">
        <v>0</v>
      </c>
      <c r="O25" s="65">
        <v>0</v>
      </c>
      <c r="P25" s="792">
        <f t="shared" si="1"/>
        <v>0</v>
      </c>
    </row>
    <row r="26" spans="1:16" ht="12.75" customHeight="1">
      <c r="A26" s="560" t="s">
        <v>157</v>
      </c>
      <c r="B26" s="655">
        <v>43922</v>
      </c>
      <c r="C26" s="656">
        <v>0</v>
      </c>
      <c r="D26" s="655">
        <v>43952</v>
      </c>
      <c r="E26" s="342">
        <v>0</v>
      </c>
      <c r="F26" s="791">
        <f t="shared" si="0"/>
        <v>0</v>
      </c>
      <c r="G26" s="776">
        <v>0</v>
      </c>
      <c r="H26" s="776">
        <v>0</v>
      </c>
      <c r="I26" s="776">
        <v>0</v>
      </c>
      <c r="J26" s="776">
        <v>0</v>
      </c>
      <c r="K26" s="342">
        <v>0</v>
      </c>
      <c r="L26" s="723">
        <v>0</v>
      </c>
      <c r="M26" s="65">
        <v>0</v>
      </c>
      <c r="N26" s="65">
        <v>0</v>
      </c>
      <c r="O26" s="65">
        <v>0</v>
      </c>
      <c r="P26" s="792">
        <f t="shared" si="1"/>
        <v>0</v>
      </c>
    </row>
    <row r="27" spans="1:16" ht="12.75" customHeight="1">
      <c r="A27" s="560" t="s">
        <v>156</v>
      </c>
      <c r="B27" s="655">
        <v>43922</v>
      </c>
      <c r="C27" s="656">
        <v>0</v>
      </c>
      <c r="D27" s="655">
        <v>43952</v>
      </c>
      <c r="E27" s="342">
        <v>0</v>
      </c>
      <c r="F27" s="791">
        <f t="shared" si="0"/>
        <v>0</v>
      </c>
      <c r="G27" s="776">
        <v>0</v>
      </c>
      <c r="H27" s="776">
        <v>0</v>
      </c>
      <c r="I27" s="776">
        <v>0</v>
      </c>
      <c r="J27" s="776">
        <v>0</v>
      </c>
      <c r="K27" s="342">
        <v>0</v>
      </c>
      <c r="L27" s="723">
        <v>0</v>
      </c>
      <c r="M27" s="65">
        <v>0</v>
      </c>
      <c r="N27" s="65">
        <v>0</v>
      </c>
      <c r="O27" s="65">
        <v>0</v>
      </c>
      <c r="P27" s="792">
        <f t="shared" si="1"/>
        <v>0</v>
      </c>
    </row>
    <row r="28" spans="1:16" ht="12.75" customHeight="1">
      <c r="A28" s="560" t="s">
        <v>155</v>
      </c>
      <c r="B28" s="655">
        <v>43922</v>
      </c>
      <c r="C28" s="656">
        <v>0</v>
      </c>
      <c r="D28" s="655">
        <v>43952</v>
      </c>
      <c r="E28" s="342">
        <v>0</v>
      </c>
      <c r="F28" s="791">
        <f t="shared" si="0"/>
        <v>0</v>
      </c>
      <c r="G28" s="776">
        <v>0</v>
      </c>
      <c r="H28" s="776">
        <v>0</v>
      </c>
      <c r="I28" s="776">
        <v>0</v>
      </c>
      <c r="J28" s="776">
        <v>0</v>
      </c>
      <c r="K28" s="342">
        <v>0</v>
      </c>
      <c r="L28" s="723">
        <v>0</v>
      </c>
      <c r="M28" s="65">
        <v>0</v>
      </c>
      <c r="N28" s="65">
        <v>0</v>
      </c>
      <c r="O28" s="65">
        <v>0</v>
      </c>
      <c r="P28" s="792">
        <f t="shared" si="1"/>
        <v>0</v>
      </c>
    </row>
    <row r="29" spans="1:16" ht="12.75" customHeight="1" thickBot="1">
      <c r="A29" s="657" t="s">
        <v>154</v>
      </c>
      <c r="B29" s="844">
        <v>43922</v>
      </c>
      <c r="C29" s="659">
        <v>0</v>
      </c>
      <c r="D29" s="844">
        <v>43952</v>
      </c>
      <c r="E29" s="778">
        <v>0</v>
      </c>
      <c r="F29" s="806">
        <f t="shared" si="0"/>
        <v>0</v>
      </c>
      <c r="G29" s="778">
        <v>0</v>
      </c>
      <c r="H29" s="778">
        <v>0</v>
      </c>
      <c r="I29" s="778">
        <v>0</v>
      </c>
      <c r="J29" s="778">
        <v>0</v>
      </c>
      <c r="K29" s="778">
        <v>0</v>
      </c>
      <c r="L29" s="723">
        <v>0</v>
      </c>
      <c r="M29" s="779">
        <v>0</v>
      </c>
      <c r="N29" s="799">
        <v>0</v>
      </c>
      <c r="O29" s="798">
        <v>0</v>
      </c>
      <c r="P29" s="794">
        <f t="shared" si="1"/>
        <v>0</v>
      </c>
    </row>
    <row r="30" spans="1:16" ht="12.75" customHeight="1">
      <c r="A30" s="892" t="s">
        <v>171</v>
      </c>
      <c r="B30" s="876">
        <v>43800</v>
      </c>
      <c r="C30" s="868">
        <v>2</v>
      </c>
      <c r="D30" s="876">
        <v>43983</v>
      </c>
      <c r="E30" s="780">
        <v>0</v>
      </c>
      <c r="F30" s="805">
        <f t="shared" si="0"/>
        <v>0</v>
      </c>
      <c r="G30" s="780">
        <v>0</v>
      </c>
      <c r="H30" s="780">
        <v>0</v>
      </c>
      <c r="I30" s="780">
        <v>0</v>
      </c>
      <c r="J30" s="780">
        <v>0</v>
      </c>
      <c r="K30" s="780">
        <v>0</v>
      </c>
      <c r="L30" s="790"/>
      <c r="M30" s="781">
        <v>0</v>
      </c>
      <c r="N30" s="803">
        <v>0</v>
      </c>
      <c r="O30" s="781">
        <v>0</v>
      </c>
      <c r="P30" s="795">
        <f t="shared" si="1"/>
        <v>0</v>
      </c>
    </row>
    <row r="31" spans="1:16" ht="12.75" customHeight="1">
      <c r="A31" s="565" t="s">
        <v>171</v>
      </c>
      <c r="B31" s="660">
        <v>43952</v>
      </c>
      <c r="C31" s="661">
        <v>0</v>
      </c>
      <c r="D31" s="660">
        <v>43983</v>
      </c>
      <c r="E31" s="776">
        <v>0</v>
      </c>
      <c r="F31" s="791">
        <f t="shared" si="0"/>
        <v>0</v>
      </c>
      <c r="G31" s="776">
        <v>0</v>
      </c>
      <c r="H31" s="776">
        <v>0</v>
      </c>
      <c r="I31" s="776">
        <v>0</v>
      </c>
      <c r="J31" s="776">
        <v>0</v>
      </c>
      <c r="K31" s="776">
        <v>0</v>
      </c>
      <c r="L31" s="790"/>
      <c r="M31" s="777">
        <v>0</v>
      </c>
      <c r="N31" s="877">
        <v>0</v>
      </c>
      <c r="O31" s="777">
        <v>0</v>
      </c>
      <c r="P31" s="792">
        <f t="shared" si="1"/>
        <v>0</v>
      </c>
    </row>
    <row r="32" spans="1:16" ht="12.75" customHeight="1">
      <c r="A32" s="560" t="s">
        <v>170</v>
      </c>
      <c r="B32" s="660">
        <v>43800</v>
      </c>
      <c r="C32" s="756">
        <v>1</v>
      </c>
      <c r="D32" s="660">
        <v>43983</v>
      </c>
      <c r="E32" s="342">
        <v>0</v>
      </c>
      <c r="F32" s="791">
        <f t="shared" si="0"/>
        <v>0</v>
      </c>
      <c r="G32" s="776">
        <v>0</v>
      </c>
      <c r="H32" s="776">
        <v>0</v>
      </c>
      <c r="I32" s="776">
        <v>0</v>
      </c>
      <c r="J32" s="776">
        <v>0</v>
      </c>
      <c r="K32" s="776">
        <v>0</v>
      </c>
      <c r="L32" s="790"/>
      <c r="M32" s="777">
        <v>0</v>
      </c>
      <c r="N32" s="877">
        <v>0</v>
      </c>
      <c r="O32" s="777">
        <v>0</v>
      </c>
      <c r="P32" s="792">
        <f t="shared" si="1"/>
        <v>0</v>
      </c>
    </row>
    <row r="33" spans="1:16" ht="12.75" customHeight="1">
      <c r="A33" s="560" t="s">
        <v>170</v>
      </c>
      <c r="B33" s="660">
        <v>43831</v>
      </c>
      <c r="C33" s="756">
        <v>1</v>
      </c>
      <c r="D33" s="660">
        <v>43983</v>
      </c>
      <c r="E33" s="342">
        <v>0</v>
      </c>
      <c r="F33" s="791">
        <f t="shared" si="0"/>
        <v>0</v>
      </c>
      <c r="G33" s="776">
        <v>0</v>
      </c>
      <c r="H33" s="776">
        <v>0</v>
      </c>
      <c r="I33" s="776">
        <v>0</v>
      </c>
      <c r="J33" s="776">
        <v>0</v>
      </c>
      <c r="K33" s="776">
        <v>0</v>
      </c>
      <c r="L33" s="790"/>
      <c r="M33" s="777">
        <v>0</v>
      </c>
      <c r="N33" s="877">
        <v>0</v>
      </c>
      <c r="O33" s="777">
        <v>0</v>
      </c>
      <c r="P33" s="792">
        <f t="shared" si="1"/>
        <v>0</v>
      </c>
    </row>
    <row r="34" spans="1:16" ht="12.75" customHeight="1">
      <c r="A34" s="560" t="s">
        <v>170</v>
      </c>
      <c r="B34" s="660">
        <v>43862</v>
      </c>
      <c r="C34" s="756">
        <v>1</v>
      </c>
      <c r="D34" s="660">
        <v>43983</v>
      </c>
      <c r="E34" s="342">
        <v>0</v>
      </c>
      <c r="F34" s="791">
        <f t="shared" si="0"/>
        <v>0</v>
      </c>
      <c r="G34" s="776">
        <v>0</v>
      </c>
      <c r="H34" s="776">
        <v>0</v>
      </c>
      <c r="I34" s="776">
        <v>0</v>
      </c>
      <c r="J34" s="776">
        <v>0</v>
      </c>
      <c r="K34" s="776">
        <v>0</v>
      </c>
      <c r="L34" s="790"/>
      <c r="M34" s="777">
        <v>0</v>
      </c>
      <c r="N34" s="877">
        <v>0</v>
      </c>
      <c r="O34" s="777">
        <v>0</v>
      </c>
      <c r="P34" s="792">
        <f t="shared" si="1"/>
        <v>0</v>
      </c>
    </row>
    <row r="35" spans="1:16" ht="12.75" customHeight="1">
      <c r="A35" s="560" t="s">
        <v>170</v>
      </c>
      <c r="B35" s="660">
        <v>43891</v>
      </c>
      <c r="C35" s="756">
        <v>1</v>
      </c>
      <c r="D35" s="660">
        <v>43983</v>
      </c>
      <c r="E35" s="342">
        <v>0</v>
      </c>
      <c r="F35" s="791">
        <f t="shared" si="0"/>
        <v>0</v>
      </c>
      <c r="G35" s="776">
        <v>0</v>
      </c>
      <c r="H35" s="776">
        <v>0</v>
      </c>
      <c r="I35" s="776">
        <v>0</v>
      </c>
      <c r="J35" s="776">
        <v>0</v>
      </c>
      <c r="K35" s="776">
        <v>0</v>
      </c>
      <c r="L35" s="790"/>
      <c r="M35" s="777">
        <v>0</v>
      </c>
      <c r="N35" s="877">
        <v>0</v>
      </c>
      <c r="O35" s="777">
        <v>0</v>
      </c>
      <c r="P35" s="792">
        <f t="shared" si="1"/>
        <v>0</v>
      </c>
    </row>
    <row r="36" spans="1:16" ht="12.75" customHeight="1">
      <c r="A36" s="560" t="s">
        <v>170</v>
      </c>
      <c r="B36" s="660">
        <v>43922</v>
      </c>
      <c r="C36" s="756">
        <v>1</v>
      </c>
      <c r="D36" s="660">
        <v>43983</v>
      </c>
      <c r="E36" s="342">
        <v>0</v>
      </c>
      <c r="F36" s="791">
        <f t="shared" si="0"/>
        <v>0</v>
      </c>
      <c r="G36" s="776">
        <v>0</v>
      </c>
      <c r="H36" s="776">
        <v>0</v>
      </c>
      <c r="I36" s="776">
        <v>0</v>
      </c>
      <c r="J36" s="776">
        <v>0</v>
      </c>
      <c r="K36" s="776">
        <v>0</v>
      </c>
      <c r="L36" s="790"/>
      <c r="M36" s="777">
        <v>0</v>
      </c>
      <c r="N36" s="877">
        <v>0</v>
      </c>
      <c r="O36" s="777">
        <v>0</v>
      </c>
      <c r="P36" s="792">
        <f t="shared" si="1"/>
        <v>0</v>
      </c>
    </row>
    <row r="37" spans="1:16" ht="12.75" customHeight="1">
      <c r="A37" s="560" t="s">
        <v>170</v>
      </c>
      <c r="B37" s="660">
        <v>43952</v>
      </c>
      <c r="C37" s="661">
        <v>0</v>
      </c>
      <c r="D37" s="660">
        <v>43983</v>
      </c>
      <c r="E37" s="342">
        <v>0</v>
      </c>
      <c r="F37" s="791">
        <f t="shared" si="0"/>
        <v>0</v>
      </c>
      <c r="G37" s="776">
        <v>0</v>
      </c>
      <c r="H37" s="776">
        <v>0</v>
      </c>
      <c r="I37" s="776">
        <v>0</v>
      </c>
      <c r="J37" s="776">
        <v>0</v>
      </c>
      <c r="K37" s="776">
        <v>0</v>
      </c>
      <c r="L37" s="790"/>
      <c r="M37" s="777">
        <v>0</v>
      </c>
      <c r="N37" s="877">
        <v>0</v>
      </c>
      <c r="O37" s="777">
        <v>0</v>
      </c>
      <c r="P37" s="792">
        <f t="shared" si="1"/>
        <v>0</v>
      </c>
    </row>
    <row r="38" spans="1:16" ht="12.75" customHeight="1">
      <c r="A38" s="560" t="s">
        <v>169</v>
      </c>
      <c r="B38" s="660">
        <v>43952</v>
      </c>
      <c r="C38" s="656">
        <v>0</v>
      </c>
      <c r="D38" s="660">
        <v>43983</v>
      </c>
      <c r="E38" s="342">
        <v>0</v>
      </c>
      <c r="F38" s="791">
        <f t="shared" si="0"/>
        <v>0</v>
      </c>
      <c r="G38" s="776">
        <v>0</v>
      </c>
      <c r="H38" s="776">
        <v>0</v>
      </c>
      <c r="I38" s="776">
        <v>0</v>
      </c>
      <c r="J38" s="776">
        <v>0</v>
      </c>
      <c r="K38" s="776">
        <v>0</v>
      </c>
      <c r="L38" s="790"/>
      <c r="M38" s="777">
        <v>0</v>
      </c>
      <c r="N38" s="877">
        <v>0</v>
      </c>
      <c r="O38" s="777">
        <v>0</v>
      </c>
      <c r="P38" s="792">
        <f t="shared" si="1"/>
        <v>0</v>
      </c>
    </row>
    <row r="39" spans="1:16" ht="12.75" customHeight="1">
      <c r="A39" s="560" t="s">
        <v>168</v>
      </c>
      <c r="B39" s="660">
        <v>43922</v>
      </c>
      <c r="C39" s="345">
        <v>1</v>
      </c>
      <c r="D39" s="660">
        <v>43983</v>
      </c>
      <c r="E39" s="342">
        <v>0</v>
      </c>
      <c r="F39" s="791">
        <f t="shared" si="0"/>
        <v>0</v>
      </c>
      <c r="G39" s="776">
        <v>0</v>
      </c>
      <c r="H39" s="776">
        <v>0</v>
      </c>
      <c r="I39" s="776">
        <v>0</v>
      </c>
      <c r="J39" s="776">
        <v>0</v>
      </c>
      <c r="K39" s="776">
        <v>0</v>
      </c>
      <c r="L39" s="790"/>
      <c r="M39" s="777">
        <v>0</v>
      </c>
      <c r="N39" s="877">
        <v>0</v>
      </c>
      <c r="O39" s="777">
        <v>0</v>
      </c>
      <c r="P39" s="792">
        <f t="shared" si="1"/>
        <v>0</v>
      </c>
    </row>
    <row r="40" spans="1:16" ht="12.75" customHeight="1">
      <c r="A40" s="560" t="s">
        <v>168</v>
      </c>
      <c r="B40" s="660">
        <v>43952</v>
      </c>
      <c r="C40" s="656">
        <v>0</v>
      </c>
      <c r="D40" s="660">
        <v>43983</v>
      </c>
      <c r="E40" s="342">
        <v>0</v>
      </c>
      <c r="F40" s="791">
        <f t="shared" si="0"/>
        <v>0</v>
      </c>
      <c r="G40" s="776">
        <v>0</v>
      </c>
      <c r="H40" s="776">
        <v>0</v>
      </c>
      <c r="I40" s="776">
        <v>0</v>
      </c>
      <c r="J40" s="776">
        <v>0</v>
      </c>
      <c r="K40" s="776">
        <v>0</v>
      </c>
      <c r="L40" s="790"/>
      <c r="M40" s="777">
        <v>0</v>
      </c>
      <c r="N40" s="877">
        <v>0</v>
      </c>
      <c r="O40" s="777">
        <v>0</v>
      </c>
      <c r="P40" s="792">
        <f t="shared" si="1"/>
        <v>0</v>
      </c>
    </row>
    <row r="41" spans="1:16" ht="12.75" customHeight="1">
      <c r="A41" s="560" t="s">
        <v>167</v>
      </c>
      <c r="B41" s="660">
        <v>43952</v>
      </c>
      <c r="C41" s="656">
        <v>0</v>
      </c>
      <c r="D41" s="660">
        <v>43983</v>
      </c>
      <c r="E41" s="342">
        <v>0</v>
      </c>
      <c r="F41" s="791">
        <f t="shared" si="0"/>
        <v>0</v>
      </c>
      <c r="G41" s="776">
        <v>0</v>
      </c>
      <c r="H41" s="776">
        <v>0</v>
      </c>
      <c r="I41" s="776">
        <v>0</v>
      </c>
      <c r="J41" s="776">
        <v>0</v>
      </c>
      <c r="K41" s="776">
        <v>0</v>
      </c>
      <c r="L41" s="790"/>
      <c r="M41" s="777">
        <v>0</v>
      </c>
      <c r="N41" s="877">
        <v>0</v>
      </c>
      <c r="O41" s="777">
        <v>0</v>
      </c>
      <c r="P41" s="792">
        <f t="shared" si="1"/>
        <v>0</v>
      </c>
    </row>
    <row r="42" spans="1:16" ht="12.75" customHeight="1">
      <c r="A42" s="560" t="s">
        <v>166</v>
      </c>
      <c r="B42" s="660">
        <v>43952</v>
      </c>
      <c r="C42" s="656">
        <v>0</v>
      </c>
      <c r="D42" s="660">
        <v>43983</v>
      </c>
      <c r="E42" s="342">
        <v>0</v>
      </c>
      <c r="F42" s="791">
        <f t="shared" si="0"/>
        <v>0</v>
      </c>
      <c r="G42" s="776">
        <v>0</v>
      </c>
      <c r="H42" s="776">
        <v>0</v>
      </c>
      <c r="I42" s="776">
        <v>0</v>
      </c>
      <c r="J42" s="776">
        <v>0</v>
      </c>
      <c r="K42" s="776">
        <v>0</v>
      </c>
      <c r="L42" s="790"/>
      <c r="M42" s="777">
        <v>0</v>
      </c>
      <c r="N42" s="877">
        <v>0</v>
      </c>
      <c r="O42" s="777">
        <v>0</v>
      </c>
      <c r="P42" s="792">
        <f t="shared" si="1"/>
        <v>0</v>
      </c>
    </row>
    <row r="43" spans="1:16" ht="12.75" customHeight="1">
      <c r="A43" s="560" t="s">
        <v>11</v>
      </c>
      <c r="B43" s="660">
        <v>43952</v>
      </c>
      <c r="C43" s="656">
        <v>0</v>
      </c>
      <c r="D43" s="660">
        <v>43983</v>
      </c>
      <c r="E43" s="342">
        <v>4672191</v>
      </c>
      <c r="F43" s="791">
        <f t="shared" si="0"/>
        <v>4672191</v>
      </c>
      <c r="G43" s="776">
        <v>2397301</v>
      </c>
      <c r="H43" s="776">
        <v>436967</v>
      </c>
      <c r="I43" s="776">
        <v>1634566</v>
      </c>
      <c r="J43" s="776">
        <v>203357</v>
      </c>
      <c r="K43" s="776">
        <v>0</v>
      </c>
      <c r="L43" s="790"/>
      <c r="M43" s="777">
        <v>173595</v>
      </c>
      <c r="N43" s="877">
        <v>2663</v>
      </c>
      <c r="O43" s="777">
        <v>27099</v>
      </c>
      <c r="P43" s="792">
        <f t="shared" si="1"/>
        <v>203357</v>
      </c>
    </row>
    <row r="44" spans="1:16" ht="12.75" customHeight="1">
      <c r="A44" s="560" t="s">
        <v>165</v>
      </c>
      <c r="B44" s="660">
        <v>43952</v>
      </c>
      <c r="C44" s="656">
        <v>0</v>
      </c>
      <c r="D44" s="660">
        <v>43983</v>
      </c>
      <c r="E44" s="342">
        <v>0</v>
      </c>
      <c r="F44" s="791">
        <f t="shared" si="0"/>
        <v>0</v>
      </c>
      <c r="G44" s="776">
        <v>0</v>
      </c>
      <c r="H44" s="776">
        <v>0</v>
      </c>
      <c r="I44" s="776">
        <v>0</v>
      </c>
      <c r="J44" s="776">
        <v>0</v>
      </c>
      <c r="K44" s="776">
        <v>0</v>
      </c>
      <c r="L44" s="790"/>
      <c r="M44" s="777">
        <v>0</v>
      </c>
      <c r="N44" s="877">
        <v>0</v>
      </c>
      <c r="O44" s="777">
        <v>0</v>
      </c>
      <c r="P44" s="792">
        <f t="shared" si="1"/>
        <v>0</v>
      </c>
    </row>
    <row r="45" spans="1:16" ht="12.75" customHeight="1">
      <c r="A45" s="560" t="s">
        <v>164</v>
      </c>
      <c r="B45" s="660">
        <v>43952</v>
      </c>
      <c r="C45" s="656">
        <v>0</v>
      </c>
      <c r="D45" s="660">
        <v>43983</v>
      </c>
      <c r="E45" s="342">
        <v>0</v>
      </c>
      <c r="F45" s="791">
        <f t="shared" si="0"/>
        <v>0</v>
      </c>
      <c r="G45" s="776">
        <v>0</v>
      </c>
      <c r="H45" s="776">
        <v>0</v>
      </c>
      <c r="I45" s="776">
        <v>0</v>
      </c>
      <c r="J45" s="776">
        <v>0</v>
      </c>
      <c r="K45" s="776">
        <v>0</v>
      </c>
      <c r="L45" s="790"/>
      <c r="M45" s="777">
        <v>0</v>
      </c>
      <c r="N45" s="877">
        <v>0</v>
      </c>
      <c r="O45" s="777">
        <v>0</v>
      </c>
      <c r="P45" s="792">
        <f t="shared" si="1"/>
        <v>0</v>
      </c>
    </row>
    <row r="46" spans="1:16" ht="12.75" customHeight="1">
      <c r="A46" s="560" t="s">
        <v>163</v>
      </c>
      <c r="B46" s="660">
        <v>43952</v>
      </c>
      <c r="C46" s="656">
        <v>0</v>
      </c>
      <c r="D46" s="660">
        <v>43983</v>
      </c>
      <c r="E46" s="342">
        <v>0</v>
      </c>
      <c r="F46" s="791">
        <f t="shared" si="0"/>
        <v>0</v>
      </c>
      <c r="G46" s="776">
        <v>0</v>
      </c>
      <c r="H46" s="776">
        <v>0</v>
      </c>
      <c r="I46" s="776">
        <v>0</v>
      </c>
      <c r="J46" s="776">
        <v>0</v>
      </c>
      <c r="K46" s="776">
        <v>0</v>
      </c>
      <c r="L46" s="790"/>
      <c r="M46" s="777">
        <v>0</v>
      </c>
      <c r="N46" s="877">
        <v>0</v>
      </c>
      <c r="O46" s="777">
        <v>0</v>
      </c>
      <c r="P46" s="792">
        <f t="shared" si="1"/>
        <v>0</v>
      </c>
    </row>
    <row r="47" spans="1:16" ht="12.75" customHeight="1">
      <c r="A47" s="560" t="s">
        <v>162</v>
      </c>
      <c r="B47" s="660">
        <v>43952</v>
      </c>
      <c r="C47" s="656">
        <v>0</v>
      </c>
      <c r="D47" s="660">
        <v>43983</v>
      </c>
      <c r="E47" s="342">
        <v>0</v>
      </c>
      <c r="F47" s="791">
        <f t="shared" si="0"/>
        <v>0</v>
      </c>
      <c r="G47" s="776">
        <v>0</v>
      </c>
      <c r="H47" s="776">
        <v>0</v>
      </c>
      <c r="I47" s="776">
        <v>0</v>
      </c>
      <c r="J47" s="776">
        <v>0</v>
      </c>
      <c r="K47" s="776">
        <v>0</v>
      </c>
      <c r="L47" s="790"/>
      <c r="M47" s="777">
        <v>0</v>
      </c>
      <c r="N47" s="877">
        <v>0</v>
      </c>
      <c r="O47" s="777">
        <v>0</v>
      </c>
      <c r="P47" s="792">
        <f t="shared" si="1"/>
        <v>0</v>
      </c>
    </row>
    <row r="48" spans="1:16" ht="12.75" customHeight="1">
      <c r="A48" s="560" t="s">
        <v>161</v>
      </c>
      <c r="B48" s="660">
        <v>43952</v>
      </c>
      <c r="C48" s="656">
        <v>0</v>
      </c>
      <c r="D48" s="660">
        <v>43983</v>
      </c>
      <c r="E48" s="342">
        <v>0</v>
      </c>
      <c r="F48" s="791">
        <f t="shared" si="0"/>
        <v>0</v>
      </c>
      <c r="G48" s="776">
        <v>0</v>
      </c>
      <c r="H48" s="776">
        <v>0</v>
      </c>
      <c r="I48" s="776">
        <v>0</v>
      </c>
      <c r="J48" s="776">
        <v>0</v>
      </c>
      <c r="K48" s="776">
        <v>0</v>
      </c>
      <c r="L48" s="790"/>
      <c r="M48" s="777">
        <v>0</v>
      </c>
      <c r="N48" s="877">
        <v>0</v>
      </c>
      <c r="O48" s="777">
        <v>0</v>
      </c>
      <c r="P48" s="792">
        <f t="shared" si="1"/>
        <v>0</v>
      </c>
    </row>
    <row r="49" spans="1:16" ht="12.75" customHeight="1">
      <c r="A49" s="560" t="s">
        <v>160</v>
      </c>
      <c r="B49" s="660">
        <v>43952</v>
      </c>
      <c r="C49" s="656">
        <v>0</v>
      </c>
      <c r="D49" s="660">
        <v>43983</v>
      </c>
      <c r="E49" s="342">
        <v>0</v>
      </c>
      <c r="F49" s="791">
        <f t="shared" si="0"/>
        <v>0</v>
      </c>
      <c r="G49" s="776">
        <v>0</v>
      </c>
      <c r="H49" s="776">
        <v>0</v>
      </c>
      <c r="I49" s="776">
        <v>0</v>
      </c>
      <c r="J49" s="776">
        <v>0</v>
      </c>
      <c r="K49" s="776">
        <v>0</v>
      </c>
      <c r="L49" s="790"/>
      <c r="M49" s="777">
        <v>0</v>
      </c>
      <c r="N49" s="877">
        <v>0</v>
      </c>
      <c r="O49" s="777">
        <v>0</v>
      </c>
      <c r="P49" s="792">
        <f t="shared" si="1"/>
        <v>0</v>
      </c>
    </row>
    <row r="50" spans="1:16" ht="12.75" customHeight="1">
      <c r="A50" s="560" t="s">
        <v>159</v>
      </c>
      <c r="B50" s="660">
        <v>43952</v>
      </c>
      <c r="C50" s="656">
        <v>0</v>
      </c>
      <c r="D50" s="660">
        <v>43983</v>
      </c>
      <c r="E50" s="342">
        <v>0</v>
      </c>
      <c r="F50" s="791">
        <f t="shared" si="0"/>
        <v>0</v>
      </c>
      <c r="G50" s="776">
        <v>0</v>
      </c>
      <c r="H50" s="776">
        <v>0</v>
      </c>
      <c r="I50" s="776">
        <v>0</v>
      </c>
      <c r="J50" s="776">
        <v>0</v>
      </c>
      <c r="K50" s="776">
        <v>0</v>
      </c>
      <c r="L50" s="790"/>
      <c r="M50" s="777">
        <v>0</v>
      </c>
      <c r="N50" s="877">
        <v>0</v>
      </c>
      <c r="O50" s="777">
        <v>0</v>
      </c>
      <c r="P50" s="792">
        <f t="shared" si="1"/>
        <v>0</v>
      </c>
    </row>
    <row r="51" spans="1:16" ht="12.75" customHeight="1">
      <c r="A51" s="560" t="s">
        <v>158</v>
      </c>
      <c r="B51" s="660">
        <v>43952</v>
      </c>
      <c r="C51" s="656">
        <v>0</v>
      </c>
      <c r="D51" s="660">
        <v>43983</v>
      </c>
      <c r="E51" s="342">
        <v>0</v>
      </c>
      <c r="F51" s="791">
        <f t="shared" si="0"/>
        <v>0</v>
      </c>
      <c r="G51" s="776">
        <v>0</v>
      </c>
      <c r="H51" s="776">
        <v>0</v>
      </c>
      <c r="I51" s="776">
        <v>0</v>
      </c>
      <c r="J51" s="776">
        <v>0</v>
      </c>
      <c r="K51" s="776">
        <v>0</v>
      </c>
      <c r="L51" s="790"/>
      <c r="M51" s="777">
        <v>0</v>
      </c>
      <c r="N51" s="877">
        <v>0</v>
      </c>
      <c r="O51" s="777">
        <v>0</v>
      </c>
      <c r="P51" s="792">
        <f t="shared" si="1"/>
        <v>0</v>
      </c>
    </row>
    <row r="52" spans="1:16" ht="12.75" customHeight="1">
      <c r="A52" s="560" t="s">
        <v>157</v>
      </c>
      <c r="B52" s="660">
        <v>43952</v>
      </c>
      <c r="C52" s="656">
        <v>0</v>
      </c>
      <c r="D52" s="660">
        <v>43983</v>
      </c>
      <c r="E52" s="342">
        <v>0</v>
      </c>
      <c r="F52" s="791">
        <f t="shared" si="0"/>
        <v>0</v>
      </c>
      <c r="G52" s="776">
        <v>0</v>
      </c>
      <c r="H52" s="776">
        <v>0</v>
      </c>
      <c r="I52" s="776">
        <v>0</v>
      </c>
      <c r="J52" s="776">
        <v>0</v>
      </c>
      <c r="K52" s="776">
        <v>0</v>
      </c>
      <c r="L52" s="790"/>
      <c r="M52" s="777">
        <v>0</v>
      </c>
      <c r="N52" s="877">
        <v>0</v>
      </c>
      <c r="O52" s="777">
        <v>0</v>
      </c>
      <c r="P52" s="792">
        <f t="shared" si="1"/>
        <v>0</v>
      </c>
    </row>
    <row r="53" spans="1:16" ht="12.75" customHeight="1">
      <c r="A53" s="560" t="s">
        <v>156</v>
      </c>
      <c r="B53" s="660">
        <v>43952</v>
      </c>
      <c r="C53" s="656">
        <v>0</v>
      </c>
      <c r="D53" s="660">
        <v>43983</v>
      </c>
      <c r="E53" s="342">
        <v>0</v>
      </c>
      <c r="F53" s="791">
        <f t="shared" si="0"/>
        <v>0</v>
      </c>
      <c r="G53" s="776">
        <v>0</v>
      </c>
      <c r="H53" s="776">
        <v>0</v>
      </c>
      <c r="I53" s="776">
        <v>0</v>
      </c>
      <c r="J53" s="776">
        <v>0</v>
      </c>
      <c r="K53" s="776">
        <v>0</v>
      </c>
      <c r="L53" s="790"/>
      <c r="M53" s="777">
        <v>0</v>
      </c>
      <c r="N53" s="877">
        <v>0</v>
      </c>
      <c r="O53" s="777">
        <v>0</v>
      </c>
      <c r="P53" s="792">
        <f t="shared" si="1"/>
        <v>0</v>
      </c>
    </row>
    <row r="54" spans="1:16" ht="12.75" customHeight="1">
      <c r="A54" s="560" t="s">
        <v>155</v>
      </c>
      <c r="B54" s="660">
        <v>43952</v>
      </c>
      <c r="C54" s="656">
        <v>0</v>
      </c>
      <c r="D54" s="660">
        <v>43983</v>
      </c>
      <c r="E54" s="342">
        <v>0</v>
      </c>
      <c r="F54" s="797">
        <f t="shared" si="0"/>
        <v>0</v>
      </c>
      <c r="G54" s="342">
        <v>0</v>
      </c>
      <c r="H54" s="342">
        <v>0</v>
      </c>
      <c r="I54" s="342">
        <v>0</v>
      </c>
      <c r="J54" s="342">
        <v>0</v>
      </c>
      <c r="K54" s="342">
        <v>0</v>
      </c>
      <c r="L54" s="790"/>
      <c r="M54" s="777">
        <v>0</v>
      </c>
      <c r="N54" s="877">
        <v>0</v>
      </c>
      <c r="O54" s="777">
        <v>0</v>
      </c>
      <c r="P54" s="792">
        <f t="shared" si="1"/>
        <v>0</v>
      </c>
    </row>
    <row r="55" spans="1:16" ht="12.75" customHeight="1" thickBot="1">
      <c r="A55" s="752" t="s">
        <v>154</v>
      </c>
      <c r="B55" s="863">
        <v>43952</v>
      </c>
      <c r="C55" s="893">
        <v>0</v>
      </c>
      <c r="D55" s="863">
        <v>43983</v>
      </c>
      <c r="E55" s="778">
        <v>0</v>
      </c>
      <c r="F55" s="806">
        <f t="shared" si="0"/>
        <v>0</v>
      </c>
      <c r="G55" s="778">
        <v>0</v>
      </c>
      <c r="H55" s="778">
        <v>0</v>
      </c>
      <c r="I55" s="778">
        <v>0</v>
      </c>
      <c r="J55" s="778">
        <v>0</v>
      </c>
      <c r="K55" s="778">
        <v>0</v>
      </c>
      <c r="L55" s="790"/>
      <c r="M55" s="798">
        <v>0</v>
      </c>
      <c r="N55" s="799">
        <v>0</v>
      </c>
      <c r="O55" s="798">
        <v>0</v>
      </c>
      <c r="P55" s="794">
        <f t="shared" si="1"/>
        <v>0</v>
      </c>
    </row>
    <row r="56" spans="1:16" ht="12.75" customHeight="1">
      <c r="A56" s="892" t="s">
        <v>171</v>
      </c>
      <c r="B56" s="876">
        <v>43881</v>
      </c>
      <c r="C56" s="868">
        <v>1</v>
      </c>
      <c r="D56" s="876">
        <v>44013</v>
      </c>
      <c r="E56" s="826">
        <v>0</v>
      </c>
      <c r="F56" s="805">
        <f>SUM(G56:K56)</f>
        <v>0</v>
      </c>
      <c r="G56" s="592">
        <v>0</v>
      </c>
      <c r="H56" s="592">
        <v>0</v>
      </c>
      <c r="I56" s="592">
        <v>0</v>
      </c>
      <c r="J56" s="592">
        <v>0</v>
      </c>
      <c r="K56" s="592">
        <v>0</v>
      </c>
      <c r="M56" s="781">
        <v>0</v>
      </c>
      <c r="N56" s="781">
        <v>0</v>
      </c>
      <c r="O56" s="781">
        <v>0</v>
      </c>
      <c r="P56" s="795">
        <f>SUM(M56:O56)</f>
        <v>0</v>
      </c>
    </row>
    <row r="57" spans="1:16" ht="12.75" customHeight="1">
      <c r="A57" s="560" t="s">
        <v>171</v>
      </c>
      <c r="B57" s="655">
        <v>43910</v>
      </c>
      <c r="C57" s="345">
        <v>1</v>
      </c>
      <c r="D57" s="655">
        <v>44013</v>
      </c>
      <c r="E57" s="822">
        <v>0</v>
      </c>
      <c r="F57" s="797">
        <f t="shared" ref="F57:F82" si="2">SUM(G57:K57)</f>
        <v>0</v>
      </c>
      <c r="G57" s="267">
        <v>0</v>
      </c>
      <c r="H57" s="267">
        <v>0</v>
      </c>
      <c r="I57" s="267">
        <v>0</v>
      </c>
      <c r="J57" s="267">
        <v>0</v>
      </c>
      <c r="K57" s="267">
        <v>0</v>
      </c>
      <c r="M57" s="65">
        <v>0</v>
      </c>
      <c r="N57" s="65">
        <v>0</v>
      </c>
      <c r="O57" s="65">
        <v>0</v>
      </c>
      <c r="P57" s="800">
        <f t="shared" ref="P57:P82" si="3">SUM(M57:O57)</f>
        <v>0</v>
      </c>
    </row>
    <row r="58" spans="1:16" ht="12.75" customHeight="1">
      <c r="A58" s="560" t="s">
        <v>171</v>
      </c>
      <c r="B58" s="655">
        <v>43941</v>
      </c>
      <c r="C58" s="345">
        <v>1</v>
      </c>
      <c r="D58" s="655">
        <v>44013</v>
      </c>
      <c r="E58" s="822">
        <v>0</v>
      </c>
      <c r="F58" s="797">
        <f t="shared" si="2"/>
        <v>0</v>
      </c>
      <c r="G58" s="267">
        <v>0</v>
      </c>
      <c r="H58" s="267">
        <v>0</v>
      </c>
      <c r="I58" s="267">
        <v>0</v>
      </c>
      <c r="J58" s="267">
        <v>0</v>
      </c>
      <c r="K58" s="267">
        <v>0</v>
      </c>
      <c r="M58" s="65">
        <v>0</v>
      </c>
      <c r="N58" s="65">
        <v>0</v>
      </c>
      <c r="O58" s="65">
        <v>0</v>
      </c>
      <c r="P58" s="800">
        <f t="shared" si="3"/>
        <v>0</v>
      </c>
    </row>
    <row r="59" spans="1:16" ht="12.75" customHeight="1">
      <c r="A59" s="560" t="s">
        <v>171</v>
      </c>
      <c r="B59" s="655">
        <v>43983</v>
      </c>
      <c r="C59" s="656">
        <v>0</v>
      </c>
      <c r="D59" s="655">
        <v>44013</v>
      </c>
      <c r="E59" s="822">
        <v>0</v>
      </c>
      <c r="F59" s="797">
        <f t="shared" si="2"/>
        <v>0</v>
      </c>
      <c r="G59" s="267">
        <v>0</v>
      </c>
      <c r="H59" s="267">
        <v>0</v>
      </c>
      <c r="I59" s="267">
        <v>0</v>
      </c>
      <c r="J59" s="267">
        <v>0</v>
      </c>
      <c r="K59" s="267">
        <v>0</v>
      </c>
      <c r="M59" s="65">
        <v>0</v>
      </c>
      <c r="N59" s="65">
        <v>0</v>
      </c>
      <c r="O59" s="65">
        <v>0</v>
      </c>
      <c r="P59" s="800">
        <f t="shared" si="3"/>
        <v>0</v>
      </c>
    </row>
    <row r="60" spans="1:16" ht="12.75" customHeight="1">
      <c r="A60" s="565" t="s">
        <v>170</v>
      </c>
      <c r="B60" s="660">
        <v>43983</v>
      </c>
      <c r="C60" s="661">
        <v>0</v>
      </c>
      <c r="D60" s="660">
        <v>44013</v>
      </c>
      <c r="E60" s="824">
        <v>0</v>
      </c>
      <c r="F60" s="791">
        <f t="shared" si="2"/>
        <v>0</v>
      </c>
      <c r="G60" s="339">
        <v>0</v>
      </c>
      <c r="H60" s="339">
        <v>0</v>
      </c>
      <c r="I60" s="339">
        <v>0</v>
      </c>
      <c r="J60" s="339">
        <v>0</v>
      </c>
      <c r="K60" s="339">
        <v>0</v>
      </c>
      <c r="M60" s="777">
        <v>0</v>
      </c>
      <c r="N60" s="877">
        <v>0</v>
      </c>
      <c r="O60" s="777">
        <v>0</v>
      </c>
      <c r="P60" s="792">
        <f t="shared" si="3"/>
        <v>0</v>
      </c>
    </row>
    <row r="61" spans="1:16" ht="12.75" customHeight="1">
      <c r="A61" s="560" t="s">
        <v>169</v>
      </c>
      <c r="B61" s="655">
        <v>43983</v>
      </c>
      <c r="C61" s="656">
        <v>0</v>
      </c>
      <c r="D61" s="655">
        <v>44013</v>
      </c>
      <c r="E61" s="822">
        <v>0</v>
      </c>
      <c r="F61" s="797">
        <f t="shared" si="2"/>
        <v>0</v>
      </c>
      <c r="G61" s="267">
        <v>0</v>
      </c>
      <c r="H61" s="267">
        <v>0</v>
      </c>
      <c r="I61" s="267">
        <v>0</v>
      </c>
      <c r="J61" s="267">
        <v>0</v>
      </c>
      <c r="K61" s="267">
        <v>0</v>
      </c>
      <c r="M61" s="65">
        <v>0</v>
      </c>
      <c r="N61" s="877">
        <v>0</v>
      </c>
      <c r="O61" s="777">
        <v>0</v>
      </c>
      <c r="P61" s="792">
        <f t="shared" si="3"/>
        <v>0</v>
      </c>
    </row>
    <row r="62" spans="1:16" ht="12.75" customHeight="1">
      <c r="A62" s="560" t="s">
        <v>168</v>
      </c>
      <c r="B62" s="655">
        <v>43983</v>
      </c>
      <c r="C62" s="656">
        <v>0</v>
      </c>
      <c r="D62" s="655">
        <v>44013</v>
      </c>
      <c r="E62" s="822">
        <v>0</v>
      </c>
      <c r="F62" s="797">
        <f t="shared" si="2"/>
        <v>0</v>
      </c>
      <c r="G62" s="267">
        <v>0</v>
      </c>
      <c r="H62" s="267">
        <v>0</v>
      </c>
      <c r="I62" s="267">
        <v>0</v>
      </c>
      <c r="J62" s="267">
        <v>0</v>
      </c>
      <c r="K62" s="267">
        <v>0</v>
      </c>
      <c r="M62" s="65">
        <v>0</v>
      </c>
      <c r="N62" s="877">
        <v>0</v>
      </c>
      <c r="O62" s="777">
        <v>0</v>
      </c>
      <c r="P62" s="792">
        <f t="shared" si="3"/>
        <v>0</v>
      </c>
    </row>
    <row r="63" spans="1:16" ht="12.75" customHeight="1">
      <c r="A63" s="560" t="s">
        <v>167</v>
      </c>
      <c r="B63" s="655">
        <v>43983</v>
      </c>
      <c r="C63" s="656">
        <v>0</v>
      </c>
      <c r="D63" s="655">
        <v>44013</v>
      </c>
      <c r="E63" s="822">
        <v>0</v>
      </c>
      <c r="F63" s="797">
        <f t="shared" si="2"/>
        <v>0</v>
      </c>
      <c r="G63" s="267">
        <v>0</v>
      </c>
      <c r="H63" s="267">
        <v>0</v>
      </c>
      <c r="I63" s="267">
        <v>0</v>
      </c>
      <c r="J63" s="267">
        <v>0</v>
      </c>
      <c r="K63" s="267">
        <v>0</v>
      </c>
      <c r="M63" s="65">
        <v>0</v>
      </c>
      <c r="N63" s="877">
        <v>0</v>
      </c>
      <c r="O63" s="777">
        <v>0</v>
      </c>
      <c r="P63" s="792">
        <f t="shared" si="3"/>
        <v>0</v>
      </c>
    </row>
    <row r="64" spans="1:16" ht="12.75" customHeight="1">
      <c r="A64" s="560" t="s">
        <v>166</v>
      </c>
      <c r="B64" s="655">
        <v>43983</v>
      </c>
      <c r="C64" s="656">
        <v>0</v>
      </c>
      <c r="D64" s="655">
        <v>44013</v>
      </c>
      <c r="E64" s="822">
        <v>0</v>
      </c>
      <c r="F64" s="797">
        <f t="shared" si="2"/>
        <v>0</v>
      </c>
      <c r="G64" s="267">
        <v>0</v>
      </c>
      <c r="H64" s="267">
        <v>0</v>
      </c>
      <c r="I64" s="267">
        <v>0</v>
      </c>
      <c r="J64" s="267">
        <v>0</v>
      </c>
      <c r="K64" s="267">
        <v>0</v>
      </c>
      <c r="M64" s="65">
        <v>0</v>
      </c>
      <c r="N64" s="877">
        <v>0</v>
      </c>
      <c r="O64" s="777">
        <v>0</v>
      </c>
      <c r="P64" s="792">
        <f t="shared" si="3"/>
        <v>0</v>
      </c>
    </row>
    <row r="65" spans="1:16" ht="12.75" customHeight="1">
      <c r="A65" s="560" t="s">
        <v>11</v>
      </c>
      <c r="B65" s="655">
        <v>43983</v>
      </c>
      <c r="C65" s="656">
        <v>0</v>
      </c>
      <c r="D65" s="655">
        <v>44013</v>
      </c>
      <c r="E65" s="822">
        <v>5892506</v>
      </c>
      <c r="F65" s="797">
        <f t="shared" si="2"/>
        <v>5892506</v>
      </c>
      <c r="G65" s="862">
        <v>3023444</v>
      </c>
      <c r="H65" s="862">
        <v>551097</v>
      </c>
      <c r="I65" s="862">
        <v>2061493</v>
      </c>
      <c r="J65" s="862">
        <v>256472</v>
      </c>
      <c r="K65" s="267">
        <v>0</v>
      </c>
      <c r="M65" s="65">
        <v>218936</v>
      </c>
      <c r="N65" s="877">
        <v>3359</v>
      </c>
      <c r="O65" s="777">
        <v>34177</v>
      </c>
      <c r="P65" s="792">
        <f t="shared" si="3"/>
        <v>256472</v>
      </c>
    </row>
    <row r="66" spans="1:16" ht="12.75" customHeight="1">
      <c r="A66" s="560" t="s">
        <v>165</v>
      </c>
      <c r="B66" s="655">
        <v>43983</v>
      </c>
      <c r="C66" s="656">
        <v>0</v>
      </c>
      <c r="D66" s="655">
        <v>44013</v>
      </c>
      <c r="E66" s="822">
        <v>0</v>
      </c>
      <c r="F66" s="797">
        <f t="shared" si="2"/>
        <v>0</v>
      </c>
      <c r="G66" s="267">
        <v>0</v>
      </c>
      <c r="H66" s="267">
        <v>0</v>
      </c>
      <c r="I66" s="267">
        <v>0</v>
      </c>
      <c r="J66" s="267">
        <v>0</v>
      </c>
      <c r="K66" s="267">
        <v>0</v>
      </c>
      <c r="M66" s="65">
        <v>0</v>
      </c>
      <c r="N66" s="877">
        <v>0</v>
      </c>
      <c r="O66" s="777">
        <v>0</v>
      </c>
      <c r="P66" s="792">
        <f t="shared" si="3"/>
        <v>0</v>
      </c>
    </row>
    <row r="67" spans="1:16" ht="12.75" customHeight="1">
      <c r="A67" s="560" t="s">
        <v>164</v>
      </c>
      <c r="B67" s="655">
        <v>43739</v>
      </c>
      <c r="C67" s="345">
        <v>2</v>
      </c>
      <c r="D67" s="655">
        <v>44013</v>
      </c>
      <c r="E67" s="822">
        <v>0</v>
      </c>
      <c r="F67" s="797">
        <f t="shared" si="2"/>
        <v>0</v>
      </c>
      <c r="G67" s="267">
        <v>0</v>
      </c>
      <c r="H67" s="267">
        <v>0</v>
      </c>
      <c r="I67" s="267">
        <v>0</v>
      </c>
      <c r="J67" s="267">
        <v>0</v>
      </c>
      <c r="K67" s="267">
        <v>0</v>
      </c>
      <c r="M67" s="65">
        <v>0</v>
      </c>
      <c r="N67" s="877">
        <v>0</v>
      </c>
      <c r="O67" s="777">
        <v>0</v>
      </c>
      <c r="P67" s="792">
        <f t="shared" si="3"/>
        <v>0</v>
      </c>
    </row>
    <row r="68" spans="1:16" ht="12.75" customHeight="1">
      <c r="A68" s="560" t="s">
        <v>164</v>
      </c>
      <c r="B68" s="655">
        <v>43862</v>
      </c>
      <c r="C68" s="345">
        <v>1</v>
      </c>
      <c r="D68" s="655">
        <v>44013</v>
      </c>
      <c r="E68" s="822">
        <v>0</v>
      </c>
      <c r="F68" s="797">
        <f t="shared" si="2"/>
        <v>0</v>
      </c>
      <c r="G68" s="267">
        <v>0</v>
      </c>
      <c r="H68" s="267">
        <v>0</v>
      </c>
      <c r="I68" s="267">
        <v>0</v>
      </c>
      <c r="J68" s="267">
        <v>0</v>
      </c>
      <c r="K68" s="267">
        <v>0</v>
      </c>
      <c r="M68" s="65">
        <v>0</v>
      </c>
      <c r="N68" s="877">
        <v>0</v>
      </c>
      <c r="O68" s="777">
        <v>0</v>
      </c>
      <c r="P68" s="792">
        <f t="shared" si="3"/>
        <v>0</v>
      </c>
    </row>
    <row r="69" spans="1:16" ht="12.75" customHeight="1">
      <c r="A69" s="560" t="s">
        <v>164</v>
      </c>
      <c r="B69" s="655">
        <v>43922</v>
      </c>
      <c r="C69" s="345">
        <v>1</v>
      </c>
      <c r="D69" s="655">
        <v>44013</v>
      </c>
      <c r="E69" s="822">
        <v>0</v>
      </c>
      <c r="F69" s="797">
        <f t="shared" si="2"/>
        <v>0</v>
      </c>
      <c r="G69" s="267">
        <v>0</v>
      </c>
      <c r="H69" s="267">
        <v>0</v>
      </c>
      <c r="I69" s="267">
        <v>0</v>
      </c>
      <c r="J69" s="267">
        <v>0</v>
      </c>
      <c r="K69" s="267">
        <v>0</v>
      </c>
      <c r="M69" s="65">
        <v>0</v>
      </c>
      <c r="N69" s="877">
        <v>0</v>
      </c>
      <c r="O69" s="777">
        <v>0</v>
      </c>
      <c r="P69" s="792">
        <f t="shared" si="3"/>
        <v>0</v>
      </c>
    </row>
    <row r="70" spans="1:16" ht="12.75" customHeight="1">
      <c r="A70" s="560" t="s">
        <v>164</v>
      </c>
      <c r="B70" s="655">
        <v>43952</v>
      </c>
      <c r="C70" s="345">
        <v>1</v>
      </c>
      <c r="D70" s="655">
        <v>44013</v>
      </c>
      <c r="E70" s="822">
        <v>0</v>
      </c>
      <c r="F70" s="797">
        <f t="shared" si="2"/>
        <v>0</v>
      </c>
      <c r="G70" s="267">
        <v>0</v>
      </c>
      <c r="H70" s="267">
        <v>0</v>
      </c>
      <c r="I70" s="267">
        <v>0</v>
      </c>
      <c r="J70" s="267">
        <v>0</v>
      </c>
      <c r="K70" s="267">
        <v>0</v>
      </c>
      <c r="M70" s="65">
        <v>0</v>
      </c>
      <c r="N70" s="877">
        <v>0</v>
      </c>
      <c r="O70" s="777">
        <v>0</v>
      </c>
      <c r="P70" s="792">
        <f t="shared" si="3"/>
        <v>0</v>
      </c>
    </row>
    <row r="71" spans="1:16" ht="12.75" customHeight="1">
      <c r="A71" s="560" t="s">
        <v>164</v>
      </c>
      <c r="B71" s="655">
        <v>43983</v>
      </c>
      <c r="C71" s="656">
        <v>0</v>
      </c>
      <c r="D71" s="655">
        <v>44013</v>
      </c>
      <c r="E71" s="822">
        <v>0</v>
      </c>
      <c r="F71" s="797">
        <f t="shared" si="2"/>
        <v>0</v>
      </c>
      <c r="G71" s="267">
        <v>0</v>
      </c>
      <c r="H71" s="267">
        <v>0</v>
      </c>
      <c r="I71" s="267">
        <v>0</v>
      </c>
      <c r="J71" s="267">
        <v>0</v>
      </c>
      <c r="K71" s="267">
        <v>0</v>
      </c>
      <c r="M71" s="65">
        <v>0</v>
      </c>
      <c r="N71" s="877">
        <v>0</v>
      </c>
      <c r="O71" s="777">
        <v>0</v>
      </c>
      <c r="P71" s="792">
        <f t="shared" si="3"/>
        <v>0</v>
      </c>
    </row>
    <row r="72" spans="1:16" ht="12.75" customHeight="1">
      <c r="A72" s="560" t="s">
        <v>163</v>
      </c>
      <c r="B72" s="655">
        <v>43983</v>
      </c>
      <c r="C72" s="656">
        <v>0</v>
      </c>
      <c r="D72" s="655">
        <v>44013</v>
      </c>
      <c r="E72" s="822">
        <v>0</v>
      </c>
      <c r="F72" s="797">
        <f t="shared" si="2"/>
        <v>0</v>
      </c>
      <c r="G72" s="267">
        <v>0</v>
      </c>
      <c r="H72" s="267">
        <v>0</v>
      </c>
      <c r="I72" s="267">
        <v>0</v>
      </c>
      <c r="J72" s="267">
        <v>0</v>
      </c>
      <c r="K72" s="267">
        <v>0</v>
      </c>
      <c r="M72" s="65">
        <v>0</v>
      </c>
      <c r="N72" s="877">
        <v>0</v>
      </c>
      <c r="O72" s="777">
        <v>0</v>
      </c>
      <c r="P72" s="792">
        <f t="shared" si="3"/>
        <v>0</v>
      </c>
    </row>
    <row r="73" spans="1:16" ht="12.75" customHeight="1">
      <c r="A73" s="560" t="s">
        <v>162</v>
      </c>
      <c r="B73" s="655">
        <v>43983</v>
      </c>
      <c r="C73" s="656">
        <v>0</v>
      </c>
      <c r="D73" s="655">
        <v>44013</v>
      </c>
      <c r="E73" s="822">
        <v>0</v>
      </c>
      <c r="F73" s="797">
        <f t="shared" si="2"/>
        <v>0</v>
      </c>
      <c r="G73" s="267">
        <v>0</v>
      </c>
      <c r="H73" s="267">
        <v>0</v>
      </c>
      <c r="I73" s="267">
        <v>0</v>
      </c>
      <c r="J73" s="267">
        <v>0</v>
      </c>
      <c r="K73" s="267">
        <v>0</v>
      </c>
      <c r="M73" s="65">
        <v>0</v>
      </c>
      <c r="N73" s="877">
        <v>0</v>
      </c>
      <c r="O73" s="777">
        <v>0</v>
      </c>
      <c r="P73" s="792">
        <f t="shared" si="3"/>
        <v>0</v>
      </c>
    </row>
    <row r="74" spans="1:16" ht="12.75" customHeight="1">
      <c r="A74" s="560" t="s">
        <v>161</v>
      </c>
      <c r="B74" s="655">
        <v>43983</v>
      </c>
      <c r="C74" s="656">
        <v>0</v>
      </c>
      <c r="D74" s="655">
        <v>44013</v>
      </c>
      <c r="E74" s="822">
        <v>0</v>
      </c>
      <c r="F74" s="797">
        <f t="shared" si="2"/>
        <v>0</v>
      </c>
      <c r="G74" s="267">
        <v>0</v>
      </c>
      <c r="H74" s="267">
        <v>0</v>
      </c>
      <c r="I74" s="267">
        <v>0</v>
      </c>
      <c r="J74" s="267">
        <v>0</v>
      </c>
      <c r="K74" s="267">
        <v>0</v>
      </c>
      <c r="M74" s="65">
        <v>0</v>
      </c>
      <c r="N74" s="877">
        <v>0</v>
      </c>
      <c r="O74" s="777">
        <v>0</v>
      </c>
      <c r="P74" s="792">
        <f t="shared" si="3"/>
        <v>0</v>
      </c>
    </row>
    <row r="75" spans="1:16" ht="12.75" customHeight="1">
      <c r="A75" s="560" t="s">
        <v>160</v>
      </c>
      <c r="B75" s="655">
        <v>43983</v>
      </c>
      <c r="C75" s="656">
        <v>0</v>
      </c>
      <c r="D75" s="655">
        <v>44013</v>
      </c>
      <c r="E75" s="822">
        <v>0</v>
      </c>
      <c r="F75" s="797">
        <f>SUM(G75:K75)</f>
        <v>0</v>
      </c>
      <c r="G75" s="267">
        <v>0</v>
      </c>
      <c r="H75" s="267">
        <v>0</v>
      </c>
      <c r="I75" s="267">
        <v>0</v>
      </c>
      <c r="J75" s="267">
        <v>0</v>
      </c>
      <c r="K75" s="267">
        <v>0</v>
      </c>
      <c r="M75" s="65">
        <v>0</v>
      </c>
      <c r="N75" s="877">
        <v>0</v>
      </c>
      <c r="O75" s="777">
        <v>0</v>
      </c>
      <c r="P75" s="792">
        <f>SUM(M75:O75)</f>
        <v>0</v>
      </c>
    </row>
    <row r="76" spans="1:16" ht="12.75" customHeight="1">
      <c r="A76" s="560" t="s">
        <v>159</v>
      </c>
      <c r="B76" s="655">
        <v>43983</v>
      </c>
      <c r="C76" s="656">
        <v>0</v>
      </c>
      <c r="D76" s="655">
        <v>44013</v>
      </c>
      <c r="E76" s="822">
        <v>0</v>
      </c>
      <c r="F76" s="797">
        <f t="shared" si="2"/>
        <v>0</v>
      </c>
      <c r="G76" s="267">
        <v>0</v>
      </c>
      <c r="H76" s="267">
        <v>0</v>
      </c>
      <c r="I76" s="267">
        <v>0</v>
      </c>
      <c r="J76" s="267">
        <v>0</v>
      </c>
      <c r="K76" s="267">
        <v>0</v>
      </c>
      <c r="M76" s="65">
        <v>0</v>
      </c>
      <c r="N76" s="877">
        <v>0</v>
      </c>
      <c r="O76" s="777">
        <v>0</v>
      </c>
      <c r="P76" s="792">
        <f t="shared" si="3"/>
        <v>0</v>
      </c>
    </row>
    <row r="77" spans="1:16" ht="12.75" customHeight="1">
      <c r="A77" s="560" t="s">
        <v>158</v>
      </c>
      <c r="B77" s="655">
        <v>43983</v>
      </c>
      <c r="C77" s="656">
        <v>0</v>
      </c>
      <c r="D77" s="655">
        <v>44013</v>
      </c>
      <c r="E77" s="822">
        <v>0</v>
      </c>
      <c r="F77" s="797">
        <f t="shared" si="2"/>
        <v>0</v>
      </c>
      <c r="G77" s="267">
        <v>0</v>
      </c>
      <c r="H77" s="267">
        <v>0</v>
      </c>
      <c r="I77" s="267">
        <v>0</v>
      </c>
      <c r="J77" s="267">
        <v>0</v>
      </c>
      <c r="K77" s="267">
        <v>0</v>
      </c>
      <c r="M77" s="65">
        <v>0</v>
      </c>
      <c r="N77" s="877">
        <v>0</v>
      </c>
      <c r="O77" s="777">
        <v>0</v>
      </c>
      <c r="P77" s="792">
        <f t="shared" si="3"/>
        <v>0</v>
      </c>
    </row>
    <row r="78" spans="1:16" ht="12.75" customHeight="1">
      <c r="A78" s="560" t="s">
        <v>157</v>
      </c>
      <c r="B78" s="655">
        <v>43983</v>
      </c>
      <c r="C78" s="656">
        <v>0</v>
      </c>
      <c r="D78" s="655">
        <v>44013</v>
      </c>
      <c r="E78" s="822">
        <v>0</v>
      </c>
      <c r="F78" s="797">
        <f t="shared" si="2"/>
        <v>0</v>
      </c>
      <c r="G78" s="267">
        <v>0</v>
      </c>
      <c r="H78" s="267">
        <v>0</v>
      </c>
      <c r="I78" s="267">
        <v>0</v>
      </c>
      <c r="J78" s="267">
        <v>0</v>
      </c>
      <c r="K78" s="267">
        <v>0</v>
      </c>
      <c r="M78" s="65">
        <v>0</v>
      </c>
      <c r="N78" s="877">
        <v>0</v>
      </c>
      <c r="O78" s="777">
        <v>0</v>
      </c>
      <c r="P78" s="792">
        <f t="shared" si="3"/>
        <v>0</v>
      </c>
    </row>
    <row r="79" spans="1:16" ht="12.75" customHeight="1">
      <c r="A79" s="560" t="s">
        <v>156</v>
      </c>
      <c r="B79" s="655">
        <v>43983</v>
      </c>
      <c r="C79" s="656">
        <v>0</v>
      </c>
      <c r="D79" s="655">
        <v>44013</v>
      </c>
      <c r="E79" s="822">
        <v>0</v>
      </c>
      <c r="F79" s="797">
        <f t="shared" si="2"/>
        <v>0</v>
      </c>
      <c r="G79" s="267">
        <v>0</v>
      </c>
      <c r="H79" s="267">
        <v>0</v>
      </c>
      <c r="I79" s="267">
        <v>0</v>
      </c>
      <c r="J79" s="267">
        <v>0</v>
      </c>
      <c r="K79" s="267">
        <v>0</v>
      </c>
      <c r="M79" s="65">
        <v>0</v>
      </c>
      <c r="N79" s="877">
        <v>0</v>
      </c>
      <c r="O79" s="777">
        <v>0</v>
      </c>
      <c r="P79" s="792">
        <f t="shared" si="3"/>
        <v>0</v>
      </c>
    </row>
    <row r="80" spans="1:16" ht="12.75" customHeight="1">
      <c r="A80" s="560" t="s">
        <v>155</v>
      </c>
      <c r="B80" s="655">
        <v>43983</v>
      </c>
      <c r="C80" s="656">
        <v>0</v>
      </c>
      <c r="D80" s="655">
        <v>44013</v>
      </c>
      <c r="E80" s="822">
        <v>0</v>
      </c>
      <c r="F80" s="797">
        <f t="shared" si="2"/>
        <v>0</v>
      </c>
      <c r="G80" s="267">
        <v>0</v>
      </c>
      <c r="H80" s="267">
        <v>0</v>
      </c>
      <c r="I80" s="267">
        <v>0</v>
      </c>
      <c r="J80" s="267">
        <v>0</v>
      </c>
      <c r="K80" s="267">
        <v>0</v>
      </c>
      <c r="M80" s="65">
        <v>0</v>
      </c>
      <c r="N80" s="877">
        <v>0</v>
      </c>
      <c r="O80" s="777">
        <v>0</v>
      </c>
      <c r="P80" s="792">
        <f t="shared" si="3"/>
        <v>0</v>
      </c>
    </row>
    <row r="81" spans="1:16" ht="12.75" customHeight="1" thickBot="1">
      <c r="A81" s="752" t="s">
        <v>154</v>
      </c>
      <c r="B81" s="655">
        <v>43952</v>
      </c>
      <c r="C81" s="345">
        <v>1</v>
      </c>
      <c r="D81" s="655">
        <v>44013</v>
      </c>
      <c r="E81" s="823">
        <v>0</v>
      </c>
      <c r="F81" s="793">
        <f t="shared" si="2"/>
        <v>0</v>
      </c>
      <c r="G81" s="267">
        <v>0</v>
      </c>
      <c r="H81" s="267">
        <v>0</v>
      </c>
      <c r="I81" s="267">
        <v>0</v>
      </c>
      <c r="J81" s="267">
        <v>0</v>
      </c>
      <c r="K81" s="267">
        <v>0</v>
      </c>
      <c r="M81" s="65">
        <v>0</v>
      </c>
      <c r="N81" s="877">
        <v>0</v>
      </c>
      <c r="O81" s="777">
        <v>0</v>
      </c>
      <c r="P81" s="792">
        <f t="shared" si="3"/>
        <v>0</v>
      </c>
    </row>
    <row r="82" spans="1:16" ht="12.75" customHeight="1" thickBot="1">
      <c r="A82" s="657" t="s">
        <v>154</v>
      </c>
      <c r="B82" s="655">
        <v>43983</v>
      </c>
      <c r="C82" s="656">
        <v>0</v>
      </c>
      <c r="D82" s="655">
        <v>44013</v>
      </c>
      <c r="E82" s="823">
        <v>0</v>
      </c>
      <c r="F82" s="793">
        <f t="shared" si="2"/>
        <v>0</v>
      </c>
      <c r="G82" s="267">
        <v>0</v>
      </c>
      <c r="H82" s="267">
        <v>0</v>
      </c>
      <c r="I82" s="267">
        <v>0</v>
      </c>
      <c r="J82" s="267">
        <v>0</v>
      </c>
      <c r="K82" s="267">
        <v>0</v>
      </c>
      <c r="M82" s="65">
        <v>0</v>
      </c>
      <c r="N82" s="877">
        <v>0</v>
      </c>
      <c r="O82" s="777">
        <v>0</v>
      </c>
      <c r="P82" s="792">
        <f t="shared" si="3"/>
        <v>0</v>
      </c>
    </row>
    <row r="83" spans="1:16" ht="3.65" customHeight="1">
      <c r="A83" s="662"/>
      <c r="B83" s="663"/>
      <c r="C83" s="664"/>
      <c r="D83" s="665"/>
      <c r="E83" s="666"/>
      <c r="F83" s="666"/>
      <c r="G83" s="666"/>
      <c r="H83" s="666"/>
      <c r="I83" s="666"/>
      <c r="J83" s="667"/>
      <c r="K83" s="667"/>
      <c r="L83" s="723">
        <v>0</v>
      </c>
      <c r="M83" s="726"/>
      <c r="N83" s="727"/>
      <c r="O83" s="727"/>
      <c r="P83" s="727"/>
    </row>
    <row r="84" spans="1:16" ht="13">
      <c r="A84" s="784" t="s">
        <v>59</v>
      </c>
      <c r="B84" s="784"/>
      <c r="C84" s="65"/>
      <c r="D84" s="655">
        <v>43971</v>
      </c>
      <c r="E84" s="65">
        <f t="shared" ref="E84:K84" si="4">SUM(E4:E29)</f>
        <v>4866144</v>
      </c>
      <c r="F84" s="65">
        <f t="shared" si="4"/>
        <v>4866144</v>
      </c>
      <c r="G84" s="65">
        <f t="shared" si="4"/>
        <v>2496817</v>
      </c>
      <c r="H84" s="65">
        <f t="shared" si="4"/>
        <v>455106</v>
      </c>
      <c r="I84" s="65">
        <f t="shared" si="4"/>
        <v>1702421</v>
      </c>
      <c r="J84" s="65">
        <f t="shared" si="4"/>
        <v>211800</v>
      </c>
      <c r="K84" s="65">
        <f t="shared" si="4"/>
        <v>0</v>
      </c>
      <c r="L84" s="723"/>
      <c r="M84" s="65">
        <f>SUM(M4:M29)</f>
        <v>180802</v>
      </c>
      <c r="N84" s="65">
        <f>SUM(N4:N29)</f>
        <v>2774</v>
      </c>
      <c r="O84" s="65">
        <f>SUM(O4:O29)</f>
        <v>28224</v>
      </c>
      <c r="P84" s="65">
        <f>SUM(P4:P29)</f>
        <v>211800</v>
      </c>
    </row>
    <row r="85" spans="1:16" ht="13">
      <c r="A85" s="784" t="s">
        <v>59</v>
      </c>
      <c r="B85" s="785"/>
      <c r="C85" s="65"/>
      <c r="D85" s="655">
        <v>44002</v>
      </c>
      <c r="E85" s="65">
        <f t="shared" ref="E85:K85" si="5">SUM(E30:E55)</f>
        <v>4672191</v>
      </c>
      <c r="F85" s="65">
        <f t="shared" si="5"/>
        <v>4672191</v>
      </c>
      <c r="G85" s="65">
        <f t="shared" si="5"/>
        <v>2397301</v>
      </c>
      <c r="H85" s="65">
        <f t="shared" si="5"/>
        <v>436967</v>
      </c>
      <c r="I85" s="65">
        <f t="shared" si="5"/>
        <v>1634566</v>
      </c>
      <c r="J85" s="65">
        <f t="shared" si="5"/>
        <v>203357</v>
      </c>
      <c r="K85" s="65">
        <f t="shared" si="5"/>
        <v>0</v>
      </c>
      <c r="L85" s="723"/>
      <c r="M85" s="65">
        <f>SUM(M30:M55)</f>
        <v>173595</v>
      </c>
      <c r="N85" s="65">
        <f>SUM(N30:N55)</f>
        <v>2663</v>
      </c>
      <c r="O85" s="65">
        <f>SUM(O30:O55)</f>
        <v>27099</v>
      </c>
      <c r="P85" s="65">
        <f>SUM(P30:P55)</f>
        <v>203357</v>
      </c>
    </row>
    <row r="86" spans="1:16" ht="13.5" thickBot="1">
      <c r="A86" s="786" t="s">
        <v>59</v>
      </c>
      <c r="B86" s="787"/>
      <c r="C86" s="668"/>
      <c r="D86" s="658">
        <v>44032</v>
      </c>
      <c r="E86" s="668">
        <f t="shared" ref="E86:K86" si="6">SUM(E56:E82)</f>
        <v>5892506</v>
      </c>
      <c r="F86" s="668">
        <f t="shared" si="6"/>
        <v>5892506</v>
      </c>
      <c r="G86" s="668">
        <f t="shared" si="6"/>
        <v>3023444</v>
      </c>
      <c r="H86" s="668">
        <f t="shared" si="6"/>
        <v>551097</v>
      </c>
      <c r="I86" s="668">
        <f t="shared" si="6"/>
        <v>2061493</v>
      </c>
      <c r="J86" s="668">
        <f t="shared" si="6"/>
        <v>256472</v>
      </c>
      <c r="K86" s="668">
        <f t="shared" si="6"/>
        <v>0</v>
      </c>
      <c r="L86" s="723"/>
      <c r="M86" s="668">
        <f>SUM(M56:M82)</f>
        <v>218936</v>
      </c>
      <c r="N86" s="668">
        <f>SUM(N56:N82)</f>
        <v>3359</v>
      </c>
      <c r="O86" s="668">
        <f>SUM(O56:O82)</f>
        <v>34177</v>
      </c>
      <c r="P86" s="668">
        <f>SUM(P56:P82)</f>
        <v>256472</v>
      </c>
    </row>
    <row r="87" spans="1:16" ht="13.5" thickBot="1">
      <c r="A87" s="670" t="s">
        <v>58</v>
      </c>
      <c r="B87" s="671"/>
      <c r="C87" s="668"/>
      <c r="D87" s="671"/>
      <c r="E87" s="668">
        <f t="shared" ref="E87:K87" si="7">SUM(E84:E86)</f>
        <v>15430841</v>
      </c>
      <c r="F87" s="668">
        <f t="shared" si="7"/>
        <v>15430841</v>
      </c>
      <c r="G87" s="668">
        <f t="shared" si="7"/>
        <v>7917562</v>
      </c>
      <c r="H87" s="668">
        <f t="shared" si="7"/>
        <v>1443170</v>
      </c>
      <c r="I87" s="668">
        <f t="shared" si="7"/>
        <v>5398480</v>
      </c>
      <c r="J87" s="668">
        <f t="shared" si="7"/>
        <v>671629</v>
      </c>
      <c r="K87" s="668">
        <f t="shared" si="7"/>
        <v>0</v>
      </c>
      <c r="L87" s="723"/>
      <c r="M87" s="668">
        <f t="shared" ref="M87:P87" si="8">SUM(M84:M86)</f>
        <v>573333</v>
      </c>
      <c r="N87" s="668">
        <f t="shared" si="8"/>
        <v>8796</v>
      </c>
      <c r="O87" s="668">
        <f t="shared" si="8"/>
        <v>89500</v>
      </c>
      <c r="P87" s="668">
        <f t="shared" si="8"/>
        <v>671629</v>
      </c>
    </row>
    <row r="88" spans="1:16">
      <c r="A88" s="58" t="s">
        <v>57</v>
      </c>
      <c r="B88" s="655"/>
      <c r="C88" s="655"/>
      <c r="D88" s="655"/>
      <c r="E88" s="65"/>
      <c r="F88" s="65"/>
      <c r="G88" s="65">
        <v>2</v>
      </c>
      <c r="H88" s="65">
        <v>0</v>
      </c>
      <c r="I88" s="65">
        <v>0</v>
      </c>
      <c r="J88" s="65">
        <v>-2</v>
      </c>
      <c r="K88" s="65">
        <v>0</v>
      </c>
      <c r="L88" s="12"/>
      <c r="M88" s="777">
        <v>-1</v>
      </c>
      <c r="N88" s="777">
        <v>0</v>
      </c>
      <c r="O88" s="777">
        <v>-1</v>
      </c>
      <c r="P88" s="777">
        <v>-2</v>
      </c>
    </row>
    <row r="89" spans="1:16" ht="3" customHeight="1">
      <c r="A89" s="672"/>
      <c r="B89" s="673"/>
      <c r="C89" s="674"/>
      <c r="D89" s="674"/>
      <c r="E89" s="674"/>
      <c r="F89" s="674"/>
      <c r="G89" s="674"/>
      <c r="H89" s="674"/>
      <c r="I89" s="674"/>
      <c r="J89" s="869"/>
      <c r="K89" s="869"/>
      <c r="M89" s="789"/>
      <c r="N89" s="674"/>
      <c r="O89" s="674"/>
      <c r="P89" s="674"/>
    </row>
    <row r="90" spans="1:16" ht="13">
      <c r="A90" s="16" t="s">
        <v>48</v>
      </c>
      <c r="B90" s="105" t="s">
        <v>303</v>
      </c>
      <c r="C90" s="62"/>
      <c r="D90" s="62"/>
      <c r="E90" s="62">
        <f t="shared" ref="E90:P90" si="9">SUM(E87:E88)</f>
        <v>15430841</v>
      </c>
      <c r="F90" s="62">
        <f t="shared" si="9"/>
        <v>15430841</v>
      </c>
      <c r="G90" s="62">
        <f t="shared" si="9"/>
        <v>7917564</v>
      </c>
      <c r="H90" s="62">
        <f t="shared" si="9"/>
        <v>1443170</v>
      </c>
      <c r="I90" s="62">
        <f t="shared" si="9"/>
        <v>5398480</v>
      </c>
      <c r="J90" s="62">
        <f t="shared" si="9"/>
        <v>671627</v>
      </c>
      <c r="K90" s="62">
        <f t="shared" si="9"/>
        <v>0</v>
      </c>
      <c r="L90" s="790"/>
      <c r="M90" s="62">
        <f t="shared" si="9"/>
        <v>573332</v>
      </c>
      <c r="N90" s="62">
        <f t="shared" si="9"/>
        <v>8796</v>
      </c>
      <c r="O90" s="62">
        <f t="shared" si="9"/>
        <v>89499</v>
      </c>
      <c r="P90" s="62">
        <f t="shared" si="9"/>
        <v>671627</v>
      </c>
    </row>
    <row r="91" spans="1:16">
      <c r="F91" s="12"/>
      <c r="M91" s="89"/>
      <c r="N91" s="89"/>
      <c r="O91" s="89"/>
      <c r="P91" s="12"/>
    </row>
    <row r="92" spans="1:16">
      <c r="E92" s="12"/>
      <c r="F92" s="12"/>
      <c r="G92" s="12"/>
      <c r="H92" s="12"/>
      <c r="I92" s="12"/>
      <c r="J92" s="12"/>
      <c r="K92" s="12"/>
      <c r="L92" s="12"/>
      <c r="M92" s="12"/>
      <c r="N92" s="12"/>
      <c r="O92" s="12"/>
      <c r="P92" s="12"/>
    </row>
    <row r="93" spans="1:16">
      <c r="E93" s="675"/>
      <c r="F93" s="12"/>
      <c r="G93" s="675"/>
      <c r="H93" s="675"/>
      <c r="I93" s="675"/>
      <c r="J93" s="675"/>
      <c r="K93" s="675"/>
      <c r="L93" s="675"/>
      <c r="M93" s="675"/>
      <c r="N93" s="675"/>
      <c r="O93" s="675"/>
      <c r="P93" s="675"/>
    </row>
    <row r="94" spans="1:16">
      <c r="E94" s="12"/>
      <c r="F94" s="12"/>
      <c r="G94" s="764"/>
      <c r="H94" s="12"/>
      <c r="I94" s="12"/>
      <c r="J94" s="12"/>
      <c r="K94" s="12"/>
      <c r="L94" s="12"/>
      <c r="M94" s="12"/>
      <c r="N94" s="12"/>
      <c r="O94" s="12"/>
      <c r="P94" s="12"/>
    </row>
    <row r="95" spans="1:16">
      <c r="E95" s="12"/>
      <c r="M95" s="91"/>
      <c r="N95" s="91"/>
      <c r="O95" s="91"/>
      <c r="P95" s="85"/>
    </row>
    <row r="96" spans="1:16">
      <c r="E96" s="12"/>
      <c r="M96" s="12"/>
      <c r="N96" s="12"/>
      <c r="O96" s="12"/>
      <c r="P96" s="12"/>
    </row>
    <row r="97" spans="8:16">
      <c r="M97" s="12"/>
      <c r="N97" s="12"/>
      <c r="O97" s="12"/>
      <c r="P97" s="12"/>
    </row>
    <row r="98" spans="8:16">
      <c r="M98" s="12"/>
      <c r="N98" s="12"/>
      <c r="O98" s="12"/>
      <c r="P98" s="12"/>
    </row>
    <row r="99" spans="8:16">
      <c r="M99" s="12"/>
      <c r="N99" s="12"/>
      <c r="O99" s="12"/>
      <c r="P99" s="12"/>
    </row>
    <row r="100" spans="8:16">
      <c r="M100" s="12"/>
      <c r="N100" s="12"/>
      <c r="O100" s="12"/>
      <c r="P100" s="12"/>
    </row>
    <row r="101" spans="8:16">
      <c r="M101" s="12"/>
      <c r="N101" s="12"/>
      <c r="O101" s="12"/>
      <c r="P101" s="12"/>
    </row>
    <row r="104" spans="8:16">
      <c r="H104" s="676"/>
    </row>
  </sheetData>
  <mergeCells count="1">
    <mergeCell ref="A1:L1"/>
  </mergeCells>
  <conditionalFormatting sqref="L83 L71:L76 L61:L66">
    <cfRule type="cellIs" dxfId="29" priority="26" operator="equal">
      <formula>0</formula>
    </cfRule>
  </conditionalFormatting>
  <conditionalFormatting sqref="L82">
    <cfRule type="cellIs" dxfId="28" priority="19" operator="equal">
      <formula>0</formula>
    </cfRule>
  </conditionalFormatting>
  <conditionalFormatting sqref="L56">
    <cfRule type="cellIs" dxfId="27" priority="25" operator="equal">
      <formula>0</formula>
    </cfRule>
  </conditionalFormatting>
  <conditionalFormatting sqref="L60:L61">
    <cfRule type="cellIs" dxfId="26" priority="24" operator="equal">
      <formula>0</formula>
    </cfRule>
  </conditionalFormatting>
  <conditionalFormatting sqref="L77">
    <cfRule type="cellIs" dxfId="25" priority="23" operator="equal">
      <formula>0</formula>
    </cfRule>
  </conditionalFormatting>
  <conditionalFormatting sqref="L78">
    <cfRule type="cellIs" dxfId="24" priority="22" operator="equal">
      <formula>0</formula>
    </cfRule>
  </conditionalFormatting>
  <conditionalFormatting sqref="L79">
    <cfRule type="cellIs" dxfId="23" priority="21" operator="equal">
      <formula>0</formula>
    </cfRule>
  </conditionalFormatting>
  <conditionalFormatting sqref="L80">
    <cfRule type="cellIs" dxfId="22" priority="20" operator="equal">
      <formula>0</formula>
    </cfRule>
  </conditionalFormatting>
  <conditionalFormatting sqref="L84:L87">
    <cfRule type="cellIs" dxfId="21" priority="18" operator="equal">
      <formula>0</formula>
    </cfRule>
  </conditionalFormatting>
  <conditionalFormatting sqref="L32:L36">
    <cfRule type="cellIs" dxfId="20" priority="8" operator="equal">
      <formula>0</formula>
    </cfRule>
  </conditionalFormatting>
  <conditionalFormatting sqref="L4:L11 L23:L29 L13:L16 L31 L37:L38 L40:L55">
    <cfRule type="cellIs" dxfId="19" priority="17" operator="equal">
      <formula>0</formula>
    </cfRule>
  </conditionalFormatting>
  <conditionalFormatting sqref="L17">
    <cfRule type="cellIs" dxfId="18" priority="16" operator="equal">
      <formula>0</formula>
    </cfRule>
  </conditionalFormatting>
  <conditionalFormatting sqref="L18">
    <cfRule type="cellIs" dxfId="17" priority="15" operator="equal">
      <formula>0</formula>
    </cfRule>
  </conditionalFormatting>
  <conditionalFormatting sqref="L19">
    <cfRule type="cellIs" dxfId="16" priority="14" operator="equal">
      <formula>0</formula>
    </cfRule>
  </conditionalFormatting>
  <conditionalFormatting sqref="L20">
    <cfRule type="cellIs" dxfId="15" priority="13" operator="equal">
      <formula>0</formula>
    </cfRule>
  </conditionalFormatting>
  <conditionalFormatting sqref="L21">
    <cfRule type="cellIs" dxfId="14" priority="12" operator="equal">
      <formula>0</formula>
    </cfRule>
  </conditionalFormatting>
  <conditionalFormatting sqref="L22">
    <cfRule type="cellIs" dxfId="13" priority="11" operator="equal">
      <formula>0</formula>
    </cfRule>
  </conditionalFormatting>
  <conditionalFormatting sqref="L12">
    <cfRule type="cellIs" dxfId="12" priority="10" operator="equal">
      <formula>0</formula>
    </cfRule>
  </conditionalFormatting>
  <conditionalFormatting sqref="L30">
    <cfRule type="cellIs" dxfId="11" priority="9" operator="equal">
      <formula>0</formula>
    </cfRule>
  </conditionalFormatting>
  <conditionalFormatting sqref="L81">
    <cfRule type="cellIs" dxfId="10" priority="7" operator="equal">
      <formula>0</formula>
    </cfRule>
  </conditionalFormatting>
  <conditionalFormatting sqref="L67">
    <cfRule type="cellIs" dxfId="9" priority="6" operator="equal">
      <formula>0</formula>
    </cfRule>
  </conditionalFormatting>
  <conditionalFormatting sqref="L68">
    <cfRule type="cellIs" dxfId="8" priority="5" operator="equal">
      <formula>0</formula>
    </cfRule>
  </conditionalFormatting>
  <conditionalFormatting sqref="L69">
    <cfRule type="cellIs" dxfId="7" priority="4" operator="equal">
      <formula>0</formula>
    </cfRule>
  </conditionalFormatting>
  <conditionalFormatting sqref="L70">
    <cfRule type="cellIs" dxfId="6" priority="3" operator="equal">
      <formula>0</formula>
    </cfRule>
  </conditionalFormatting>
  <conditionalFormatting sqref="L57:L59">
    <cfRule type="cellIs" dxfId="5" priority="2" operator="equal">
      <formula>0</formula>
    </cfRule>
  </conditionalFormatting>
  <conditionalFormatting sqref="L39">
    <cfRule type="cellIs" dxfId="4" priority="1" operator="equal">
      <formula>0</formula>
    </cfRule>
  </conditionalFormatting>
  <pageMargins left="0.25" right="0.25" top="0.25" bottom="0.25" header="0.34" footer="0.5"/>
  <pageSetup scale="64" orientation="landscape" r:id="rId1"/>
  <headerFooter>
    <oddHeader>&amp;CCalWIN Maintenance and Operations Project County Claim Summary</oddHeader>
    <oddFooter>&amp;Cpage &amp;P of &amp;N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59999389629810485"/>
    <pageSetUpPr fitToPage="1"/>
  </sheetPr>
  <dimension ref="A1:P104"/>
  <sheetViews>
    <sheetView showGridLines="0" zoomScaleNormal="100" workbookViewId="0">
      <pane xSplit="1" ySplit="3" topLeftCell="J76" activePane="bottomRight" state="frozen"/>
      <selection pane="topRight" activeCell="B1" sqref="B1"/>
      <selection pane="bottomLeft" activeCell="A4" sqref="A4"/>
      <selection pane="bottomRight" activeCell="A4" sqref="A4"/>
    </sheetView>
  </sheetViews>
  <sheetFormatPr defaultColWidth="9.1796875" defaultRowHeight="12.5"/>
  <cols>
    <col min="1" max="1" width="32.1796875" style="1" bestFit="1" customWidth="1"/>
    <col min="2" max="2" width="14.81640625" style="1" hidden="1" customWidth="1"/>
    <col min="3" max="3" width="0" style="1" hidden="1" customWidth="1"/>
    <col min="4" max="4" width="10.54296875" style="1" hidden="1" customWidth="1"/>
    <col min="5" max="5" width="13.7265625" style="1" hidden="1" customWidth="1"/>
    <col min="6" max="6" width="12.453125" style="1" hidden="1" customWidth="1"/>
    <col min="7" max="9" width="12.7265625" style="1" hidden="1" customWidth="1"/>
    <col min="10" max="11" width="12.7265625" style="1" customWidth="1"/>
    <col min="12" max="12" width="6" style="1" customWidth="1"/>
    <col min="13" max="16" width="11.54296875" style="1" customWidth="1"/>
    <col min="17" max="16384" width="9.1796875" style="1"/>
  </cols>
  <sheetData>
    <row r="1" spans="1:16" ht="14">
      <c r="A1" s="999" t="s">
        <v>311</v>
      </c>
      <c r="B1" s="999"/>
      <c r="C1" s="999"/>
      <c r="D1" s="999"/>
      <c r="E1" s="999"/>
      <c r="F1" s="999"/>
      <c r="G1" s="999"/>
      <c r="H1" s="999"/>
      <c r="I1" s="999"/>
      <c r="J1" s="999"/>
      <c r="K1" s="999"/>
      <c r="L1" s="999"/>
    </row>
    <row r="2" spans="1:16" ht="12.75" customHeight="1"/>
    <row r="3" spans="1:16" ht="42.75" customHeight="1">
      <c r="A3" s="848" t="s">
        <v>44</v>
      </c>
      <c r="B3" s="848" t="s">
        <v>68</v>
      </c>
      <c r="C3" s="848" t="s">
        <v>67</v>
      </c>
      <c r="D3" s="848" t="s">
        <v>66</v>
      </c>
      <c r="E3" s="848" t="s">
        <v>214</v>
      </c>
      <c r="F3" s="848" t="s">
        <v>48</v>
      </c>
      <c r="G3" s="848" t="s">
        <v>65</v>
      </c>
      <c r="H3" s="848" t="s">
        <v>64</v>
      </c>
      <c r="I3" s="848" t="s">
        <v>63</v>
      </c>
      <c r="J3" s="853" t="s">
        <v>62</v>
      </c>
      <c r="K3" s="24" t="s">
        <v>61</v>
      </c>
      <c r="M3" s="24" t="s">
        <v>43</v>
      </c>
      <c r="N3" s="24" t="s">
        <v>42</v>
      </c>
      <c r="O3" s="24" t="s">
        <v>138</v>
      </c>
      <c r="P3" s="24" t="s">
        <v>60</v>
      </c>
    </row>
    <row r="4" spans="1:16" ht="12.75" customHeight="1">
      <c r="A4" s="560" t="s">
        <v>171</v>
      </c>
      <c r="B4" s="655">
        <v>43922</v>
      </c>
      <c r="C4" s="656">
        <v>0</v>
      </c>
      <c r="D4" s="655">
        <v>43952</v>
      </c>
      <c r="E4" s="822">
        <v>135382</v>
      </c>
      <c r="F4" s="797">
        <f>SUM(G4:K4)</f>
        <v>135382</v>
      </c>
      <c r="G4" s="342">
        <v>69465</v>
      </c>
      <c r="H4" s="342">
        <v>12661</v>
      </c>
      <c r="I4" s="342">
        <v>47364</v>
      </c>
      <c r="J4" s="342">
        <v>5892</v>
      </c>
      <c r="K4" s="342">
        <v>0</v>
      </c>
      <c r="M4" s="65">
        <v>5030</v>
      </c>
      <c r="N4" s="877">
        <v>77</v>
      </c>
      <c r="O4" s="777">
        <v>785</v>
      </c>
      <c r="P4" s="792">
        <f>SUM(M4:O4)</f>
        <v>5892</v>
      </c>
    </row>
    <row r="5" spans="1:16" ht="12.75" customHeight="1">
      <c r="A5" s="560" t="s">
        <v>170</v>
      </c>
      <c r="B5" s="655">
        <v>43922</v>
      </c>
      <c r="C5" s="656">
        <v>0</v>
      </c>
      <c r="D5" s="655">
        <v>43952</v>
      </c>
      <c r="E5" s="822">
        <v>56103</v>
      </c>
      <c r="F5" s="797">
        <f t="shared" ref="F5:F55" si="0">SUM(G5:K5)</f>
        <v>56103</v>
      </c>
      <c r="G5" s="894">
        <v>28787</v>
      </c>
      <c r="H5" s="894">
        <v>5247</v>
      </c>
      <c r="I5" s="894">
        <v>19628</v>
      </c>
      <c r="J5" s="894">
        <v>2441</v>
      </c>
      <c r="K5" s="894">
        <v>0</v>
      </c>
      <c r="M5" s="65">
        <v>2084</v>
      </c>
      <c r="N5" s="877">
        <v>32</v>
      </c>
      <c r="O5" s="777">
        <v>325</v>
      </c>
      <c r="P5" s="792">
        <f t="shared" ref="P5:P55" si="1">SUM(M5:O5)</f>
        <v>2441</v>
      </c>
    </row>
    <row r="6" spans="1:16" ht="12.75" customHeight="1">
      <c r="A6" s="560" t="s">
        <v>169</v>
      </c>
      <c r="B6" s="655">
        <v>43922</v>
      </c>
      <c r="C6" s="656">
        <v>0</v>
      </c>
      <c r="D6" s="655">
        <v>43952</v>
      </c>
      <c r="E6" s="822">
        <v>60356</v>
      </c>
      <c r="F6" s="797">
        <f t="shared" si="0"/>
        <v>60356</v>
      </c>
      <c r="G6" s="342">
        <v>30969</v>
      </c>
      <c r="H6" s="342">
        <v>5645</v>
      </c>
      <c r="I6" s="342">
        <v>21116</v>
      </c>
      <c r="J6" s="342">
        <v>2626</v>
      </c>
      <c r="K6" s="342">
        <v>0</v>
      </c>
      <c r="M6" s="65">
        <v>2242</v>
      </c>
      <c r="N6" s="877">
        <v>34</v>
      </c>
      <c r="O6" s="777">
        <v>350</v>
      </c>
      <c r="P6" s="792">
        <f t="shared" si="1"/>
        <v>2626</v>
      </c>
    </row>
    <row r="7" spans="1:16" ht="12.75" customHeight="1">
      <c r="A7" s="560" t="s">
        <v>168</v>
      </c>
      <c r="B7" s="655">
        <v>43922</v>
      </c>
      <c r="C7" s="656">
        <v>0</v>
      </c>
      <c r="D7" s="655">
        <v>43952</v>
      </c>
      <c r="E7" s="822">
        <v>93611</v>
      </c>
      <c r="F7" s="797">
        <f t="shared" si="0"/>
        <v>93611</v>
      </c>
      <c r="G7" s="342">
        <v>48032</v>
      </c>
      <c r="H7" s="342">
        <v>8755</v>
      </c>
      <c r="I7" s="342">
        <v>32750</v>
      </c>
      <c r="J7" s="342">
        <v>4074</v>
      </c>
      <c r="K7" s="342">
        <v>0</v>
      </c>
      <c r="M7" s="65">
        <v>3478</v>
      </c>
      <c r="N7" s="877">
        <v>53</v>
      </c>
      <c r="O7" s="777">
        <v>543</v>
      </c>
      <c r="P7" s="792">
        <f t="shared" si="1"/>
        <v>4074</v>
      </c>
    </row>
    <row r="8" spans="1:16" ht="12.75" customHeight="1">
      <c r="A8" s="560" t="s">
        <v>167</v>
      </c>
      <c r="B8" s="655">
        <v>43922</v>
      </c>
      <c r="C8" s="656">
        <v>0</v>
      </c>
      <c r="D8" s="655">
        <v>43952</v>
      </c>
      <c r="E8" s="822">
        <v>68755</v>
      </c>
      <c r="F8" s="797">
        <f t="shared" si="0"/>
        <v>68755</v>
      </c>
      <c r="G8" s="342">
        <v>35277</v>
      </c>
      <c r="H8" s="342">
        <v>6432</v>
      </c>
      <c r="I8" s="342">
        <v>24054</v>
      </c>
      <c r="J8" s="342">
        <v>2992</v>
      </c>
      <c r="K8" s="342">
        <v>0</v>
      </c>
      <c r="M8" s="65">
        <v>2554</v>
      </c>
      <c r="N8" s="877">
        <v>39</v>
      </c>
      <c r="O8" s="777">
        <v>399</v>
      </c>
      <c r="P8" s="792">
        <f t="shared" si="1"/>
        <v>2992</v>
      </c>
    </row>
    <row r="9" spans="1:16" ht="12.75" customHeight="1">
      <c r="A9" s="560" t="s">
        <v>166</v>
      </c>
      <c r="B9" s="655">
        <v>43922</v>
      </c>
      <c r="C9" s="656">
        <v>0</v>
      </c>
      <c r="D9" s="655">
        <v>43952</v>
      </c>
      <c r="E9" s="822">
        <v>268636</v>
      </c>
      <c r="F9" s="797">
        <f t="shared" si="0"/>
        <v>268636</v>
      </c>
      <c r="G9" s="342">
        <v>137837</v>
      </c>
      <c r="H9" s="342">
        <v>25124</v>
      </c>
      <c r="I9" s="342">
        <v>93983</v>
      </c>
      <c r="J9" s="342">
        <v>11692</v>
      </c>
      <c r="K9" s="342">
        <v>0</v>
      </c>
      <c r="M9" s="65">
        <v>9981</v>
      </c>
      <c r="N9" s="877">
        <v>153</v>
      </c>
      <c r="O9" s="777">
        <v>1558</v>
      </c>
      <c r="P9" s="792">
        <f t="shared" si="1"/>
        <v>11692</v>
      </c>
    </row>
    <row r="10" spans="1:16" ht="12.75" customHeight="1">
      <c r="A10" s="560" t="s">
        <v>11</v>
      </c>
      <c r="B10" s="655">
        <v>43922</v>
      </c>
      <c r="C10" s="656">
        <v>0</v>
      </c>
      <c r="D10" s="655">
        <v>43952</v>
      </c>
      <c r="E10" s="822">
        <v>0</v>
      </c>
      <c r="F10" s="797">
        <f t="shared" si="0"/>
        <v>0</v>
      </c>
      <c r="G10" s="342">
        <v>0</v>
      </c>
      <c r="H10" s="342">
        <v>0</v>
      </c>
      <c r="I10" s="342">
        <v>0</v>
      </c>
      <c r="J10" s="342">
        <v>0</v>
      </c>
      <c r="K10" s="342">
        <v>0</v>
      </c>
      <c r="M10" s="65">
        <v>0</v>
      </c>
      <c r="N10" s="877">
        <v>0</v>
      </c>
      <c r="O10" s="777">
        <v>0</v>
      </c>
      <c r="P10" s="792">
        <f t="shared" si="1"/>
        <v>0</v>
      </c>
    </row>
    <row r="11" spans="1:16" ht="12.75" customHeight="1">
      <c r="A11" s="560" t="s">
        <v>165</v>
      </c>
      <c r="B11" s="655">
        <v>43922</v>
      </c>
      <c r="C11" s="656">
        <v>0</v>
      </c>
      <c r="D11" s="655">
        <v>43952</v>
      </c>
      <c r="E11" s="822">
        <v>157831</v>
      </c>
      <c r="F11" s="797">
        <f t="shared" si="0"/>
        <v>157831</v>
      </c>
      <c r="G11" s="342">
        <v>80983</v>
      </c>
      <c r="H11" s="342">
        <v>14761</v>
      </c>
      <c r="I11" s="342">
        <v>55218</v>
      </c>
      <c r="J11" s="342">
        <v>6869</v>
      </c>
      <c r="K11" s="342">
        <v>0</v>
      </c>
      <c r="M11" s="65">
        <v>5864</v>
      </c>
      <c r="N11" s="877">
        <v>90</v>
      </c>
      <c r="O11" s="777">
        <v>915</v>
      </c>
      <c r="P11" s="792">
        <f t="shared" si="1"/>
        <v>6869</v>
      </c>
    </row>
    <row r="12" spans="1:16" ht="12.75" customHeight="1">
      <c r="A12" s="560" t="s">
        <v>164</v>
      </c>
      <c r="B12" s="655">
        <v>43739</v>
      </c>
      <c r="C12" s="345">
        <v>1</v>
      </c>
      <c r="D12" s="655">
        <v>43952</v>
      </c>
      <c r="E12" s="822">
        <v>140332</v>
      </c>
      <c r="F12" s="797">
        <f t="shared" si="0"/>
        <v>140332</v>
      </c>
      <c r="G12" s="342">
        <v>72005</v>
      </c>
      <c r="H12" s="342">
        <v>13124</v>
      </c>
      <c r="I12" s="342">
        <v>49095</v>
      </c>
      <c r="J12" s="342">
        <v>6108</v>
      </c>
      <c r="K12" s="342">
        <v>0</v>
      </c>
      <c r="M12" s="65">
        <v>5214</v>
      </c>
      <c r="N12" s="877">
        <v>80</v>
      </c>
      <c r="O12" s="777">
        <v>814</v>
      </c>
      <c r="P12" s="792">
        <f t="shared" si="1"/>
        <v>6108</v>
      </c>
    </row>
    <row r="13" spans="1:16" ht="12.75" customHeight="1">
      <c r="A13" s="560" t="s">
        <v>164</v>
      </c>
      <c r="B13" s="655">
        <v>43922</v>
      </c>
      <c r="C13" s="656">
        <v>0</v>
      </c>
      <c r="D13" s="655">
        <v>43952</v>
      </c>
      <c r="E13" s="822">
        <v>23178</v>
      </c>
      <c r="F13" s="797">
        <f t="shared" si="0"/>
        <v>23178</v>
      </c>
      <c r="G13" s="342">
        <v>11894</v>
      </c>
      <c r="H13" s="342">
        <v>2167</v>
      </c>
      <c r="I13" s="342">
        <v>8109</v>
      </c>
      <c r="J13" s="342">
        <v>1008</v>
      </c>
      <c r="K13" s="342">
        <v>0</v>
      </c>
      <c r="M13" s="65">
        <v>861</v>
      </c>
      <c r="N13" s="877">
        <v>13</v>
      </c>
      <c r="O13" s="777">
        <v>134</v>
      </c>
      <c r="P13" s="792">
        <f t="shared" si="1"/>
        <v>1008</v>
      </c>
    </row>
    <row r="14" spans="1:16" ht="12.75" customHeight="1">
      <c r="A14" s="560" t="s">
        <v>163</v>
      </c>
      <c r="B14" s="655">
        <v>43922</v>
      </c>
      <c r="C14" s="656">
        <v>0</v>
      </c>
      <c r="D14" s="655">
        <v>43952</v>
      </c>
      <c r="E14" s="822">
        <v>55506</v>
      </c>
      <c r="F14" s="797">
        <f t="shared" si="0"/>
        <v>55506</v>
      </c>
      <c r="G14" s="342">
        <v>28480</v>
      </c>
      <c r="H14" s="342">
        <v>5192</v>
      </c>
      <c r="I14" s="342">
        <v>19419</v>
      </c>
      <c r="J14" s="342">
        <v>2415</v>
      </c>
      <c r="K14" s="342">
        <v>0</v>
      </c>
      <c r="M14" s="65">
        <v>2062</v>
      </c>
      <c r="N14" s="877">
        <v>31</v>
      </c>
      <c r="O14" s="777">
        <v>322</v>
      </c>
      <c r="P14" s="792">
        <f t="shared" si="1"/>
        <v>2415</v>
      </c>
    </row>
    <row r="15" spans="1:16" ht="12.75" customHeight="1">
      <c r="A15" s="560" t="s">
        <v>162</v>
      </c>
      <c r="B15" s="655">
        <v>43922</v>
      </c>
      <c r="C15" s="656">
        <v>0</v>
      </c>
      <c r="D15" s="655">
        <v>43952</v>
      </c>
      <c r="E15" s="822">
        <v>48455</v>
      </c>
      <c r="F15" s="797">
        <f t="shared" si="0"/>
        <v>48455</v>
      </c>
      <c r="G15" s="342">
        <v>24863</v>
      </c>
      <c r="H15" s="342">
        <v>4531</v>
      </c>
      <c r="I15" s="342">
        <v>16952</v>
      </c>
      <c r="J15" s="342">
        <v>2109</v>
      </c>
      <c r="K15" s="342">
        <v>0</v>
      </c>
      <c r="M15" s="65">
        <v>1800</v>
      </c>
      <c r="N15" s="877">
        <v>28</v>
      </c>
      <c r="O15" s="777">
        <v>281</v>
      </c>
      <c r="P15" s="792">
        <f t="shared" si="1"/>
        <v>2109</v>
      </c>
    </row>
    <row r="16" spans="1:16" ht="12.75" customHeight="1">
      <c r="A16" s="560" t="s">
        <v>161</v>
      </c>
      <c r="B16" s="655">
        <v>43922</v>
      </c>
      <c r="C16" s="656">
        <v>0</v>
      </c>
      <c r="D16" s="655">
        <v>43952</v>
      </c>
      <c r="E16" s="822">
        <v>89420</v>
      </c>
      <c r="F16" s="797">
        <f t="shared" si="0"/>
        <v>89420</v>
      </c>
      <c r="G16" s="342">
        <v>45882</v>
      </c>
      <c r="H16" s="342">
        <v>8362</v>
      </c>
      <c r="I16" s="342">
        <v>31284</v>
      </c>
      <c r="J16" s="342">
        <v>3892</v>
      </c>
      <c r="K16" s="342">
        <v>0</v>
      </c>
      <c r="M16" s="65">
        <v>3322</v>
      </c>
      <c r="N16" s="877">
        <v>51</v>
      </c>
      <c r="O16" s="777">
        <v>519</v>
      </c>
      <c r="P16" s="792">
        <f t="shared" si="1"/>
        <v>3892</v>
      </c>
    </row>
    <row r="17" spans="1:16" ht="12.75" customHeight="1">
      <c r="A17" s="560" t="s">
        <v>160</v>
      </c>
      <c r="B17" s="655">
        <v>44105</v>
      </c>
      <c r="C17" s="345">
        <v>2</v>
      </c>
      <c r="D17" s="655">
        <v>43952</v>
      </c>
      <c r="E17" s="342">
        <v>-3727</v>
      </c>
      <c r="F17" s="797">
        <f t="shared" si="0"/>
        <v>-3727</v>
      </c>
      <c r="G17" s="342">
        <v>-1913</v>
      </c>
      <c r="H17" s="342">
        <v>-348</v>
      </c>
      <c r="I17" s="342">
        <v>-1304</v>
      </c>
      <c r="J17" s="342">
        <v>-162</v>
      </c>
      <c r="K17" s="342">
        <v>0</v>
      </c>
      <c r="M17" s="65">
        <v>-138</v>
      </c>
      <c r="N17" s="877">
        <v>-2</v>
      </c>
      <c r="O17" s="777">
        <v>-22</v>
      </c>
      <c r="P17" s="792">
        <f t="shared" si="1"/>
        <v>-162</v>
      </c>
    </row>
    <row r="18" spans="1:16" ht="12.75" customHeight="1">
      <c r="A18" s="560" t="s">
        <v>160</v>
      </c>
      <c r="B18" s="655">
        <v>44136</v>
      </c>
      <c r="C18" s="345">
        <v>2</v>
      </c>
      <c r="D18" s="655">
        <v>43952</v>
      </c>
      <c r="E18" s="342">
        <v>-1645</v>
      </c>
      <c r="F18" s="797">
        <f t="shared" si="0"/>
        <v>-1645</v>
      </c>
      <c r="G18" s="342">
        <v>-844</v>
      </c>
      <c r="H18" s="342">
        <v>-153</v>
      </c>
      <c r="I18" s="342">
        <v>-576</v>
      </c>
      <c r="J18" s="342">
        <v>-72</v>
      </c>
      <c r="K18" s="342">
        <v>0</v>
      </c>
      <c r="M18" s="342">
        <v>-61</v>
      </c>
      <c r="N18" s="342">
        <v>-1</v>
      </c>
      <c r="O18" s="342">
        <v>-10</v>
      </c>
      <c r="P18" s="792">
        <f t="shared" si="1"/>
        <v>-72</v>
      </c>
    </row>
    <row r="19" spans="1:16" ht="12.75" customHeight="1">
      <c r="A19" s="560" t="s">
        <v>160</v>
      </c>
      <c r="B19" s="655">
        <v>44166</v>
      </c>
      <c r="C19" s="345">
        <v>2</v>
      </c>
      <c r="D19" s="655">
        <v>43952</v>
      </c>
      <c r="E19" s="342">
        <v>2491</v>
      </c>
      <c r="F19" s="797">
        <f t="shared" si="0"/>
        <v>2491</v>
      </c>
      <c r="G19" s="342">
        <v>1280</v>
      </c>
      <c r="H19" s="342">
        <v>233</v>
      </c>
      <c r="I19" s="342">
        <v>871</v>
      </c>
      <c r="J19" s="342">
        <v>107</v>
      </c>
      <c r="K19" s="342">
        <v>0</v>
      </c>
      <c r="M19" s="342">
        <v>92</v>
      </c>
      <c r="N19" s="342">
        <v>1</v>
      </c>
      <c r="O19" s="342">
        <v>14</v>
      </c>
      <c r="P19" s="792">
        <f t="shared" si="1"/>
        <v>107</v>
      </c>
    </row>
    <row r="20" spans="1:16" ht="12.75" customHeight="1">
      <c r="A20" s="560" t="s">
        <v>160</v>
      </c>
      <c r="B20" s="655">
        <v>43831</v>
      </c>
      <c r="C20" s="345">
        <v>2</v>
      </c>
      <c r="D20" s="655">
        <v>43952</v>
      </c>
      <c r="E20" s="342">
        <v>-2611</v>
      </c>
      <c r="F20" s="797">
        <f t="shared" si="0"/>
        <v>-2611</v>
      </c>
      <c r="G20" s="342">
        <v>-1341</v>
      </c>
      <c r="H20" s="342">
        <v>-244</v>
      </c>
      <c r="I20" s="342">
        <v>-913</v>
      </c>
      <c r="J20" s="342">
        <v>-113</v>
      </c>
      <c r="K20" s="342">
        <v>0</v>
      </c>
      <c r="M20" s="342">
        <v>-97</v>
      </c>
      <c r="N20" s="342">
        <v>-1</v>
      </c>
      <c r="O20" s="342">
        <v>-15</v>
      </c>
      <c r="P20" s="792">
        <f t="shared" si="1"/>
        <v>-113</v>
      </c>
    </row>
    <row r="21" spans="1:16" ht="12.75" customHeight="1">
      <c r="A21" s="560" t="s">
        <v>160</v>
      </c>
      <c r="B21" s="655">
        <v>43862</v>
      </c>
      <c r="C21" s="345">
        <v>2</v>
      </c>
      <c r="D21" s="655">
        <v>43952</v>
      </c>
      <c r="E21" s="342">
        <v>-3767</v>
      </c>
      <c r="F21" s="797">
        <f t="shared" si="0"/>
        <v>-3767</v>
      </c>
      <c r="G21" s="342">
        <v>-1933</v>
      </c>
      <c r="H21" s="342">
        <v>-353</v>
      </c>
      <c r="I21" s="342">
        <v>-1318</v>
      </c>
      <c r="J21" s="342">
        <v>-163</v>
      </c>
      <c r="K21" s="342">
        <v>0</v>
      </c>
      <c r="M21" s="342">
        <v>-139</v>
      </c>
      <c r="N21" s="342">
        <v>-2</v>
      </c>
      <c r="O21" s="342">
        <v>-22</v>
      </c>
      <c r="P21" s="792">
        <f t="shared" si="1"/>
        <v>-163</v>
      </c>
    </row>
    <row r="22" spans="1:16" ht="12.75" customHeight="1">
      <c r="A22" s="560" t="s">
        <v>160</v>
      </c>
      <c r="B22" s="655">
        <v>43891</v>
      </c>
      <c r="C22" s="345">
        <v>1</v>
      </c>
      <c r="D22" s="655">
        <v>43952</v>
      </c>
      <c r="E22" s="342">
        <v>-11466</v>
      </c>
      <c r="F22" s="797">
        <f t="shared" si="0"/>
        <v>-11466</v>
      </c>
      <c r="G22" s="342">
        <v>-5884</v>
      </c>
      <c r="H22" s="342">
        <v>-1071</v>
      </c>
      <c r="I22" s="342">
        <v>-4011</v>
      </c>
      <c r="J22" s="342">
        <v>-500</v>
      </c>
      <c r="K22" s="342">
        <v>0</v>
      </c>
      <c r="M22" s="342">
        <v>-426</v>
      </c>
      <c r="N22" s="342">
        <v>-7</v>
      </c>
      <c r="O22" s="342">
        <v>-67</v>
      </c>
      <c r="P22" s="792">
        <f t="shared" si="1"/>
        <v>-500</v>
      </c>
    </row>
    <row r="23" spans="1:16" ht="12.75" customHeight="1">
      <c r="A23" s="560" t="s">
        <v>160</v>
      </c>
      <c r="B23" s="655">
        <v>43922</v>
      </c>
      <c r="C23" s="656">
        <v>0</v>
      </c>
      <c r="D23" s="655">
        <v>43952</v>
      </c>
      <c r="E23" s="822">
        <v>226149</v>
      </c>
      <c r="F23" s="797">
        <f t="shared" si="0"/>
        <v>226149</v>
      </c>
      <c r="G23" s="342">
        <v>116036</v>
      </c>
      <c r="H23" s="342">
        <v>21151</v>
      </c>
      <c r="I23" s="342">
        <v>79119</v>
      </c>
      <c r="J23" s="342">
        <v>9843</v>
      </c>
      <c r="K23" s="342">
        <v>0</v>
      </c>
      <c r="M23" s="65">
        <v>8402</v>
      </c>
      <c r="N23" s="877">
        <v>129</v>
      </c>
      <c r="O23" s="777">
        <v>1312</v>
      </c>
      <c r="P23" s="792">
        <f t="shared" si="1"/>
        <v>9843</v>
      </c>
    </row>
    <row r="24" spans="1:16" ht="12.75" customHeight="1">
      <c r="A24" s="560" t="s">
        <v>159</v>
      </c>
      <c r="B24" s="655">
        <v>43922</v>
      </c>
      <c r="C24" s="656">
        <v>0</v>
      </c>
      <c r="D24" s="655">
        <v>43952</v>
      </c>
      <c r="E24" s="822">
        <v>21946</v>
      </c>
      <c r="F24" s="797">
        <f t="shared" si="0"/>
        <v>21946</v>
      </c>
      <c r="G24" s="342">
        <v>11260</v>
      </c>
      <c r="H24" s="342">
        <v>2053</v>
      </c>
      <c r="I24" s="342">
        <v>7678</v>
      </c>
      <c r="J24" s="342">
        <v>955</v>
      </c>
      <c r="K24" s="342">
        <v>0</v>
      </c>
      <c r="M24" s="65">
        <v>815</v>
      </c>
      <c r="N24" s="877">
        <v>13</v>
      </c>
      <c r="O24" s="777">
        <v>127</v>
      </c>
      <c r="P24" s="792">
        <f t="shared" si="1"/>
        <v>955</v>
      </c>
    </row>
    <row r="25" spans="1:16" ht="12.75" customHeight="1">
      <c r="A25" s="560" t="s">
        <v>158</v>
      </c>
      <c r="B25" s="655">
        <v>43922</v>
      </c>
      <c r="C25" s="656">
        <v>0</v>
      </c>
      <c r="D25" s="655">
        <v>43952</v>
      </c>
      <c r="E25" s="822">
        <v>38393</v>
      </c>
      <c r="F25" s="797">
        <f t="shared" si="0"/>
        <v>38393</v>
      </c>
      <c r="G25" s="342">
        <v>19699</v>
      </c>
      <c r="H25" s="342">
        <v>3591</v>
      </c>
      <c r="I25" s="342">
        <v>13432</v>
      </c>
      <c r="J25" s="342">
        <v>1671</v>
      </c>
      <c r="K25" s="342">
        <v>0</v>
      </c>
      <c r="M25" s="65">
        <v>1426</v>
      </c>
      <c r="N25" s="877">
        <v>22</v>
      </c>
      <c r="O25" s="777">
        <v>223</v>
      </c>
      <c r="P25" s="792">
        <f t="shared" si="1"/>
        <v>1671</v>
      </c>
    </row>
    <row r="26" spans="1:16" ht="12.75" customHeight="1">
      <c r="A26" s="560" t="s">
        <v>157</v>
      </c>
      <c r="B26" s="655">
        <v>43922</v>
      </c>
      <c r="C26" s="656">
        <v>0</v>
      </c>
      <c r="D26" s="655">
        <v>43952</v>
      </c>
      <c r="E26" s="822">
        <v>67912</v>
      </c>
      <c r="F26" s="797">
        <f t="shared" si="0"/>
        <v>67912</v>
      </c>
      <c r="G26" s="342">
        <v>34846</v>
      </c>
      <c r="H26" s="342">
        <v>6351</v>
      </c>
      <c r="I26" s="342">
        <v>23759</v>
      </c>
      <c r="J26" s="342">
        <v>2956</v>
      </c>
      <c r="K26" s="342">
        <v>0</v>
      </c>
      <c r="M26" s="65">
        <v>2523</v>
      </c>
      <c r="N26" s="877">
        <v>39</v>
      </c>
      <c r="O26" s="777">
        <v>394</v>
      </c>
      <c r="P26" s="792">
        <f t="shared" si="1"/>
        <v>2956</v>
      </c>
    </row>
    <row r="27" spans="1:16" ht="12.75" customHeight="1">
      <c r="A27" s="560" t="s">
        <v>156</v>
      </c>
      <c r="B27" s="655">
        <v>43922</v>
      </c>
      <c r="C27" s="656">
        <v>0</v>
      </c>
      <c r="D27" s="655">
        <v>43952</v>
      </c>
      <c r="E27" s="822">
        <v>32618</v>
      </c>
      <c r="F27" s="797">
        <f t="shared" si="0"/>
        <v>32618</v>
      </c>
      <c r="G27" s="342">
        <v>16738</v>
      </c>
      <c r="H27" s="342">
        <v>3050</v>
      </c>
      <c r="I27" s="342">
        <v>11411</v>
      </c>
      <c r="J27" s="342">
        <v>1419</v>
      </c>
      <c r="K27" s="342">
        <v>0</v>
      </c>
      <c r="M27" s="65">
        <v>1211</v>
      </c>
      <c r="N27" s="877">
        <v>19</v>
      </c>
      <c r="O27" s="777">
        <v>189</v>
      </c>
      <c r="P27" s="792">
        <f t="shared" si="1"/>
        <v>1419</v>
      </c>
    </row>
    <row r="28" spans="1:16" ht="12.75" customHeight="1">
      <c r="A28" s="560" t="s">
        <v>155</v>
      </c>
      <c r="B28" s="655">
        <v>43922</v>
      </c>
      <c r="C28" s="656">
        <v>0</v>
      </c>
      <c r="D28" s="655">
        <v>43952</v>
      </c>
      <c r="E28" s="822">
        <v>137437</v>
      </c>
      <c r="F28" s="797">
        <f t="shared" si="0"/>
        <v>137437</v>
      </c>
      <c r="G28" s="342">
        <v>70519</v>
      </c>
      <c r="H28" s="342">
        <v>12854</v>
      </c>
      <c r="I28" s="342">
        <v>48083</v>
      </c>
      <c r="J28" s="342">
        <v>5981</v>
      </c>
      <c r="K28" s="342">
        <v>0</v>
      </c>
      <c r="M28" s="65">
        <v>5106</v>
      </c>
      <c r="N28" s="877">
        <v>78</v>
      </c>
      <c r="O28" s="777">
        <v>797</v>
      </c>
      <c r="P28" s="792">
        <f t="shared" si="1"/>
        <v>5981</v>
      </c>
    </row>
    <row r="29" spans="1:16" ht="12.75" customHeight="1" thickBot="1">
      <c r="A29" s="657" t="s">
        <v>154</v>
      </c>
      <c r="B29" s="844">
        <v>43922</v>
      </c>
      <c r="C29" s="659">
        <v>0</v>
      </c>
      <c r="D29" s="844">
        <v>43952</v>
      </c>
      <c r="E29" s="822">
        <v>36929</v>
      </c>
      <c r="F29" s="797">
        <f t="shared" si="0"/>
        <v>36929</v>
      </c>
      <c r="G29" s="342">
        <v>18949</v>
      </c>
      <c r="H29" s="342">
        <v>3453</v>
      </c>
      <c r="I29" s="342">
        <v>12920</v>
      </c>
      <c r="J29" s="342">
        <v>1607</v>
      </c>
      <c r="K29" s="342">
        <v>0</v>
      </c>
      <c r="M29" s="65">
        <v>1372</v>
      </c>
      <c r="N29" s="877">
        <v>21</v>
      </c>
      <c r="O29" s="777">
        <v>214</v>
      </c>
      <c r="P29" s="794">
        <f t="shared" si="1"/>
        <v>1607</v>
      </c>
    </row>
    <row r="30" spans="1:16" ht="12.75" customHeight="1">
      <c r="A30" s="892" t="s">
        <v>171</v>
      </c>
      <c r="B30" s="876">
        <v>43800</v>
      </c>
      <c r="C30" s="868">
        <v>2</v>
      </c>
      <c r="D30" s="876">
        <v>43983</v>
      </c>
      <c r="E30" s="780">
        <v>-83538</v>
      </c>
      <c r="F30" s="805">
        <f t="shared" si="0"/>
        <v>-83538</v>
      </c>
      <c r="G30" s="780">
        <v>-42862</v>
      </c>
      <c r="H30" s="780">
        <v>-7813</v>
      </c>
      <c r="I30" s="780">
        <v>-29226</v>
      </c>
      <c r="J30" s="780">
        <v>-3637</v>
      </c>
      <c r="K30" s="780">
        <v>0</v>
      </c>
      <c r="M30" s="781">
        <v>-3104</v>
      </c>
      <c r="N30" s="803">
        <v>-48</v>
      </c>
      <c r="O30" s="781">
        <v>-485</v>
      </c>
      <c r="P30" s="795">
        <f t="shared" si="1"/>
        <v>-3637</v>
      </c>
    </row>
    <row r="31" spans="1:16" ht="12.75" customHeight="1">
      <c r="A31" s="565" t="s">
        <v>171</v>
      </c>
      <c r="B31" s="660">
        <v>43952</v>
      </c>
      <c r="C31" s="661">
        <v>0</v>
      </c>
      <c r="D31" s="660">
        <v>43983</v>
      </c>
      <c r="E31" s="776">
        <v>275182</v>
      </c>
      <c r="F31" s="791">
        <f t="shared" si="0"/>
        <v>275182</v>
      </c>
      <c r="G31" s="776">
        <v>141195</v>
      </c>
      <c r="H31" s="776">
        <v>25737</v>
      </c>
      <c r="I31" s="776">
        <v>96273</v>
      </c>
      <c r="J31" s="776">
        <v>11977</v>
      </c>
      <c r="K31" s="776">
        <v>0</v>
      </c>
      <c r="M31" s="777">
        <v>10224</v>
      </c>
      <c r="N31" s="877">
        <v>157</v>
      </c>
      <c r="O31" s="777">
        <v>1596</v>
      </c>
      <c r="P31" s="792">
        <f t="shared" si="1"/>
        <v>11977</v>
      </c>
    </row>
    <row r="32" spans="1:16" ht="12.75" customHeight="1">
      <c r="A32" s="560" t="s">
        <v>170</v>
      </c>
      <c r="B32" s="660">
        <v>43800</v>
      </c>
      <c r="C32" s="756">
        <v>1</v>
      </c>
      <c r="D32" s="660">
        <v>43983</v>
      </c>
      <c r="E32" s="776">
        <v>27706</v>
      </c>
      <c r="F32" s="791">
        <f t="shared" si="0"/>
        <v>27706</v>
      </c>
      <c r="G32" s="776">
        <v>14215</v>
      </c>
      <c r="H32" s="776">
        <v>2592</v>
      </c>
      <c r="I32" s="776">
        <v>9693</v>
      </c>
      <c r="J32" s="776">
        <v>1206</v>
      </c>
      <c r="K32" s="776">
        <v>0</v>
      </c>
      <c r="M32" s="777">
        <v>1029</v>
      </c>
      <c r="N32" s="877">
        <v>16</v>
      </c>
      <c r="O32" s="777">
        <v>161</v>
      </c>
      <c r="P32" s="792">
        <f t="shared" si="1"/>
        <v>1206</v>
      </c>
    </row>
    <row r="33" spans="1:16" ht="12.75" customHeight="1">
      <c r="A33" s="560" t="s">
        <v>170</v>
      </c>
      <c r="B33" s="660">
        <v>43831</v>
      </c>
      <c r="C33" s="756">
        <v>1</v>
      </c>
      <c r="D33" s="660">
        <v>43983</v>
      </c>
      <c r="E33" s="776">
        <v>70583</v>
      </c>
      <c r="F33" s="791">
        <f t="shared" si="0"/>
        <v>70583</v>
      </c>
      <c r="G33" s="776">
        <v>36216</v>
      </c>
      <c r="H33" s="776">
        <v>6602</v>
      </c>
      <c r="I33" s="776">
        <v>24694</v>
      </c>
      <c r="J33" s="776">
        <v>3071</v>
      </c>
      <c r="K33" s="776">
        <v>0</v>
      </c>
      <c r="M33" s="777">
        <v>2622</v>
      </c>
      <c r="N33" s="877">
        <v>40</v>
      </c>
      <c r="O33" s="777">
        <v>409</v>
      </c>
      <c r="P33" s="792">
        <f t="shared" si="1"/>
        <v>3071</v>
      </c>
    </row>
    <row r="34" spans="1:16" ht="12.75" customHeight="1">
      <c r="A34" s="560" t="s">
        <v>170</v>
      </c>
      <c r="B34" s="660">
        <v>43862</v>
      </c>
      <c r="C34" s="756">
        <v>1</v>
      </c>
      <c r="D34" s="660">
        <v>43983</v>
      </c>
      <c r="E34" s="776">
        <v>102767</v>
      </c>
      <c r="F34" s="791">
        <f t="shared" si="0"/>
        <v>102767</v>
      </c>
      <c r="G34" s="776">
        <v>52731</v>
      </c>
      <c r="H34" s="776">
        <v>9611</v>
      </c>
      <c r="I34" s="776">
        <v>35953</v>
      </c>
      <c r="J34" s="776">
        <v>4472</v>
      </c>
      <c r="K34" s="776">
        <v>0</v>
      </c>
      <c r="M34" s="777">
        <v>3818</v>
      </c>
      <c r="N34" s="877">
        <v>58</v>
      </c>
      <c r="O34" s="777">
        <v>596</v>
      </c>
      <c r="P34" s="792">
        <f t="shared" si="1"/>
        <v>4472</v>
      </c>
    </row>
    <row r="35" spans="1:16" ht="12.75" customHeight="1">
      <c r="A35" s="560" t="s">
        <v>170</v>
      </c>
      <c r="B35" s="660">
        <v>43891</v>
      </c>
      <c r="C35" s="756">
        <v>1</v>
      </c>
      <c r="D35" s="660">
        <v>43983</v>
      </c>
      <c r="E35" s="776">
        <v>83914</v>
      </c>
      <c r="F35" s="791">
        <f t="shared" si="0"/>
        <v>83914</v>
      </c>
      <c r="G35" s="776">
        <v>43057</v>
      </c>
      <c r="H35" s="776">
        <v>7848</v>
      </c>
      <c r="I35" s="776">
        <v>29357</v>
      </c>
      <c r="J35" s="776">
        <v>3652</v>
      </c>
      <c r="K35" s="776">
        <v>0</v>
      </c>
      <c r="M35" s="777">
        <v>3117</v>
      </c>
      <c r="N35" s="877">
        <v>48</v>
      </c>
      <c r="O35" s="777">
        <v>487</v>
      </c>
      <c r="P35" s="792">
        <f t="shared" si="1"/>
        <v>3652</v>
      </c>
    </row>
    <row r="36" spans="1:16" ht="12.75" customHeight="1">
      <c r="A36" s="560" t="s">
        <v>170</v>
      </c>
      <c r="B36" s="660">
        <v>43922</v>
      </c>
      <c r="C36" s="756">
        <v>1</v>
      </c>
      <c r="D36" s="660">
        <v>43983</v>
      </c>
      <c r="E36" s="776">
        <v>89541</v>
      </c>
      <c r="F36" s="791">
        <f t="shared" si="0"/>
        <v>89541</v>
      </c>
      <c r="G36" s="776">
        <v>45944</v>
      </c>
      <c r="H36" s="776">
        <v>8375</v>
      </c>
      <c r="I36" s="776">
        <v>31326</v>
      </c>
      <c r="J36" s="776">
        <v>3896</v>
      </c>
      <c r="K36" s="776">
        <v>0</v>
      </c>
      <c r="M36" s="777">
        <v>3326</v>
      </c>
      <c r="N36" s="877">
        <v>51</v>
      </c>
      <c r="O36" s="777">
        <v>519</v>
      </c>
      <c r="P36" s="792">
        <f t="shared" si="1"/>
        <v>3896</v>
      </c>
    </row>
    <row r="37" spans="1:16" ht="12.75" customHeight="1">
      <c r="A37" s="560" t="s">
        <v>170</v>
      </c>
      <c r="B37" s="660">
        <v>43952</v>
      </c>
      <c r="C37" s="661">
        <v>0</v>
      </c>
      <c r="D37" s="660">
        <v>43983</v>
      </c>
      <c r="E37" s="776">
        <v>90921</v>
      </c>
      <c r="F37" s="791">
        <f t="shared" si="0"/>
        <v>90921</v>
      </c>
      <c r="G37" s="776">
        <v>46652</v>
      </c>
      <c r="H37" s="776">
        <v>8503</v>
      </c>
      <c r="I37" s="776">
        <v>31809</v>
      </c>
      <c r="J37" s="776">
        <v>3957</v>
      </c>
      <c r="K37" s="776">
        <v>0</v>
      </c>
      <c r="M37" s="777">
        <v>3378</v>
      </c>
      <c r="N37" s="877">
        <v>52</v>
      </c>
      <c r="O37" s="777">
        <v>527</v>
      </c>
      <c r="P37" s="792">
        <f t="shared" si="1"/>
        <v>3957</v>
      </c>
    </row>
    <row r="38" spans="1:16" ht="12.75" customHeight="1">
      <c r="A38" s="560" t="s">
        <v>169</v>
      </c>
      <c r="B38" s="660">
        <v>43952</v>
      </c>
      <c r="C38" s="656">
        <v>0</v>
      </c>
      <c r="D38" s="660">
        <v>43983</v>
      </c>
      <c r="E38" s="776">
        <v>136358</v>
      </c>
      <c r="F38" s="791">
        <f t="shared" si="0"/>
        <v>136358</v>
      </c>
      <c r="G38" s="776">
        <v>69965</v>
      </c>
      <c r="H38" s="776">
        <v>12753</v>
      </c>
      <c r="I38" s="776">
        <v>47705</v>
      </c>
      <c r="J38" s="776">
        <v>5935</v>
      </c>
      <c r="K38" s="776">
        <v>0</v>
      </c>
      <c r="M38" s="777">
        <v>5066</v>
      </c>
      <c r="N38" s="877">
        <v>78</v>
      </c>
      <c r="O38" s="777">
        <v>791</v>
      </c>
      <c r="P38" s="792">
        <f t="shared" si="1"/>
        <v>5935</v>
      </c>
    </row>
    <row r="39" spans="1:16" ht="12.75" customHeight="1">
      <c r="A39" s="560" t="s">
        <v>168</v>
      </c>
      <c r="B39" s="660">
        <v>43922</v>
      </c>
      <c r="C39" s="345">
        <v>1</v>
      </c>
      <c r="D39" s="660">
        <v>43983</v>
      </c>
      <c r="E39" s="776">
        <v>201174</v>
      </c>
      <c r="F39" s="791">
        <f t="shared" si="0"/>
        <v>201174</v>
      </c>
      <c r="G39" s="776">
        <v>103223</v>
      </c>
      <c r="H39" s="776">
        <v>18814</v>
      </c>
      <c r="I39" s="776">
        <v>70381</v>
      </c>
      <c r="J39" s="776">
        <v>8756</v>
      </c>
      <c r="K39" s="776">
        <v>0</v>
      </c>
      <c r="M39" s="777">
        <v>7474</v>
      </c>
      <c r="N39" s="877">
        <v>115</v>
      </c>
      <c r="O39" s="777">
        <v>1167</v>
      </c>
      <c r="P39" s="792">
        <f t="shared" si="1"/>
        <v>8756</v>
      </c>
    </row>
    <row r="40" spans="1:16" ht="12.75" customHeight="1">
      <c r="A40" s="560" t="s">
        <v>168</v>
      </c>
      <c r="B40" s="660">
        <v>43952</v>
      </c>
      <c r="C40" s="656">
        <v>0</v>
      </c>
      <c r="D40" s="660">
        <v>43983</v>
      </c>
      <c r="E40" s="776">
        <v>450650</v>
      </c>
      <c r="F40" s="791">
        <f t="shared" si="0"/>
        <v>450650</v>
      </c>
      <c r="G40" s="776">
        <v>231228</v>
      </c>
      <c r="H40" s="776">
        <v>42147</v>
      </c>
      <c r="I40" s="776">
        <v>157660</v>
      </c>
      <c r="J40" s="776">
        <v>19615</v>
      </c>
      <c r="K40" s="776">
        <v>0</v>
      </c>
      <c r="M40" s="777">
        <v>16744</v>
      </c>
      <c r="N40" s="877">
        <v>257</v>
      </c>
      <c r="O40" s="777">
        <v>2614</v>
      </c>
      <c r="P40" s="792">
        <f t="shared" si="1"/>
        <v>19615</v>
      </c>
    </row>
    <row r="41" spans="1:16" ht="12.75" customHeight="1">
      <c r="A41" s="560" t="s">
        <v>167</v>
      </c>
      <c r="B41" s="660">
        <v>43952</v>
      </c>
      <c r="C41" s="656">
        <v>0</v>
      </c>
      <c r="D41" s="660">
        <v>43983</v>
      </c>
      <c r="E41" s="776">
        <v>46188</v>
      </c>
      <c r="F41" s="791">
        <f t="shared" si="0"/>
        <v>46188</v>
      </c>
      <c r="G41" s="776">
        <v>23698</v>
      </c>
      <c r="H41" s="776">
        <v>4320</v>
      </c>
      <c r="I41" s="776">
        <v>16160</v>
      </c>
      <c r="J41" s="776">
        <v>2010</v>
      </c>
      <c r="K41" s="776">
        <v>0</v>
      </c>
      <c r="M41" s="777">
        <v>1716</v>
      </c>
      <c r="N41" s="877">
        <v>26</v>
      </c>
      <c r="O41" s="777">
        <v>268</v>
      </c>
      <c r="P41" s="792">
        <f t="shared" si="1"/>
        <v>2010</v>
      </c>
    </row>
    <row r="42" spans="1:16" ht="12.75" customHeight="1">
      <c r="A42" s="560" t="s">
        <v>166</v>
      </c>
      <c r="B42" s="660">
        <v>43952</v>
      </c>
      <c r="C42" s="656">
        <v>0</v>
      </c>
      <c r="D42" s="660">
        <v>43983</v>
      </c>
      <c r="E42" s="776">
        <v>311175</v>
      </c>
      <c r="F42" s="791">
        <f t="shared" si="0"/>
        <v>311175</v>
      </c>
      <c r="G42" s="776">
        <v>159664</v>
      </c>
      <c r="H42" s="776">
        <v>29102</v>
      </c>
      <c r="I42" s="776">
        <v>108865</v>
      </c>
      <c r="J42" s="776">
        <v>13544</v>
      </c>
      <c r="K42" s="776">
        <v>0</v>
      </c>
      <c r="M42" s="777">
        <v>11562</v>
      </c>
      <c r="N42" s="877">
        <v>177</v>
      </c>
      <c r="O42" s="777">
        <v>1805</v>
      </c>
      <c r="P42" s="792">
        <f t="shared" si="1"/>
        <v>13544</v>
      </c>
    </row>
    <row r="43" spans="1:16" ht="12.75" customHeight="1">
      <c r="A43" s="560" t="s">
        <v>11</v>
      </c>
      <c r="B43" s="660">
        <v>43952</v>
      </c>
      <c r="C43" s="656">
        <v>0</v>
      </c>
      <c r="D43" s="660">
        <v>43983</v>
      </c>
      <c r="E43" s="776">
        <v>0</v>
      </c>
      <c r="F43" s="791">
        <f t="shared" si="0"/>
        <v>0</v>
      </c>
      <c r="G43" s="776">
        <v>0</v>
      </c>
      <c r="H43" s="776">
        <v>0</v>
      </c>
      <c r="I43" s="776">
        <v>0</v>
      </c>
      <c r="J43" s="776">
        <v>0</v>
      </c>
      <c r="K43" s="776">
        <v>0</v>
      </c>
      <c r="M43" s="777">
        <v>0</v>
      </c>
      <c r="N43" s="877">
        <v>0</v>
      </c>
      <c r="O43" s="777">
        <v>0</v>
      </c>
      <c r="P43" s="792">
        <f t="shared" si="1"/>
        <v>0</v>
      </c>
    </row>
    <row r="44" spans="1:16" ht="12.75" customHeight="1">
      <c r="A44" s="560" t="s">
        <v>165</v>
      </c>
      <c r="B44" s="660">
        <v>43952</v>
      </c>
      <c r="C44" s="656">
        <v>0</v>
      </c>
      <c r="D44" s="660">
        <v>43983</v>
      </c>
      <c r="E44" s="776">
        <v>181390</v>
      </c>
      <c r="F44" s="791">
        <f t="shared" si="0"/>
        <v>181390</v>
      </c>
      <c r="G44" s="776">
        <v>93072</v>
      </c>
      <c r="H44" s="776">
        <v>16965</v>
      </c>
      <c r="I44" s="776">
        <v>63459</v>
      </c>
      <c r="J44" s="776">
        <v>7894</v>
      </c>
      <c r="K44" s="776">
        <v>0</v>
      </c>
      <c r="M44" s="777">
        <v>6739</v>
      </c>
      <c r="N44" s="877">
        <v>103</v>
      </c>
      <c r="O44" s="777">
        <v>1052</v>
      </c>
      <c r="P44" s="792">
        <f t="shared" si="1"/>
        <v>7894</v>
      </c>
    </row>
    <row r="45" spans="1:16" ht="12.75" customHeight="1">
      <c r="A45" s="560" t="s">
        <v>164</v>
      </c>
      <c r="B45" s="660">
        <v>43952</v>
      </c>
      <c r="C45" s="656">
        <v>0</v>
      </c>
      <c r="D45" s="660">
        <v>43983</v>
      </c>
      <c r="E45" s="776">
        <v>146891</v>
      </c>
      <c r="F45" s="791">
        <f t="shared" si="0"/>
        <v>146891</v>
      </c>
      <c r="G45" s="776">
        <v>75370</v>
      </c>
      <c r="H45" s="776">
        <v>13738</v>
      </c>
      <c r="I45" s="776">
        <v>51390</v>
      </c>
      <c r="J45" s="776">
        <v>6393</v>
      </c>
      <c r="K45" s="776">
        <v>0</v>
      </c>
      <c r="M45" s="777">
        <v>5457</v>
      </c>
      <c r="N45" s="877">
        <v>84</v>
      </c>
      <c r="O45" s="777">
        <v>852</v>
      </c>
      <c r="P45" s="792">
        <f t="shared" si="1"/>
        <v>6393</v>
      </c>
    </row>
    <row r="46" spans="1:16" ht="12.75" customHeight="1">
      <c r="A46" s="560" t="s">
        <v>163</v>
      </c>
      <c r="B46" s="660">
        <v>43952</v>
      </c>
      <c r="C46" s="656">
        <v>0</v>
      </c>
      <c r="D46" s="660">
        <v>43983</v>
      </c>
      <c r="E46" s="776">
        <v>54651</v>
      </c>
      <c r="F46" s="791">
        <f t="shared" si="0"/>
        <v>54651</v>
      </c>
      <c r="G46" s="776">
        <v>28042</v>
      </c>
      <c r="H46" s="776">
        <v>5112</v>
      </c>
      <c r="I46" s="776">
        <v>19119</v>
      </c>
      <c r="J46" s="776">
        <v>2378</v>
      </c>
      <c r="K46" s="776">
        <v>0</v>
      </c>
      <c r="M46" s="777">
        <v>2030</v>
      </c>
      <c r="N46" s="877">
        <v>31</v>
      </c>
      <c r="O46" s="777">
        <v>317</v>
      </c>
      <c r="P46" s="792">
        <f t="shared" si="1"/>
        <v>2378</v>
      </c>
    </row>
    <row r="47" spans="1:16" ht="12.75" customHeight="1">
      <c r="A47" s="560" t="s">
        <v>162</v>
      </c>
      <c r="B47" s="660">
        <v>43952</v>
      </c>
      <c r="C47" s="656">
        <v>0</v>
      </c>
      <c r="D47" s="660">
        <v>43983</v>
      </c>
      <c r="E47" s="776">
        <v>31113</v>
      </c>
      <c r="F47" s="791">
        <f t="shared" si="0"/>
        <v>31113</v>
      </c>
      <c r="G47" s="776">
        <v>15965</v>
      </c>
      <c r="H47" s="776">
        <v>2909</v>
      </c>
      <c r="I47" s="776">
        <v>10885</v>
      </c>
      <c r="J47" s="776">
        <v>1354</v>
      </c>
      <c r="K47" s="776">
        <v>0</v>
      </c>
      <c r="M47" s="777">
        <v>1156</v>
      </c>
      <c r="N47" s="877">
        <v>18</v>
      </c>
      <c r="O47" s="777">
        <v>180</v>
      </c>
      <c r="P47" s="792">
        <f t="shared" si="1"/>
        <v>1354</v>
      </c>
    </row>
    <row r="48" spans="1:16" ht="12.75" customHeight="1">
      <c r="A48" s="560" t="s">
        <v>161</v>
      </c>
      <c r="B48" s="660">
        <v>43952</v>
      </c>
      <c r="C48" s="656">
        <v>0</v>
      </c>
      <c r="D48" s="660">
        <v>43983</v>
      </c>
      <c r="E48" s="776">
        <v>174744</v>
      </c>
      <c r="F48" s="791">
        <f t="shared" si="0"/>
        <v>174744</v>
      </c>
      <c r="G48" s="776">
        <v>89661</v>
      </c>
      <c r="H48" s="776">
        <v>16342</v>
      </c>
      <c r="I48" s="776">
        <v>61134</v>
      </c>
      <c r="J48" s="776">
        <v>7607</v>
      </c>
      <c r="K48" s="776">
        <v>0</v>
      </c>
      <c r="M48" s="777">
        <v>6493</v>
      </c>
      <c r="N48" s="877">
        <v>100</v>
      </c>
      <c r="O48" s="777">
        <v>1014</v>
      </c>
      <c r="P48" s="792">
        <f t="shared" si="1"/>
        <v>7607</v>
      </c>
    </row>
    <row r="49" spans="1:16" ht="12.75" customHeight="1">
      <c r="A49" s="560" t="s">
        <v>160</v>
      </c>
      <c r="B49" s="660">
        <v>43952</v>
      </c>
      <c r="C49" s="656">
        <v>0</v>
      </c>
      <c r="D49" s="660">
        <v>43983</v>
      </c>
      <c r="E49" s="776">
        <v>155471</v>
      </c>
      <c r="F49" s="791">
        <f t="shared" si="0"/>
        <v>155471</v>
      </c>
      <c r="G49" s="776">
        <v>79772</v>
      </c>
      <c r="H49" s="776">
        <v>14541</v>
      </c>
      <c r="I49" s="776">
        <v>54392</v>
      </c>
      <c r="J49" s="776">
        <v>6766</v>
      </c>
      <c r="K49" s="776">
        <v>0</v>
      </c>
      <c r="M49" s="777">
        <v>5776</v>
      </c>
      <c r="N49" s="877">
        <v>88</v>
      </c>
      <c r="O49" s="777">
        <v>902</v>
      </c>
      <c r="P49" s="792">
        <f t="shared" si="1"/>
        <v>6766</v>
      </c>
    </row>
    <row r="50" spans="1:16" ht="12.75" customHeight="1">
      <c r="A50" s="560" t="s">
        <v>159</v>
      </c>
      <c r="B50" s="660">
        <v>43952</v>
      </c>
      <c r="C50" s="656">
        <v>0</v>
      </c>
      <c r="D50" s="660">
        <v>43983</v>
      </c>
      <c r="E50" s="776">
        <v>147477</v>
      </c>
      <c r="F50" s="791">
        <f t="shared" si="0"/>
        <v>147477</v>
      </c>
      <c r="G50" s="776">
        <v>75671</v>
      </c>
      <c r="H50" s="776">
        <v>13793</v>
      </c>
      <c r="I50" s="776">
        <v>51595</v>
      </c>
      <c r="J50" s="776">
        <v>6418</v>
      </c>
      <c r="K50" s="776">
        <v>0</v>
      </c>
      <c r="M50" s="777">
        <v>5479</v>
      </c>
      <c r="N50" s="877">
        <v>84</v>
      </c>
      <c r="O50" s="777">
        <v>855</v>
      </c>
      <c r="P50" s="792">
        <f t="shared" si="1"/>
        <v>6418</v>
      </c>
    </row>
    <row r="51" spans="1:16" ht="12.75" customHeight="1">
      <c r="A51" s="560" t="s">
        <v>158</v>
      </c>
      <c r="B51" s="660">
        <v>43952</v>
      </c>
      <c r="C51" s="656">
        <v>0</v>
      </c>
      <c r="D51" s="660">
        <v>43983</v>
      </c>
      <c r="E51" s="776">
        <v>110987</v>
      </c>
      <c r="F51" s="791">
        <f t="shared" si="0"/>
        <v>110987</v>
      </c>
      <c r="G51" s="776">
        <v>56947</v>
      </c>
      <c r="H51" s="776">
        <v>10381</v>
      </c>
      <c r="I51" s="776">
        <v>38829</v>
      </c>
      <c r="J51" s="776">
        <v>4830</v>
      </c>
      <c r="K51" s="776">
        <v>0</v>
      </c>
      <c r="M51" s="777">
        <v>4123</v>
      </c>
      <c r="N51" s="877">
        <v>63</v>
      </c>
      <c r="O51" s="777">
        <v>644</v>
      </c>
      <c r="P51" s="792">
        <f t="shared" si="1"/>
        <v>4830</v>
      </c>
    </row>
    <row r="52" spans="1:16" ht="12.75" customHeight="1">
      <c r="A52" s="560" t="s">
        <v>157</v>
      </c>
      <c r="B52" s="660">
        <v>43952</v>
      </c>
      <c r="C52" s="656">
        <v>0</v>
      </c>
      <c r="D52" s="660">
        <v>43983</v>
      </c>
      <c r="E52" s="776">
        <v>99489</v>
      </c>
      <c r="F52" s="791">
        <f t="shared" si="0"/>
        <v>99489</v>
      </c>
      <c r="G52" s="776">
        <v>51048</v>
      </c>
      <c r="H52" s="776">
        <v>9304</v>
      </c>
      <c r="I52" s="776">
        <v>34807</v>
      </c>
      <c r="J52" s="776">
        <v>4330</v>
      </c>
      <c r="K52" s="776">
        <v>0</v>
      </c>
      <c r="M52" s="777">
        <v>3696</v>
      </c>
      <c r="N52" s="877">
        <v>57</v>
      </c>
      <c r="O52" s="777">
        <v>577</v>
      </c>
      <c r="P52" s="792">
        <f t="shared" si="1"/>
        <v>4330</v>
      </c>
    </row>
    <row r="53" spans="1:16" ht="12.75" customHeight="1">
      <c r="A53" s="560" t="s">
        <v>156</v>
      </c>
      <c r="B53" s="660">
        <v>43952</v>
      </c>
      <c r="C53" s="656">
        <v>0</v>
      </c>
      <c r="D53" s="660">
        <v>43983</v>
      </c>
      <c r="E53" s="776">
        <v>0</v>
      </c>
      <c r="F53" s="791">
        <f t="shared" si="0"/>
        <v>0</v>
      </c>
      <c r="G53" s="776">
        <v>0</v>
      </c>
      <c r="H53" s="776">
        <v>0</v>
      </c>
      <c r="I53" s="776">
        <v>0</v>
      </c>
      <c r="J53" s="776">
        <v>0</v>
      </c>
      <c r="K53" s="776">
        <v>0</v>
      </c>
      <c r="M53" s="777">
        <v>0</v>
      </c>
      <c r="N53" s="877">
        <v>0</v>
      </c>
      <c r="O53" s="777">
        <v>0</v>
      </c>
      <c r="P53" s="792">
        <f t="shared" si="1"/>
        <v>0</v>
      </c>
    </row>
    <row r="54" spans="1:16" ht="12.75" customHeight="1">
      <c r="A54" s="560" t="s">
        <v>155</v>
      </c>
      <c r="B54" s="660">
        <v>43952</v>
      </c>
      <c r="C54" s="656">
        <v>0</v>
      </c>
      <c r="D54" s="660">
        <v>43983</v>
      </c>
      <c r="E54" s="776">
        <v>102201</v>
      </c>
      <c r="F54" s="791">
        <f t="shared" si="0"/>
        <v>102201</v>
      </c>
      <c r="G54" s="776">
        <v>52440</v>
      </c>
      <c r="H54" s="776">
        <v>9558</v>
      </c>
      <c r="I54" s="776">
        <v>35755</v>
      </c>
      <c r="J54" s="776">
        <v>4448</v>
      </c>
      <c r="K54" s="776">
        <v>0</v>
      </c>
      <c r="M54" s="777">
        <v>3797</v>
      </c>
      <c r="N54" s="877">
        <v>58</v>
      </c>
      <c r="O54" s="777">
        <v>593</v>
      </c>
      <c r="P54" s="792">
        <f t="shared" si="1"/>
        <v>4448</v>
      </c>
    </row>
    <row r="55" spans="1:16" ht="12.75" customHeight="1" thickBot="1">
      <c r="A55" s="752" t="s">
        <v>154</v>
      </c>
      <c r="B55" s="863">
        <v>43952</v>
      </c>
      <c r="C55" s="893">
        <v>0</v>
      </c>
      <c r="D55" s="863">
        <v>43983</v>
      </c>
      <c r="E55" s="878">
        <v>68831</v>
      </c>
      <c r="F55" s="870">
        <f t="shared" si="0"/>
        <v>68831</v>
      </c>
      <c r="G55" s="878">
        <v>35317</v>
      </c>
      <c r="H55" s="878">
        <v>6438</v>
      </c>
      <c r="I55" s="878">
        <v>24081</v>
      </c>
      <c r="J55" s="878">
        <v>2995</v>
      </c>
      <c r="K55" s="878">
        <v>0</v>
      </c>
      <c r="M55" s="798">
        <v>2557</v>
      </c>
      <c r="N55" s="799">
        <v>39</v>
      </c>
      <c r="O55" s="798">
        <v>399</v>
      </c>
      <c r="P55" s="794">
        <f t="shared" si="1"/>
        <v>2995</v>
      </c>
    </row>
    <row r="56" spans="1:16" ht="12.75" customHeight="1">
      <c r="A56" s="892" t="s">
        <v>171</v>
      </c>
      <c r="B56" s="876">
        <v>43881</v>
      </c>
      <c r="C56" s="868">
        <v>1</v>
      </c>
      <c r="D56" s="876">
        <v>44013</v>
      </c>
      <c r="E56" s="826">
        <v>6412</v>
      </c>
      <c r="F56" s="805">
        <f>SUM(G56:K56)</f>
        <v>6412</v>
      </c>
      <c r="G56" s="592">
        <v>3290</v>
      </c>
      <c r="H56" s="592">
        <v>599</v>
      </c>
      <c r="I56" s="592">
        <v>2244</v>
      </c>
      <c r="J56" s="592">
        <v>279</v>
      </c>
      <c r="K56" s="592">
        <v>0</v>
      </c>
      <c r="M56" s="781">
        <v>238</v>
      </c>
      <c r="N56" s="781">
        <v>4</v>
      </c>
      <c r="O56" s="781">
        <v>37</v>
      </c>
      <c r="P56" s="795">
        <f>SUM(M56:O56)</f>
        <v>279</v>
      </c>
    </row>
    <row r="57" spans="1:16" ht="12.75" customHeight="1">
      <c r="A57" s="560" t="s">
        <v>171</v>
      </c>
      <c r="B57" s="655">
        <v>43910</v>
      </c>
      <c r="C57" s="345">
        <v>1</v>
      </c>
      <c r="D57" s="655">
        <v>44013</v>
      </c>
      <c r="E57" s="861">
        <v>-15055</v>
      </c>
      <c r="F57" s="797">
        <f t="shared" ref="F57:F82" si="2">SUM(G57:K57)</f>
        <v>-15055</v>
      </c>
      <c r="G57" s="861">
        <v>-7724</v>
      </c>
      <c r="H57" s="861">
        <v>-1408</v>
      </c>
      <c r="I57" s="861">
        <v>-5268</v>
      </c>
      <c r="J57" s="861">
        <v>-655</v>
      </c>
      <c r="K57" s="267">
        <v>0</v>
      </c>
      <c r="M57" s="65">
        <v>-559</v>
      </c>
      <c r="N57" s="65">
        <v>-9</v>
      </c>
      <c r="O57" s="65">
        <v>-87</v>
      </c>
      <c r="P57" s="800">
        <f t="shared" ref="P57:P82" si="3">SUM(M57:O57)</f>
        <v>-655</v>
      </c>
    </row>
    <row r="58" spans="1:16" ht="12.75" customHeight="1">
      <c r="A58" s="560" t="s">
        <v>171</v>
      </c>
      <c r="B58" s="655">
        <v>43941</v>
      </c>
      <c r="C58" s="345">
        <v>1</v>
      </c>
      <c r="D58" s="655">
        <v>44013</v>
      </c>
      <c r="E58" s="822">
        <v>20019</v>
      </c>
      <c r="F58" s="797">
        <f t="shared" si="2"/>
        <v>20019</v>
      </c>
      <c r="G58" s="339">
        <v>10272</v>
      </c>
      <c r="H58" s="339">
        <v>1873</v>
      </c>
      <c r="I58" s="339">
        <v>7004</v>
      </c>
      <c r="J58" s="339">
        <v>870</v>
      </c>
      <c r="K58" s="339">
        <v>0</v>
      </c>
      <c r="M58" s="65">
        <v>743</v>
      </c>
      <c r="N58" s="65">
        <v>11</v>
      </c>
      <c r="O58" s="65">
        <v>116</v>
      </c>
      <c r="P58" s="800">
        <f t="shared" si="3"/>
        <v>870</v>
      </c>
    </row>
    <row r="59" spans="1:16" ht="12.75" customHeight="1">
      <c r="A59" s="560" t="s">
        <v>171</v>
      </c>
      <c r="B59" s="655">
        <v>43983</v>
      </c>
      <c r="C59" s="656">
        <v>0</v>
      </c>
      <c r="D59" s="655">
        <v>44013</v>
      </c>
      <c r="E59" s="822">
        <v>341931</v>
      </c>
      <c r="F59" s="797">
        <f t="shared" si="2"/>
        <v>341931</v>
      </c>
      <c r="G59" s="339">
        <v>175444</v>
      </c>
      <c r="H59" s="339">
        <v>31980</v>
      </c>
      <c r="I59" s="339">
        <v>119625</v>
      </c>
      <c r="J59" s="339">
        <v>14882</v>
      </c>
      <c r="K59" s="339">
        <v>0</v>
      </c>
      <c r="M59" s="65">
        <v>12704</v>
      </c>
      <c r="N59" s="65">
        <v>195</v>
      </c>
      <c r="O59" s="65">
        <v>1983</v>
      </c>
      <c r="P59" s="800">
        <f t="shared" si="3"/>
        <v>14882</v>
      </c>
    </row>
    <row r="60" spans="1:16" ht="12.75" customHeight="1">
      <c r="A60" s="565" t="s">
        <v>170</v>
      </c>
      <c r="B60" s="660">
        <v>43983</v>
      </c>
      <c r="C60" s="661">
        <v>0</v>
      </c>
      <c r="D60" s="660">
        <v>44013</v>
      </c>
      <c r="E60" s="824">
        <v>80617</v>
      </c>
      <c r="F60" s="791">
        <f t="shared" si="2"/>
        <v>80617</v>
      </c>
      <c r="G60" s="339">
        <v>41364</v>
      </c>
      <c r="H60" s="339">
        <v>7540</v>
      </c>
      <c r="I60" s="339">
        <v>28204</v>
      </c>
      <c r="J60" s="339">
        <v>3509</v>
      </c>
      <c r="K60" s="339">
        <v>0</v>
      </c>
      <c r="M60" s="777">
        <v>2995</v>
      </c>
      <c r="N60" s="877">
        <v>46</v>
      </c>
      <c r="O60" s="777">
        <v>468</v>
      </c>
      <c r="P60" s="792">
        <f t="shared" si="3"/>
        <v>3509</v>
      </c>
    </row>
    <row r="61" spans="1:16" ht="12.75" customHeight="1">
      <c r="A61" s="560" t="s">
        <v>169</v>
      </c>
      <c r="B61" s="655">
        <v>43983</v>
      </c>
      <c r="C61" s="656">
        <v>0</v>
      </c>
      <c r="D61" s="655">
        <v>44013</v>
      </c>
      <c r="E61" s="822">
        <v>152476</v>
      </c>
      <c r="F61" s="797">
        <f t="shared" si="2"/>
        <v>152476</v>
      </c>
      <c r="G61" s="267">
        <v>78236</v>
      </c>
      <c r="H61" s="267">
        <v>14260</v>
      </c>
      <c r="I61" s="267">
        <v>53344</v>
      </c>
      <c r="J61" s="267">
        <v>6636</v>
      </c>
      <c r="K61" s="267">
        <v>0</v>
      </c>
      <c r="M61" s="65">
        <v>5665</v>
      </c>
      <c r="N61" s="877">
        <v>87</v>
      </c>
      <c r="O61" s="777">
        <v>884</v>
      </c>
      <c r="P61" s="792">
        <f t="shared" si="3"/>
        <v>6636</v>
      </c>
    </row>
    <row r="62" spans="1:16" ht="12.75" customHeight="1">
      <c r="A62" s="560" t="s">
        <v>168</v>
      </c>
      <c r="B62" s="655">
        <v>43983</v>
      </c>
      <c r="C62" s="656">
        <v>0</v>
      </c>
      <c r="D62" s="655">
        <v>44013</v>
      </c>
      <c r="E62" s="822">
        <v>156026</v>
      </c>
      <c r="F62" s="797">
        <f t="shared" si="2"/>
        <v>156026</v>
      </c>
      <c r="G62" s="267">
        <v>80057</v>
      </c>
      <c r="H62" s="267">
        <v>14592</v>
      </c>
      <c r="I62" s="267">
        <v>54586</v>
      </c>
      <c r="J62" s="267">
        <v>6791</v>
      </c>
      <c r="K62" s="267">
        <v>0</v>
      </c>
      <c r="M62" s="65">
        <v>5797</v>
      </c>
      <c r="N62" s="877">
        <v>89</v>
      </c>
      <c r="O62" s="777">
        <v>905</v>
      </c>
      <c r="P62" s="792">
        <f t="shared" si="3"/>
        <v>6791</v>
      </c>
    </row>
    <row r="63" spans="1:16" ht="12.75" customHeight="1">
      <c r="A63" s="560" t="s">
        <v>167</v>
      </c>
      <c r="B63" s="655">
        <v>43983</v>
      </c>
      <c r="C63" s="656">
        <v>0</v>
      </c>
      <c r="D63" s="655">
        <v>44013</v>
      </c>
      <c r="E63" s="822">
        <v>27076</v>
      </c>
      <c r="F63" s="797">
        <f t="shared" si="2"/>
        <v>27076</v>
      </c>
      <c r="G63" s="267">
        <v>13894</v>
      </c>
      <c r="H63" s="267">
        <v>2531</v>
      </c>
      <c r="I63" s="267">
        <v>9473</v>
      </c>
      <c r="J63" s="267">
        <v>1178</v>
      </c>
      <c r="K63" s="267">
        <v>0</v>
      </c>
      <c r="M63" s="65">
        <v>1006</v>
      </c>
      <c r="N63" s="877">
        <v>15</v>
      </c>
      <c r="O63" s="777">
        <v>157</v>
      </c>
      <c r="P63" s="792">
        <f t="shared" si="3"/>
        <v>1178</v>
      </c>
    </row>
    <row r="64" spans="1:16" ht="12.75" customHeight="1">
      <c r="A64" s="560" t="s">
        <v>166</v>
      </c>
      <c r="B64" s="655">
        <v>43983</v>
      </c>
      <c r="C64" s="656">
        <v>0</v>
      </c>
      <c r="D64" s="655">
        <v>44013</v>
      </c>
      <c r="E64" s="822">
        <v>208255</v>
      </c>
      <c r="F64" s="797">
        <f t="shared" si="2"/>
        <v>208255</v>
      </c>
      <c r="G64" s="267">
        <v>106856</v>
      </c>
      <c r="H64" s="267">
        <v>19477</v>
      </c>
      <c r="I64" s="267">
        <v>72858</v>
      </c>
      <c r="J64" s="267">
        <v>9064</v>
      </c>
      <c r="K64" s="267">
        <v>0</v>
      </c>
      <c r="M64" s="65">
        <v>7737</v>
      </c>
      <c r="N64" s="877">
        <v>119</v>
      </c>
      <c r="O64" s="777">
        <v>1208</v>
      </c>
      <c r="P64" s="792">
        <f t="shared" si="3"/>
        <v>9064</v>
      </c>
    </row>
    <row r="65" spans="1:16" ht="12.75" customHeight="1">
      <c r="A65" s="560" t="s">
        <v>11</v>
      </c>
      <c r="B65" s="655">
        <v>43983</v>
      </c>
      <c r="C65" s="656">
        <v>0</v>
      </c>
      <c r="D65" s="655">
        <v>44013</v>
      </c>
      <c r="E65" s="822">
        <v>0</v>
      </c>
      <c r="F65" s="797">
        <f t="shared" si="2"/>
        <v>0</v>
      </c>
      <c r="G65" s="267">
        <v>0</v>
      </c>
      <c r="H65" s="267">
        <v>0</v>
      </c>
      <c r="I65" s="267">
        <v>0</v>
      </c>
      <c r="J65" s="267">
        <v>0</v>
      </c>
      <c r="K65" s="267">
        <v>0</v>
      </c>
      <c r="M65" s="65">
        <v>0</v>
      </c>
      <c r="N65" s="877">
        <v>0</v>
      </c>
      <c r="O65" s="777">
        <v>0</v>
      </c>
      <c r="P65" s="792">
        <f t="shared" si="3"/>
        <v>0</v>
      </c>
    </row>
    <row r="66" spans="1:16" ht="12.75" customHeight="1">
      <c r="A66" s="560" t="s">
        <v>165</v>
      </c>
      <c r="B66" s="655">
        <v>43983</v>
      </c>
      <c r="C66" s="656">
        <v>0</v>
      </c>
      <c r="D66" s="655">
        <v>44013</v>
      </c>
      <c r="E66" s="822">
        <v>636001</v>
      </c>
      <c r="F66" s="797">
        <f t="shared" si="2"/>
        <v>636001</v>
      </c>
      <c r="G66" s="267">
        <v>326332</v>
      </c>
      <c r="H66" s="267">
        <v>59482</v>
      </c>
      <c r="I66" s="267">
        <v>222506</v>
      </c>
      <c r="J66" s="267">
        <v>27681</v>
      </c>
      <c r="K66" s="267">
        <v>0</v>
      </c>
      <c r="M66" s="65">
        <v>23630</v>
      </c>
      <c r="N66" s="877">
        <v>362</v>
      </c>
      <c r="O66" s="777">
        <v>3689</v>
      </c>
      <c r="P66" s="792">
        <f t="shared" si="3"/>
        <v>27681</v>
      </c>
    </row>
    <row r="67" spans="1:16" ht="12.75" customHeight="1">
      <c r="A67" s="560" t="s">
        <v>164</v>
      </c>
      <c r="B67" s="655">
        <v>43739</v>
      </c>
      <c r="C67" s="345">
        <v>2</v>
      </c>
      <c r="D67" s="655">
        <v>44013</v>
      </c>
      <c r="E67" s="861">
        <v>-1178</v>
      </c>
      <c r="F67" s="797">
        <f t="shared" si="2"/>
        <v>-1178</v>
      </c>
      <c r="G67" s="861">
        <v>-605</v>
      </c>
      <c r="H67" s="861">
        <v>-109</v>
      </c>
      <c r="I67" s="861">
        <v>-412</v>
      </c>
      <c r="J67" s="861">
        <v>-52</v>
      </c>
      <c r="K67" s="267">
        <v>0</v>
      </c>
      <c r="M67" s="65">
        <v>-44</v>
      </c>
      <c r="N67" s="877">
        <v>-1</v>
      </c>
      <c r="O67" s="777">
        <v>-7</v>
      </c>
      <c r="P67" s="792">
        <f t="shared" si="3"/>
        <v>-52</v>
      </c>
    </row>
    <row r="68" spans="1:16" ht="12.75" customHeight="1">
      <c r="A68" s="560" t="s">
        <v>164</v>
      </c>
      <c r="B68" s="655">
        <v>43862</v>
      </c>
      <c r="C68" s="345">
        <v>1</v>
      </c>
      <c r="D68" s="655">
        <v>44013</v>
      </c>
      <c r="E68" s="822">
        <v>45080</v>
      </c>
      <c r="F68" s="797">
        <f t="shared" si="2"/>
        <v>45080</v>
      </c>
      <c r="G68" s="267">
        <v>23130</v>
      </c>
      <c r="H68" s="267">
        <v>4216</v>
      </c>
      <c r="I68" s="267">
        <v>15772</v>
      </c>
      <c r="J68" s="267">
        <v>1962</v>
      </c>
      <c r="K68" s="267">
        <v>0</v>
      </c>
      <c r="M68" s="65">
        <v>1675</v>
      </c>
      <c r="N68" s="877">
        <v>26</v>
      </c>
      <c r="O68" s="777">
        <v>261</v>
      </c>
      <c r="P68" s="792">
        <f t="shared" si="3"/>
        <v>1962</v>
      </c>
    </row>
    <row r="69" spans="1:16" ht="12.75" customHeight="1">
      <c r="A69" s="560" t="s">
        <v>164</v>
      </c>
      <c r="B69" s="655">
        <v>43922</v>
      </c>
      <c r="C69" s="345">
        <v>1</v>
      </c>
      <c r="D69" s="655">
        <v>44013</v>
      </c>
      <c r="E69" s="822">
        <v>10583</v>
      </c>
      <c r="F69" s="797">
        <f t="shared" si="2"/>
        <v>10583</v>
      </c>
      <c r="G69" s="267">
        <v>5430</v>
      </c>
      <c r="H69" s="267">
        <v>990</v>
      </c>
      <c r="I69" s="267">
        <v>3703</v>
      </c>
      <c r="J69" s="267">
        <v>460</v>
      </c>
      <c r="K69" s="267">
        <v>0</v>
      </c>
      <c r="M69" s="65">
        <v>393</v>
      </c>
      <c r="N69" s="877">
        <v>6</v>
      </c>
      <c r="O69" s="777">
        <v>61</v>
      </c>
      <c r="P69" s="792">
        <f t="shared" si="3"/>
        <v>460</v>
      </c>
    </row>
    <row r="70" spans="1:16" ht="12.75" customHeight="1">
      <c r="A70" s="560" t="s">
        <v>164</v>
      </c>
      <c r="B70" s="655">
        <v>43952</v>
      </c>
      <c r="C70" s="345">
        <v>1</v>
      </c>
      <c r="D70" s="655">
        <v>44013</v>
      </c>
      <c r="E70" s="822">
        <v>4034</v>
      </c>
      <c r="F70" s="797">
        <f t="shared" si="2"/>
        <v>4034</v>
      </c>
      <c r="G70" s="267">
        <v>2070</v>
      </c>
      <c r="H70" s="267">
        <v>379</v>
      </c>
      <c r="I70" s="267">
        <v>1411</v>
      </c>
      <c r="J70" s="267">
        <v>174</v>
      </c>
      <c r="K70" s="862">
        <v>0</v>
      </c>
      <c r="M70" s="65">
        <v>149</v>
      </c>
      <c r="N70" s="877">
        <v>2</v>
      </c>
      <c r="O70" s="777">
        <v>23</v>
      </c>
      <c r="P70" s="792">
        <f t="shared" si="3"/>
        <v>174</v>
      </c>
    </row>
    <row r="71" spans="1:16" ht="12.75" customHeight="1">
      <c r="A71" s="560" t="s">
        <v>164</v>
      </c>
      <c r="B71" s="655">
        <v>43983</v>
      </c>
      <c r="C71" s="656">
        <v>0</v>
      </c>
      <c r="D71" s="655">
        <v>44013</v>
      </c>
      <c r="E71" s="895">
        <v>206132</v>
      </c>
      <c r="F71" s="797">
        <f t="shared" si="2"/>
        <v>206132</v>
      </c>
      <c r="G71" s="267">
        <v>105765</v>
      </c>
      <c r="H71" s="267">
        <v>19279</v>
      </c>
      <c r="I71" s="267">
        <v>72116</v>
      </c>
      <c r="J71" s="267">
        <v>8972</v>
      </c>
      <c r="K71" s="267">
        <v>0</v>
      </c>
      <c r="M71" s="65">
        <v>7658</v>
      </c>
      <c r="N71" s="877">
        <v>118</v>
      </c>
      <c r="O71" s="777">
        <v>1196</v>
      </c>
      <c r="P71" s="792">
        <f t="shared" si="3"/>
        <v>8972</v>
      </c>
    </row>
    <row r="72" spans="1:16" ht="12.75" customHeight="1">
      <c r="A72" s="560" t="s">
        <v>163</v>
      </c>
      <c r="B72" s="655">
        <v>43983</v>
      </c>
      <c r="C72" s="656">
        <v>0</v>
      </c>
      <c r="D72" s="655">
        <v>44013</v>
      </c>
      <c r="E72" s="822">
        <v>147832</v>
      </c>
      <c r="F72" s="797">
        <f t="shared" si="2"/>
        <v>147832</v>
      </c>
      <c r="G72" s="267">
        <v>75853</v>
      </c>
      <c r="H72" s="267">
        <v>13826</v>
      </c>
      <c r="I72" s="267">
        <v>51719</v>
      </c>
      <c r="J72" s="267">
        <v>6434</v>
      </c>
      <c r="K72" s="267">
        <v>0</v>
      </c>
      <c r="M72" s="65">
        <v>5493</v>
      </c>
      <c r="N72" s="877">
        <v>84</v>
      </c>
      <c r="O72" s="777">
        <v>857</v>
      </c>
      <c r="P72" s="792">
        <f t="shared" si="3"/>
        <v>6434</v>
      </c>
    </row>
    <row r="73" spans="1:16" ht="12.75" customHeight="1">
      <c r="A73" s="560" t="s">
        <v>162</v>
      </c>
      <c r="B73" s="655">
        <v>43983</v>
      </c>
      <c r="C73" s="656">
        <v>0</v>
      </c>
      <c r="D73" s="655">
        <v>44013</v>
      </c>
      <c r="E73" s="822">
        <v>47537</v>
      </c>
      <c r="F73" s="797">
        <f t="shared" si="2"/>
        <v>47537</v>
      </c>
      <c r="G73" s="267">
        <v>24391</v>
      </c>
      <c r="H73" s="267">
        <v>4446</v>
      </c>
      <c r="I73" s="267">
        <v>16631</v>
      </c>
      <c r="J73" s="267">
        <v>2069</v>
      </c>
      <c r="K73" s="267">
        <v>0</v>
      </c>
      <c r="M73" s="65">
        <v>1766</v>
      </c>
      <c r="N73" s="877">
        <v>27</v>
      </c>
      <c r="O73" s="777">
        <v>276</v>
      </c>
      <c r="P73" s="792">
        <f t="shared" si="3"/>
        <v>2069</v>
      </c>
    </row>
    <row r="74" spans="1:16" ht="12.75" customHeight="1">
      <c r="A74" s="560" t="s">
        <v>161</v>
      </c>
      <c r="B74" s="655">
        <v>43983</v>
      </c>
      <c r="C74" s="656">
        <v>0</v>
      </c>
      <c r="D74" s="655">
        <v>44013</v>
      </c>
      <c r="E74" s="822">
        <v>106144</v>
      </c>
      <c r="F74" s="797">
        <f t="shared" si="2"/>
        <v>106144</v>
      </c>
      <c r="G74" s="267">
        <v>54461</v>
      </c>
      <c r="H74" s="267">
        <v>9927</v>
      </c>
      <c r="I74" s="267">
        <v>37135</v>
      </c>
      <c r="J74" s="267">
        <v>4621</v>
      </c>
      <c r="K74" s="267">
        <v>0</v>
      </c>
      <c r="M74" s="65">
        <v>3944</v>
      </c>
      <c r="N74" s="877">
        <v>61</v>
      </c>
      <c r="O74" s="777">
        <v>616</v>
      </c>
      <c r="P74" s="792">
        <f t="shared" si="3"/>
        <v>4621</v>
      </c>
    </row>
    <row r="75" spans="1:16" ht="12.75" customHeight="1">
      <c r="A75" s="560" t="s">
        <v>160</v>
      </c>
      <c r="B75" s="655">
        <v>43983</v>
      </c>
      <c r="C75" s="656">
        <v>0</v>
      </c>
      <c r="D75" s="655">
        <v>44013</v>
      </c>
      <c r="E75" s="822">
        <v>785248</v>
      </c>
      <c r="F75" s="797">
        <f>SUM(G75:K75)</f>
        <v>785248</v>
      </c>
      <c r="G75" s="267">
        <v>402910</v>
      </c>
      <c r="H75" s="267">
        <v>73440</v>
      </c>
      <c r="I75" s="267">
        <v>274720</v>
      </c>
      <c r="J75" s="267">
        <v>34178</v>
      </c>
      <c r="K75" s="267">
        <v>0</v>
      </c>
      <c r="M75" s="65">
        <v>29176</v>
      </c>
      <c r="N75" s="877">
        <v>448</v>
      </c>
      <c r="O75" s="777">
        <v>4554</v>
      </c>
      <c r="P75" s="792">
        <f>SUM(M75:O75)</f>
        <v>34178</v>
      </c>
    </row>
    <row r="76" spans="1:16" ht="12.75" customHeight="1">
      <c r="A76" s="560" t="s">
        <v>159</v>
      </c>
      <c r="B76" s="655">
        <v>43983</v>
      </c>
      <c r="C76" s="656">
        <v>0</v>
      </c>
      <c r="D76" s="655">
        <v>44013</v>
      </c>
      <c r="E76" s="822">
        <v>75045</v>
      </c>
      <c r="F76" s="797">
        <f t="shared" si="2"/>
        <v>75045</v>
      </c>
      <c r="G76" s="267">
        <v>38505</v>
      </c>
      <c r="H76" s="267">
        <v>7019</v>
      </c>
      <c r="I76" s="267">
        <v>26255</v>
      </c>
      <c r="J76" s="267">
        <v>3266</v>
      </c>
      <c r="K76" s="267">
        <v>0</v>
      </c>
      <c r="M76" s="65">
        <v>2788</v>
      </c>
      <c r="N76" s="877">
        <v>43</v>
      </c>
      <c r="O76" s="777">
        <v>435</v>
      </c>
      <c r="P76" s="792">
        <f t="shared" si="3"/>
        <v>3266</v>
      </c>
    </row>
    <row r="77" spans="1:16" ht="12.75" customHeight="1">
      <c r="A77" s="560" t="s">
        <v>158</v>
      </c>
      <c r="B77" s="655">
        <v>43983</v>
      </c>
      <c r="C77" s="656">
        <v>0</v>
      </c>
      <c r="D77" s="655">
        <v>44013</v>
      </c>
      <c r="E77" s="822">
        <v>81220</v>
      </c>
      <c r="F77" s="797">
        <f t="shared" si="2"/>
        <v>81220</v>
      </c>
      <c r="G77" s="267">
        <v>41675</v>
      </c>
      <c r="H77" s="267">
        <v>7595</v>
      </c>
      <c r="I77" s="267">
        <v>28415</v>
      </c>
      <c r="J77" s="267">
        <v>3535</v>
      </c>
      <c r="K77" s="267">
        <v>0</v>
      </c>
      <c r="M77" s="65">
        <v>3018</v>
      </c>
      <c r="N77" s="877">
        <v>46</v>
      </c>
      <c r="O77" s="777">
        <v>471</v>
      </c>
      <c r="P77" s="792">
        <f t="shared" si="3"/>
        <v>3535</v>
      </c>
    </row>
    <row r="78" spans="1:16" ht="12.75" customHeight="1">
      <c r="A78" s="560" t="s">
        <v>157</v>
      </c>
      <c r="B78" s="655">
        <v>43983</v>
      </c>
      <c r="C78" s="656">
        <v>0</v>
      </c>
      <c r="D78" s="655">
        <v>44013</v>
      </c>
      <c r="E78" s="822">
        <v>7514</v>
      </c>
      <c r="F78" s="797">
        <f t="shared" si="2"/>
        <v>7514</v>
      </c>
      <c r="G78" s="267">
        <v>3855</v>
      </c>
      <c r="H78" s="267">
        <v>703</v>
      </c>
      <c r="I78" s="267">
        <v>2629</v>
      </c>
      <c r="J78" s="267">
        <v>327</v>
      </c>
      <c r="K78" s="267">
        <v>0</v>
      </c>
      <c r="M78" s="65">
        <v>279</v>
      </c>
      <c r="N78" s="877">
        <v>4</v>
      </c>
      <c r="O78" s="777">
        <v>44</v>
      </c>
      <c r="P78" s="792">
        <f t="shared" si="3"/>
        <v>327</v>
      </c>
    </row>
    <row r="79" spans="1:16" ht="12.75" customHeight="1">
      <c r="A79" s="560" t="s">
        <v>156</v>
      </c>
      <c r="B79" s="655">
        <v>43983</v>
      </c>
      <c r="C79" s="656">
        <v>0</v>
      </c>
      <c r="D79" s="655">
        <v>44013</v>
      </c>
      <c r="E79" s="822">
        <v>27624</v>
      </c>
      <c r="F79" s="797">
        <f t="shared" si="2"/>
        <v>27624</v>
      </c>
      <c r="G79" s="267">
        <v>14174</v>
      </c>
      <c r="H79" s="267">
        <v>2583</v>
      </c>
      <c r="I79" s="267">
        <v>9665</v>
      </c>
      <c r="J79" s="267">
        <v>1202</v>
      </c>
      <c r="K79" s="267">
        <v>0</v>
      </c>
      <c r="M79" s="65">
        <v>1026</v>
      </c>
      <c r="N79" s="877">
        <v>16</v>
      </c>
      <c r="O79" s="777">
        <v>160</v>
      </c>
      <c r="P79" s="792">
        <f t="shared" si="3"/>
        <v>1202</v>
      </c>
    </row>
    <row r="80" spans="1:16" ht="12.75" customHeight="1">
      <c r="A80" s="560" t="s">
        <v>155</v>
      </c>
      <c r="B80" s="655">
        <v>43983</v>
      </c>
      <c r="C80" s="656">
        <v>0</v>
      </c>
      <c r="D80" s="655">
        <v>44013</v>
      </c>
      <c r="E80" s="822">
        <v>97230</v>
      </c>
      <c r="F80" s="797">
        <f t="shared" si="2"/>
        <v>97230</v>
      </c>
      <c r="G80" s="267">
        <v>49888</v>
      </c>
      <c r="H80" s="267">
        <v>9094</v>
      </c>
      <c r="I80" s="267">
        <v>34016</v>
      </c>
      <c r="J80" s="267">
        <v>4232</v>
      </c>
      <c r="K80" s="267">
        <v>0</v>
      </c>
      <c r="M80" s="65">
        <v>3613</v>
      </c>
      <c r="N80" s="877">
        <v>55</v>
      </c>
      <c r="O80" s="777">
        <v>564</v>
      </c>
      <c r="P80" s="792">
        <f t="shared" si="3"/>
        <v>4232</v>
      </c>
    </row>
    <row r="81" spans="1:16" ht="12.75" customHeight="1">
      <c r="A81" s="752" t="s">
        <v>154</v>
      </c>
      <c r="B81" s="655">
        <v>43952</v>
      </c>
      <c r="C81" s="345">
        <v>1</v>
      </c>
      <c r="D81" s="655">
        <v>44013</v>
      </c>
      <c r="E81" s="861">
        <v>-8</v>
      </c>
      <c r="F81" s="806">
        <f t="shared" si="2"/>
        <v>-8</v>
      </c>
      <c r="G81" s="861">
        <v>-4</v>
      </c>
      <c r="H81" s="861">
        <v>-1</v>
      </c>
      <c r="I81" s="861">
        <v>-3</v>
      </c>
      <c r="J81" s="861">
        <v>0</v>
      </c>
      <c r="K81" s="861">
        <v>0</v>
      </c>
      <c r="M81" s="65">
        <v>0</v>
      </c>
      <c r="N81" s="877">
        <v>0</v>
      </c>
      <c r="O81" s="777">
        <v>0</v>
      </c>
      <c r="P81" s="792">
        <f t="shared" si="3"/>
        <v>0</v>
      </c>
    </row>
    <row r="82" spans="1:16" ht="12.75" customHeight="1" thickBot="1">
      <c r="A82" s="657" t="s">
        <v>154</v>
      </c>
      <c r="B82" s="655">
        <v>43983</v>
      </c>
      <c r="C82" s="656">
        <v>0</v>
      </c>
      <c r="D82" s="655">
        <v>44013</v>
      </c>
      <c r="E82" s="823">
        <v>31119</v>
      </c>
      <c r="F82" s="793">
        <f t="shared" si="2"/>
        <v>31119</v>
      </c>
      <c r="G82" s="267">
        <v>15968</v>
      </c>
      <c r="H82" s="267">
        <v>2910</v>
      </c>
      <c r="I82" s="267">
        <v>10887</v>
      </c>
      <c r="J82" s="267">
        <v>1354</v>
      </c>
      <c r="K82" s="267">
        <v>0</v>
      </c>
      <c r="M82" s="65">
        <v>1156</v>
      </c>
      <c r="N82" s="877">
        <v>18</v>
      </c>
      <c r="O82" s="777">
        <v>180</v>
      </c>
      <c r="P82" s="792">
        <f t="shared" si="3"/>
        <v>1354</v>
      </c>
    </row>
    <row r="83" spans="1:16" ht="3.65" customHeight="1">
      <c r="A83" s="662"/>
      <c r="B83" s="663"/>
      <c r="C83" s="664"/>
      <c r="D83" s="665"/>
      <c r="E83" s="666"/>
      <c r="F83" s="666"/>
      <c r="G83" s="666"/>
      <c r="H83" s="666"/>
      <c r="I83" s="666"/>
      <c r="J83" s="667"/>
      <c r="K83" s="667"/>
      <c r="M83" s="726"/>
      <c r="N83" s="727"/>
      <c r="O83" s="727"/>
      <c r="P83" s="727"/>
    </row>
    <row r="84" spans="1:16">
      <c r="A84" s="785" t="s">
        <v>59</v>
      </c>
      <c r="B84" s="785"/>
      <c r="C84" s="65"/>
      <c r="D84" s="655">
        <v>43971</v>
      </c>
      <c r="E84" s="65">
        <f t="shared" ref="E84:K84" si="4">SUM(E4:E29)</f>
        <v>1738224</v>
      </c>
      <c r="F84" s="65">
        <f t="shared" si="4"/>
        <v>1738224</v>
      </c>
      <c r="G84" s="65">
        <f t="shared" si="4"/>
        <v>891886</v>
      </c>
      <c r="H84" s="65">
        <f t="shared" si="4"/>
        <v>162568</v>
      </c>
      <c r="I84" s="65">
        <f t="shared" si="4"/>
        <v>608123</v>
      </c>
      <c r="J84" s="65">
        <f t="shared" si="4"/>
        <v>75647</v>
      </c>
      <c r="K84" s="65">
        <f t="shared" si="4"/>
        <v>0</v>
      </c>
      <c r="M84" s="65">
        <f>SUM(M4:M29)</f>
        <v>64578</v>
      </c>
      <c r="N84" s="65">
        <f>SUM(N4:N29)</f>
        <v>990</v>
      </c>
      <c r="O84" s="65">
        <f>SUM(O4:O29)</f>
        <v>10079</v>
      </c>
      <c r="P84" s="65">
        <f>SUM(P4:P29)</f>
        <v>75647</v>
      </c>
    </row>
    <row r="85" spans="1:16">
      <c r="A85" s="785" t="s">
        <v>59</v>
      </c>
      <c r="B85" s="785"/>
      <c r="C85" s="65"/>
      <c r="D85" s="655">
        <v>44002</v>
      </c>
      <c r="E85" s="65">
        <f t="shared" ref="E85:K85" si="5">SUM(E30:E55)</f>
        <v>3075866</v>
      </c>
      <c r="F85" s="65">
        <f t="shared" si="5"/>
        <v>3075866</v>
      </c>
      <c r="G85" s="65">
        <f t="shared" si="5"/>
        <v>1578231</v>
      </c>
      <c r="H85" s="65">
        <f t="shared" si="5"/>
        <v>287672</v>
      </c>
      <c r="I85" s="65">
        <f t="shared" si="5"/>
        <v>1076096</v>
      </c>
      <c r="J85" s="65">
        <f t="shared" si="5"/>
        <v>133867</v>
      </c>
      <c r="K85" s="65">
        <f t="shared" si="5"/>
        <v>0</v>
      </c>
      <c r="M85" s="65">
        <f>SUM(M30:M55)</f>
        <v>114275</v>
      </c>
      <c r="N85" s="65">
        <f>SUM(N30:N55)</f>
        <v>1752</v>
      </c>
      <c r="O85" s="65">
        <f>SUM(O30:O55)</f>
        <v>17840</v>
      </c>
      <c r="P85" s="65">
        <f>SUM(P30:P55)</f>
        <v>133867</v>
      </c>
    </row>
    <row r="86" spans="1:16" ht="13" thickBot="1">
      <c r="A86" s="787" t="s">
        <v>59</v>
      </c>
      <c r="B86" s="787"/>
      <c r="C86" s="668"/>
      <c r="D86" s="658">
        <v>44032</v>
      </c>
      <c r="E86" s="668">
        <f t="shared" ref="E86:K86" si="6">SUM(E56:E82)</f>
        <v>3284914</v>
      </c>
      <c r="F86" s="668">
        <f t="shared" si="6"/>
        <v>3284914</v>
      </c>
      <c r="G86" s="668">
        <f t="shared" si="6"/>
        <v>1685487</v>
      </c>
      <c r="H86" s="668">
        <f t="shared" si="6"/>
        <v>307223</v>
      </c>
      <c r="I86" s="668">
        <f t="shared" si="6"/>
        <v>1149235</v>
      </c>
      <c r="J86" s="668">
        <f t="shared" si="6"/>
        <v>142969</v>
      </c>
      <c r="K86" s="668">
        <f t="shared" si="6"/>
        <v>0</v>
      </c>
      <c r="M86" s="668">
        <f>SUM(M56:M82)</f>
        <v>122046</v>
      </c>
      <c r="N86" s="668">
        <f>SUM(N56:N82)</f>
        <v>1872</v>
      </c>
      <c r="O86" s="668">
        <f>SUM(O56:O82)</f>
        <v>19051</v>
      </c>
      <c r="P86" s="668">
        <f>SUM(P56:P82)</f>
        <v>142969</v>
      </c>
    </row>
    <row r="87" spans="1:16" ht="13" thickBot="1">
      <c r="A87" s="670" t="s">
        <v>58</v>
      </c>
      <c r="B87" s="671"/>
      <c r="C87" s="668"/>
      <c r="D87" s="671"/>
      <c r="E87" s="668">
        <f t="shared" ref="E87:K87" si="7">SUM(E84:E86)</f>
        <v>8099004</v>
      </c>
      <c r="F87" s="668">
        <f t="shared" si="7"/>
        <v>8099004</v>
      </c>
      <c r="G87" s="668">
        <f t="shared" si="7"/>
        <v>4155604</v>
      </c>
      <c r="H87" s="668">
        <f t="shared" si="7"/>
        <v>757463</v>
      </c>
      <c r="I87" s="668">
        <f t="shared" si="7"/>
        <v>2833454</v>
      </c>
      <c r="J87" s="668">
        <f t="shared" si="7"/>
        <v>352483</v>
      </c>
      <c r="K87" s="668">
        <f t="shared" si="7"/>
        <v>0</v>
      </c>
      <c r="M87" s="668">
        <f>SUM(M84:M86)</f>
        <v>300899</v>
      </c>
      <c r="N87" s="668">
        <f>SUM(N84:N86)</f>
        <v>4614</v>
      </c>
      <c r="O87" s="668">
        <f>SUM(O84:O86)</f>
        <v>46970</v>
      </c>
      <c r="P87" s="668">
        <f>SUM(P84:P86)</f>
        <v>352483</v>
      </c>
    </row>
    <row r="88" spans="1:16">
      <c r="A88" s="58" t="s">
        <v>57</v>
      </c>
      <c r="B88" s="655"/>
      <c r="C88" s="655"/>
      <c r="D88" s="655"/>
      <c r="E88" s="65"/>
      <c r="F88" s="65"/>
      <c r="G88" s="65">
        <v>-4</v>
      </c>
      <c r="H88" s="65">
        <v>-4</v>
      </c>
      <c r="I88" s="65">
        <v>-17</v>
      </c>
      <c r="J88" s="65">
        <v>25</v>
      </c>
      <c r="K88" s="65">
        <v>0</v>
      </c>
      <c r="L88" s="12"/>
      <c r="M88" s="777">
        <v>19</v>
      </c>
      <c r="N88" s="777">
        <v>2</v>
      </c>
      <c r="O88" s="777">
        <v>4</v>
      </c>
      <c r="P88" s="777">
        <v>25</v>
      </c>
    </row>
    <row r="89" spans="1:16" ht="3" customHeight="1">
      <c r="A89" s="672"/>
      <c r="B89" s="673"/>
      <c r="C89" s="674"/>
      <c r="D89" s="674"/>
      <c r="E89" s="674"/>
      <c r="F89" s="674"/>
      <c r="G89" s="674"/>
      <c r="H89" s="674"/>
      <c r="I89" s="674"/>
      <c r="J89" s="869"/>
      <c r="K89" s="869"/>
      <c r="M89" s="789"/>
      <c r="N89" s="674"/>
      <c r="O89" s="674"/>
      <c r="P89" s="674"/>
    </row>
    <row r="90" spans="1:16" ht="13">
      <c r="A90" s="16" t="s">
        <v>48</v>
      </c>
      <c r="B90" s="105" t="s">
        <v>303</v>
      </c>
      <c r="C90" s="62"/>
      <c r="D90" s="62"/>
      <c r="E90" s="62">
        <f t="shared" ref="E90:P90" si="8">SUM(E87:E88)</f>
        <v>8099004</v>
      </c>
      <c r="F90" s="62">
        <f t="shared" si="8"/>
        <v>8099004</v>
      </c>
      <c r="G90" s="62">
        <f t="shared" si="8"/>
        <v>4155600</v>
      </c>
      <c r="H90" s="62">
        <f t="shared" si="8"/>
        <v>757459</v>
      </c>
      <c r="I90" s="62">
        <f t="shared" si="8"/>
        <v>2833437</v>
      </c>
      <c r="J90" s="62">
        <f t="shared" si="8"/>
        <v>352508</v>
      </c>
      <c r="K90" s="62">
        <f t="shared" si="8"/>
        <v>0</v>
      </c>
      <c r="L90" s="790"/>
      <c r="M90" s="62">
        <f t="shared" si="8"/>
        <v>300918</v>
      </c>
      <c r="N90" s="62">
        <f t="shared" si="8"/>
        <v>4616</v>
      </c>
      <c r="O90" s="62">
        <f t="shared" si="8"/>
        <v>46974</v>
      </c>
      <c r="P90" s="62">
        <f t="shared" si="8"/>
        <v>352508</v>
      </c>
    </row>
    <row r="91" spans="1:16">
      <c r="F91" s="12"/>
      <c r="G91" s="12"/>
      <c r="M91" s="89"/>
      <c r="N91" s="89"/>
      <c r="O91" s="89"/>
      <c r="P91" s="12"/>
    </row>
    <row r="92" spans="1:16">
      <c r="E92" s="675"/>
      <c r="F92" s="675"/>
      <c r="G92" s="675"/>
      <c r="H92" s="675"/>
      <c r="I92" s="675"/>
      <c r="J92" s="675"/>
      <c r="M92" s="89"/>
      <c r="N92" s="89"/>
      <c r="O92" s="89"/>
      <c r="P92" s="12"/>
    </row>
    <row r="93" spans="1:16">
      <c r="E93" s="675"/>
      <c r="F93" s="675"/>
      <c r="G93" s="675"/>
      <c r="H93" s="675"/>
      <c r="I93" s="912"/>
      <c r="J93" s="912"/>
      <c r="K93" s="912"/>
      <c r="L93" s="564"/>
      <c r="M93" s="912"/>
      <c r="N93" s="912"/>
      <c r="O93" s="912"/>
      <c r="P93" s="912"/>
    </row>
    <row r="94" spans="1:16">
      <c r="E94" s="675"/>
      <c r="F94" s="675"/>
      <c r="G94" s="675"/>
      <c r="H94" s="675"/>
      <c r="I94" s="675"/>
      <c r="J94" s="675"/>
      <c r="M94" s="91"/>
      <c r="N94" s="91"/>
      <c r="O94" s="91"/>
      <c r="P94" s="675"/>
    </row>
    <row r="95" spans="1:16">
      <c r="E95" s="675"/>
      <c r="F95" s="675"/>
      <c r="G95" s="675"/>
      <c r="H95" s="675"/>
      <c r="I95" s="675"/>
      <c r="J95" s="675"/>
      <c r="M95" s="91"/>
      <c r="N95" s="91"/>
      <c r="O95" s="91"/>
      <c r="P95" s="85"/>
    </row>
    <row r="96" spans="1:16">
      <c r="E96" s="12"/>
      <c r="M96" s="12"/>
      <c r="N96" s="12"/>
      <c r="O96" s="12"/>
      <c r="P96" s="12"/>
    </row>
    <row r="97" spans="8:16">
      <c r="M97" s="12"/>
      <c r="N97" s="12"/>
      <c r="O97" s="12"/>
      <c r="P97" s="12"/>
    </row>
    <row r="98" spans="8:16">
      <c r="M98" s="12"/>
      <c r="N98" s="12"/>
      <c r="O98" s="12"/>
      <c r="P98" s="12"/>
    </row>
    <row r="99" spans="8:16">
      <c r="M99" s="12"/>
      <c r="N99" s="12"/>
      <c r="O99" s="12"/>
      <c r="P99" s="12"/>
    </row>
    <row r="100" spans="8:16">
      <c r="M100" s="12"/>
      <c r="N100" s="12"/>
      <c r="O100" s="12"/>
      <c r="P100" s="12"/>
    </row>
    <row r="101" spans="8:16">
      <c r="M101" s="12"/>
      <c r="N101" s="12"/>
      <c r="O101" s="12"/>
      <c r="P101" s="12"/>
    </row>
    <row r="104" spans="8:16">
      <c r="H104" s="676"/>
    </row>
  </sheetData>
  <mergeCells count="1">
    <mergeCell ref="A1:L1"/>
  </mergeCells>
  <conditionalFormatting sqref="L15">
    <cfRule type="cellIs" dxfId="3" priority="4" operator="equal">
      <formula>0</formula>
    </cfRule>
  </conditionalFormatting>
  <conditionalFormatting sqref="L30">
    <cfRule type="cellIs" dxfId="2" priority="3" operator="equal">
      <formula>0</formula>
    </cfRule>
  </conditionalFormatting>
  <conditionalFormatting sqref="L33">
    <cfRule type="cellIs" dxfId="1" priority="2" operator="equal">
      <formula>0</formula>
    </cfRule>
  </conditionalFormatting>
  <conditionalFormatting sqref="L35">
    <cfRule type="cellIs" dxfId="0" priority="1" operator="equal">
      <formula>0</formula>
    </cfRule>
  </conditionalFormatting>
  <pageMargins left="0.25" right="0.25" top="0.25" bottom="0.25" header="0.34" footer="0.5"/>
  <pageSetup scale="64" orientation="landscape" r:id="rId1"/>
  <headerFooter>
    <oddHeader>&amp;CCalWIN Maintenance and Operations Project County Claim Summary</oddHeader>
    <oddFooter>&amp;Cpage &amp;P of &amp;N</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tint="0.59999389629810485"/>
    <pageSetUpPr fitToPage="1"/>
  </sheetPr>
  <dimension ref="A1:P104"/>
  <sheetViews>
    <sheetView showGridLines="0" zoomScaleNormal="100" workbookViewId="0">
      <pane xSplit="2" ySplit="1" topLeftCell="C62" activePane="bottomRight" state="frozen"/>
      <selection activeCell="A3" sqref="A3"/>
      <selection pane="topRight" activeCell="A3" sqref="A3"/>
      <selection pane="bottomLeft" activeCell="A3" sqref="A3"/>
      <selection pane="bottomRight"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11" width="12.7265625" style="1" customWidth="1"/>
    <col min="12" max="12" width="6" style="1" customWidth="1"/>
    <col min="13" max="16" width="11.54296875" style="1" customWidth="1"/>
    <col min="17" max="16384" width="9.1796875" style="1"/>
  </cols>
  <sheetData>
    <row r="1" spans="1:16" ht="14">
      <c r="A1" s="999" t="s">
        <v>312</v>
      </c>
      <c r="B1" s="999"/>
      <c r="C1" s="999"/>
      <c r="D1" s="999"/>
      <c r="E1" s="999"/>
      <c r="F1" s="999"/>
      <c r="G1" s="999"/>
      <c r="H1" s="999"/>
      <c r="I1" s="999"/>
      <c r="J1" s="999"/>
      <c r="K1" s="999"/>
      <c r="L1" s="999"/>
    </row>
    <row r="2" spans="1:16" ht="12.75" customHeight="1"/>
    <row r="3" spans="1:16" ht="42.75" customHeight="1">
      <c r="A3" s="848" t="s">
        <v>44</v>
      </c>
      <c r="B3" s="848" t="s">
        <v>68</v>
      </c>
      <c r="C3" s="848" t="s">
        <v>67</v>
      </c>
      <c r="D3" s="848" t="s">
        <v>66</v>
      </c>
      <c r="E3" s="848" t="s">
        <v>215</v>
      </c>
      <c r="F3" s="848" t="s">
        <v>48</v>
      </c>
      <c r="G3" s="848" t="s">
        <v>65</v>
      </c>
      <c r="H3" s="848" t="s">
        <v>64</v>
      </c>
      <c r="I3" s="848" t="s">
        <v>63</v>
      </c>
      <c r="J3" s="853" t="s">
        <v>62</v>
      </c>
      <c r="K3" s="853" t="s">
        <v>61</v>
      </c>
      <c r="M3" s="140" t="s">
        <v>43</v>
      </c>
      <c r="N3" s="24" t="s">
        <v>42</v>
      </c>
      <c r="O3" s="24" t="s">
        <v>138</v>
      </c>
      <c r="P3" s="24" t="s">
        <v>60</v>
      </c>
    </row>
    <row r="4" spans="1:16" ht="12.75" customHeight="1">
      <c r="A4" s="560" t="s">
        <v>171</v>
      </c>
      <c r="B4" s="655">
        <v>43922</v>
      </c>
      <c r="C4" s="656">
        <v>0</v>
      </c>
      <c r="D4" s="655">
        <v>43952</v>
      </c>
      <c r="E4" s="822">
        <v>0</v>
      </c>
      <c r="F4" s="797">
        <f>SUM(G4:K4)</f>
        <v>0</v>
      </c>
      <c r="G4" s="267">
        <v>0</v>
      </c>
      <c r="H4" s="267">
        <v>0</v>
      </c>
      <c r="I4" s="267">
        <v>0</v>
      </c>
      <c r="J4" s="267">
        <v>0</v>
      </c>
      <c r="K4" s="267">
        <v>0</v>
      </c>
      <c r="M4" s="65">
        <v>0</v>
      </c>
      <c r="N4" s="877">
        <v>0</v>
      </c>
      <c r="O4" s="777">
        <v>0</v>
      </c>
      <c r="P4" s="792">
        <f>SUM(M4:O4)</f>
        <v>0</v>
      </c>
    </row>
    <row r="5" spans="1:16" ht="12.75" customHeight="1">
      <c r="A5" s="560" t="s">
        <v>170</v>
      </c>
      <c r="B5" s="655">
        <v>43922</v>
      </c>
      <c r="C5" s="656">
        <v>0</v>
      </c>
      <c r="D5" s="655">
        <v>43952</v>
      </c>
      <c r="E5" s="822">
        <v>0</v>
      </c>
      <c r="F5" s="797">
        <f t="shared" ref="F5:F55" si="0">SUM(G5:K5)</f>
        <v>0</v>
      </c>
      <c r="G5" s="267">
        <v>0</v>
      </c>
      <c r="H5" s="267">
        <v>0</v>
      </c>
      <c r="I5" s="267">
        <v>0</v>
      </c>
      <c r="J5" s="267">
        <v>0</v>
      </c>
      <c r="K5" s="267">
        <v>0</v>
      </c>
      <c r="M5" s="65">
        <v>0</v>
      </c>
      <c r="N5" s="877">
        <v>0</v>
      </c>
      <c r="O5" s="777">
        <v>0</v>
      </c>
      <c r="P5" s="792">
        <f t="shared" ref="P5:P55" si="1">SUM(M5:O5)</f>
        <v>0</v>
      </c>
    </row>
    <row r="6" spans="1:16" ht="12.75" customHeight="1">
      <c r="A6" s="560" t="s">
        <v>169</v>
      </c>
      <c r="B6" s="655">
        <v>43922</v>
      </c>
      <c r="C6" s="656">
        <v>0</v>
      </c>
      <c r="D6" s="655">
        <v>43952</v>
      </c>
      <c r="E6" s="822">
        <v>0</v>
      </c>
      <c r="F6" s="797">
        <f t="shared" si="0"/>
        <v>0</v>
      </c>
      <c r="G6" s="267">
        <v>0</v>
      </c>
      <c r="H6" s="267">
        <v>0</v>
      </c>
      <c r="I6" s="267">
        <v>0</v>
      </c>
      <c r="J6" s="267">
        <v>0</v>
      </c>
      <c r="K6" s="267">
        <v>0</v>
      </c>
      <c r="M6" s="65">
        <v>0</v>
      </c>
      <c r="N6" s="877">
        <v>0</v>
      </c>
      <c r="O6" s="777">
        <v>0</v>
      </c>
      <c r="P6" s="792">
        <f t="shared" si="1"/>
        <v>0</v>
      </c>
    </row>
    <row r="7" spans="1:16" ht="12.75" customHeight="1">
      <c r="A7" s="560" t="s">
        <v>168</v>
      </c>
      <c r="B7" s="655">
        <v>43922</v>
      </c>
      <c r="C7" s="656">
        <v>0</v>
      </c>
      <c r="D7" s="655">
        <v>43952</v>
      </c>
      <c r="E7" s="822">
        <v>0</v>
      </c>
      <c r="F7" s="797">
        <f t="shared" si="0"/>
        <v>0</v>
      </c>
      <c r="G7" s="267">
        <v>0</v>
      </c>
      <c r="H7" s="267">
        <v>0</v>
      </c>
      <c r="I7" s="267">
        <v>0</v>
      </c>
      <c r="J7" s="267">
        <v>0</v>
      </c>
      <c r="K7" s="267">
        <v>0</v>
      </c>
      <c r="M7" s="65">
        <v>0</v>
      </c>
      <c r="N7" s="877">
        <v>0</v>
      </c>
      <c r="O7" s="777">
        <v>0</v>
      </c>
      <c r="P7" s="792">
        <f t="shared" si="1"/>
        <v>0</v>
      </c>
    </row>
    <row r="8" spans="1:16" ht="12.75" customHeight="1">
      <c r="A8" s="560" t="s">
        <v>167</v>
      </c>
      <c r="B8" s="655">
        <v>43922</v>
      </c>
      <c r="C8" s="656">
        <v>0</v>
      </c>
      <c r="D8" s="655">
        <v>43952</v>
      </c>
      <c r="E8" s="822">
        <v>0</v>
      </c>
      <c r="F8" s="797">
        <f t="shared" si="0"/>
        <v>0</v>
      </c>
      <c r="G8" s="267">
        <v>0</v>
      </c>
      <c r="H8" s="267">
        <v>0</v>
      </c>
      <c r="I8" s="267">
        <v>0</v>
      </c>
      <c r="J8" s="267">
        <v>0</v>
      </c>
      <c r="K8" s="267">
        <v>0</v>
      </c>
      <c r="M8" s="65">
        <v>0</v>
      </c>
      <c r="N8" s="877">
        <v>0</v>
      </c>
      <c r="O8" s="777">
        <v>0</v>
      </c>
      <c r="P8" s="792">
        <f t="shared" si="1"/>
        <v>0</v>
      </c>
    </row>
    <row r="9" spans="1:16" ht="12.75" customHeight="1">
      <c r="A9" s="560" t="s">
        <v>166</v>
      </c>
      <c r="B9" s="655">
        <v>43922</v>
      </c>
      <c r="C9" s="656">
        <v>0</v>
      </c>
      <c r="D9" s="655">
        <v>43952</v>
      </c>
      <c r="E9" s="822">
        <v>0</v>
      </c>
      <c r="F9" s="797">
        <f t="shared" si="0"/>
        <v>0</v>
      </c>
      <c r="G9" s="267">
        <v>0</v>
      </c>
      <c r="H9" s="267">
        <v>0</v>
      </c>
      <c r="I9" s="267">
        <v>0</v>
      </c>
      <c r="J9" s="267">
        <v>0</v>
      </c>
      <c r="K9" s="267">
        <v>0</v>
      </c>
      <c r="M9" s="65">
        <v>0</v>
      </c>
      <c r="N9" s="877">
        <v>0</v>
      </c>
      <c r="O9" s="777">
        <v>0</v>
      </c>
      <c r="P9" s="792">
        <f t="shared" si="1"/>
        <v>0</v>
      </c>
    </row>
    <row r="10" spans="1:16" ht="12.75" customHeight="1">
      <c r="A10" s="560" t="s">
        <v>11</v>
      </c>
      <c r="B10" s="655">
        <v>43922</v>
      </c>
      <c r="C10" s="656">
        <v>0</v>
      </c>
      <c r="D10" s="655">
        <v>43952</v>
      </c>
      <c r="E10" s="822">
        <v>194438</v>
      </c>
      <c r="F10" s="797">
        <f t="shared" si="0"/>
        <v>194438</v>
      </c>
      <c r="G10" s="267">
        <v>99767</v>
      </c>
      <c r="H10" s="267">
        <v>18184</v>
      </c>
      <c r="I10" s="267">
        <v>68024</v>
      </c>
      <c r="J10" s="267">
        <v>8463</v>
      </c>
      <c r="K10" s="267">
        <v>0</v>
      </c>
      <c r="M10" s="65">
        <v>7224</v>
      </c>
      <c r="N10" s="877">
        <v>111</v>
      </c>
      <c r="O10" s="777">
        <v>1128</v>
      </c>
      <c r="P10" s="792">
        <f t="shared" si="1"/>
        <v>8463</v>
      </c>
    </row>
    <row r="11" spans="1:16" ht="12.75" customHeight="1">
      <c r="A11" s="560" t="s">
        <v>165</v>
      </c>
      <c r="B11" s="655">
        <v>43922</v>
      </c>
      <c r="C11" s="656">
        <v>0</v>
      </c>
      <c r="D11" s="655">
        <v>43952</v>
      </c>
      <c r="E11" s="822">
        <v>0</v>
      </c>
      <c r="F11" s="797">
        <f t="shared" si="0"/>
        <v>0</v>
      </c>
      <c r="G11" s="267">
        <v>0</v>
      </c>
      <c r="H11" s="267">
        <v>0</v>
      </c>
      <c r="I11" s="267">
        <v>0</v>
      </c>
      <c r="J11" s="267">
        <v>0</v>
      </c>
      <c r="K11" s="267">
        <v>0</v>
      </c>
      <c r="M11" s="65">
        <v>0</v>
      </c>
      <c r="N11" s="877">
        <v>0</v>
      </c>
      <c r="O11" s="777">
        <v>0</v>
      </c>
      <c r="P11" s="792">
        <f t="shared" si="1"/>
        <v>0</v>
      </c>
    </row>
    <row r="12" spans="1:16" ht="12.75" customHeight="1">
      <c r="A12" s="560" t="s">
        <v>164</v>
      </c>
      <c r="B12" s="655">
        <v>43739</v>
      </c>
      <c r="C12" s="345">
        <v>1</v>
      </c>
      <c r="D12" s="655">
        <v>43952</v>
      </c>
      <c r="E12" s="561">
        <v>0</v>
      </c>
      <c r="F12" s="797">
        <f t="shared" si="0"/>
        <v>0</v>
      </c>
      <c r="G12" s="267">
        <v>0</v>
      </c>
      <c r="H12" s="267">
        <v>0</v>
      </c>
      <c r="I12" s="267">
        <v>0</v>
      </c>
      <c r="J12" s="267">
        <v>0</v>
      </c>
      <c r="K12" s="267">
        <v>0</v>
      </c>
      <c r="M12" s="65">
        <v>0</v>
      </c>
      <c r="N12" s="877">
        <v>0</v>
      </c>
      <c r="O12" s="777">
        <v>0</v>
      </c>
      <c r="P12" s="792">
        <f t="shared" si="1"/>
        <v>0</v>
      </c>
    </row>
    <row r="13" spans="1:16" ht="12.75" customHeight="1">
      <c r="A13" s="560" t="s">
        <v>164</v>
      </c>
      <c r="B13" s="655">
        <v>43922</v>
      </c>
      <c r="C13" s="656">
        <v>0</v>
      </c>
      <c r="D13" s="655">
        <v>43952</v>
      </c>
      <c r="E13" s="561">
        <v>0</v>
      </c>
      <c r="F13" s="797">
        <f t="shared" si="0"/>
        <v>0</v>
      </c>
      <c r="G13" s="267">
        <v>0</v>
      </c>
      <c r="H13" s="267">
        <v>0</v>
      </c>
      <c r="I13" s="267">
        <v>0</v>
      </c>
      <c r="J13" s="267">
        <v>0</v>
      </c>
      <c r="K13" s="267">
        <v>0</v>
      </c>
      <c r="M13" s="65">
        <v>0</v>
      </c>
      <c r="N13" s="877">
        <v>0</v>
      </c>
      <c r="O13" s="777">
        <v>0</v>
      </c>
      <c r="P13" s="792">
        <f t="shared" si="1"/>
        <v>0</v>
      </c>
    </row>
    <row r="14" spans="1:16" ht="12.75" customHeight="1">
      <c r="A14" s="560" t="s">
        <v>163</v>
      </c>
      <c r="B14" s="655">
        <v>43922</v>
      </c>
      <c r="C14" s="656">
        <v>0</v>
      </c>
      <c r="D14" s="655">
        <v>43952</v>
      </c>
      <c r="E14" s="822">
        <v>0</v>
      </c>
      <c r="F14" s="797">
        <f t="shared" si="0"/>
        <v>0</v>
      </c>
      <c r="G14" s="267">
        <v>0</v>
      </c>
      <c r="H14" s="267">
        <v>0</v>
      </c>
      <c r="I14" s="267">
        <v>0</v>
      </c>
      <c r="J14" s="267">
        <v>0</v>
      </c>
      <c r="K14" s="267">
        <v>0</v>
      </c>
      <c r="M14" s="65">
        <v>0</v>
      </c>
      <c r="N14" s="877">
        <v>0</v>
      </c>
      <c r="O14" s="777">
        <v>0</v>
      </c>
      <c r="P14" s="792">
        <f t="shared" si="1"/>
        <v>0</v>
      </c>
    </row>
    <row r="15" spans="1:16" ht="12.75" customHeight="1">
      <c r="A15" s="560" t="s">
        <v>162</v>
      </c>
      <c r="B15" s="655">
        <v>43922</v>
      </c>
      <c r="C15" s="656">
        <v>0</v>
      </c>
      <c r="D15" s="655">
        <v>43952</v>
      </c>
      <c r="E15" s="822">
        <v>0</v>
      </c>
      <c r="F15" s="797">
        <f t="shared" si="0"/>
        <v>0</v>
      </c>
      <c r="G15" s="267">
        <v>0</v>
      </c>
      <c r="H15" s="267">
        <v>0</v>
      </c>
      <c r="I15" s="267">
        <v>0</v>
      </c>
      <c r="J15" s="267">
        <v>0</v>
      </c>
      <c r="K15" s="267">
        <v>0</v>
      </c>
      <c r="M15" s="65">
        <v>0</v>
      </c>
      <c r="N15" s="877">
        <v>0</v>
      </c>
      <c r="O15" s="777">
        <v>0</v>
      </c>
      <c r="P15" s="792">
        <f t="shared" si="1"/>
        <v>0</v>
      </c>
    </row>
    <row r="16" spans="1:16" ht="12.75" customHeight="1">
      <c r="A16" s="560" t="s">
        <v>161</v>
      </c>
      <c r="B16" s="655">
        <v>43922</v>
      </c>
      <c r="C16" s="656">
        <v>0</v>
      </c>
      <c r="D16" s="655">
        <v>43952</v>
      </c>
      <c r="E16" s="822">
        <v>0</v>
      </c>
      <c r="F16" s="797">
        <f t="shared" si="0"/>
        <v>0</v>
      </c>
      <c r="G16" s="267">
        <v>0</v>
      </c>
      <c r="H16" s="267">
        <v>0</v>
      </c>
      <c r="I16" s="267">
        <v>0</v>
      </c>
      <c r="J16" s="267">
        <v>0</v>
      </c>
      <c r="K16" s="267">
        <v>0</v>
      </c>
      <c r="M16" s="65">
        <v>0</v>
      </c>
      <c r="N16" s="877">
        <v>0</v>
      </c>
      <c r="O16" s="777">
        <v>0</v>
      </c>
      <c r="P16" s="792">
        <f t="shared" si="1"/>
        <v>0</v>
      </c>
    </row>
    <row r="17" spans="1:16" ht="12.75" customHeight="1">
      <c r="A17" s="560" t="s">
        <v>160</v>
      </c>
      <c r="B17" s="655">
        <v>44105</v>
      </c>
      <c r="C17" s="345">
        <v>2</v>
      </c>
      <c r="D17" s="655">
        <v>43952</v>
      </c>
      <c r="E17" s="822">
        <v>0</v>
      </c>
      <c r="F17" s="797">
        <f t="shared" si="0"/>
        <v>0</v>
      </c>
      <c r="G17" s="267">
        <v>0</v>
      </c>
      <c r="H17" s="267">
        <v>0</v>
      </c>
      <c r="I17" s="267">
        <v>0</v>
      </c>
      <c r="J17" s="267">
        <v>0</v>
      </c>
      <c r="K17" s="267">
        <v>0</v>
      </c>
      <c r="M17" s="65">
        <v>0</v>
      </c>
      <c r="N17" s="877">
        <v>0</v>
      </c>
      <c r="O17" s="777">
        <v>0</v>
      </c>
      <c r="P17" s="792">
        <f t="shared" si="1"/>
        <v>0</v>
      </c>
    </row>
    <row r="18" spans="1:16" ht="12.75" customHeight="1">
      <c r="A18" s="560" t="s">
        <v>160</v>
      </c>
      <c r="B18" s="655">
        <v>44136</v>
      </c>
      <c r="C18" s="345">
        <v>2</v>
      </c>
      <c r="D18" s="655">
        <v>43952</v>
      </c>
      <c r="E18" s="822">
        <v>0</v>
      </c>
      <c r="F18" s="797">
        <f t="shared" si="0"/>
        <v>0</v>
      </c>
      <c r="G18" s="267">
        <v>0</v>
      </c>
      <c r="H18" s="267">
        <v>0</v>
      </c>
      <c r="I18" s="267">
        <v>0</v>
      </c>
      <c r="J18" s="267">
        <v>0</v>
      </c>
      <c r="K18" s="267">
        <v>0</v>
      </c>
      <c r="M18" s="65">
        <v>0</v>
      </c>
      <c r="N18" s="877">
        <v>0</v>
      </c>
      <c r="O18" s="777">
        <v>0</v>
      </c>
      <c r="P18" s="792">
        <f t="shared" si="1"/>
        <v>0</v>
      </c>
    </row>
    <row r="19" spans="1:16" ht="12.75" customHeight="1">
      <c r="A19" s="560" t="s">
        <v>160</v>
      </c>
      <c r="B19" s="655">
        <v>44166</v>
      </c>
      <c r="C19" s="345">
        <v>2</v>
      </c>
      <c r="D19" s="655">
        <v>43952</v>
      </c>
      <c r="E19" s="822">
        <v>0</v>
      </c>
      <c r="F19" s="797">
        <f t="shared" si="0"/>
        <v>0</v>
      </c>
      <c r="G19" s="267">
        <v>0</v>
      </c>
      <c r="H19" s="267">
        <v>0</v>
      </c>
      <c r="I19" s="267">
        <v>0</v>
      </c>
      <c r="J19" s="267">
        <v>0</v>
      </c>
      <c r="K19" s="267">
        <v>0</v>
      </c>
      <c r="M19" s="65">
        <v>0</v>
      </c>
      <c r="N19" s="877">
        <v>0</v>
      </c>
      <c r="O19" s="777">
        <v>0</v>
      </c>
      <c r="P19" s="792">
        <f t="shared" si="1"/>
        <v>0</v>
      </c>
    </row>
    <row r="20" spans="1:16" ht="12.75" customHeight="1">
      <c r="A20" s="560" t="s">
        <v>160</v>
      </c>
      <c r="B20" s="655">
        <v>43831</v>
      </c>
      <c r="C20" s="345">
        <v>2</v>
      </c>
      <c r="D20" s="655">
        <v>43952</v>
      </c>
      <c r="E20" s="822">
        <v>0</v>
      </c>
      <c r="F20" s="797">
        <f t="shared" si="0"/>
        <v>0</v>
      </c>
      <c r="G20" s="267">
        <v>0</v>
      </c>
      <c r="H20" s="267">
        <v>0</v>
      </c>
      <c r="I20" s="267">
        <v>0</v>
      </c>
      <c r="J20" s="267">
        <v>0</v>
      </c>
      <c r="K20" s="267">
        <v>0</v>
      </c>
      <c r="M20" s="65">
        <v>0</v>
      </c>
      <c r="N20" s="877">
        <v>0</v>
      </c>
      <c r="O20" s="777">
        <v>0</v>
      </c>
      <c r="P20" s="792">
        <f t="shared" si="1"/>
        <v>0</v>
      </c>
    </row>
    <row r="21" spans="1:16" ht="12.75" customHeight="1">
      <c r="A21" s="560" t="s">
        <v>160</v>
      </c>
      <c r="B21" s="655">
        <v>43862</v>
      </c>
      <c r="C21" s="345">
        <v>2</v>
      </c>
      <c r="D21" s="655">
        <v>43952</v>
      </c>
      <c r="E21" s="822">
        <v>0</v>
      </c>
      <c r="F21" s="797">
        <f t="shared" si="0"/>
        <v>0</v>
      </c>
      <c r="G21" s="267">
        <v>0</v>
      </c>
      <c r="H21" s="267">
        <v>0</v>
      </c>
      <c r="I21" s="267">
        <v>0</v>
      </c>
      <c r="J21" s="267">
        <v>0</v>
      </c>
      <c r="K21" s="267">
        <v>0</v>
      </c>
      <c r="M21" s="65">
        <v>0</v>
      </c>
      <c r="N21" s="877">
        <v>0</v>
      </c>
      <c r="O21" s="777">
        <v>0</v>
      </c>
      <c r="P21" s="792">
        <f t="shared" si="1"/>
        <v>0</v>
      </c>
    </row>
    <row r="22" spans="1:16" ht="12.75" customHeight="1">
      <c r="A22" s="560" t="s">
        <v>160</v>
      </c>
      <c r="B22" s="655">
        <v>43891</v>
      </c>
      <c r="C22" s="345">
        <v>1</v>
      </c>
      <c r="D22" s="655">
        <v>43952</v>
      </c>
      <c r="E22" s="822">
        <v>0</v>
      </c>
      <c r="F22" s="797">
        <f t="shared" si="0"/>
        <v>0</v>
      </c>
      <c r="G22" s="267">
        <v>0</v>
      </c>
      <c r="H22" s="267">
        <v>0</v>
      </c>
      <c r="I22" s="267">
        <v>0</v>
      </c>
      <c r="J22" s="267">
        <v>0</v>
      </c>
      <c r="K22" s="267">
        <v>0</v>
      </c>
      <c r="M22" s="65">
        <v>0</v>
      </c>
      <c r="N22" s="877">
        <v>0</v>
      </c>
      <c r="O22" s="777">
        <v>0</v>
      </c>
      <c r="P22" s="792">
        <f t="shared" si="1"/>
        <v>0</v>
      </c>
    </row>
    <row r="23" spans="1:16" ht="12.75" customHeight="1">
      <c r="A23" s="560" t="s">
        <v>160</v>
      </c>
      <c r="B23" s="655">
        <v>43922</v>
      </c>
      <c r="C23" s="656">
        <v>0</v>
      </c>
      <c r="D23" s="655">
        <v>43952</v>
      </c>
      <c r="E23" s="822">
        <v>0</v>
      </c>
      <c r="F23" s="797">
        <f t="shared" si="0"/>
        <v>0</v>
      </c>
      <c r="G23" s="267">
        <v>0</v>
      </c>
      <c r="H23" s="267">
        <v>0</v>
      </c>
      <c r="I23" s="267">
        <v>0</v>
      </c>
      <c r="J23" s="267">
        <v>0</v>
      </c>
      <c r="K23" s="267">
        <v>0</v>
      </c>
      <c r="M23" s="65">
        <v>0</v>
      </c>
      <c r="N23" s="877">
        <v>0</v>
      </c>
      <c r="O23" s="777">
        <v>0</v>
      </c>
      <c r="P23" s="792">
        <f t="shared" si="1"/>
        <v>0</v>
      </c>
    </row>
    <row r="24" spans="1:16" ht="12.75" customHeight="1">
      <c r="A24" s="560" t="s">
        <v>159</v>
      </c>
      <c r="B24" s="655">
        <v>43922</v>
      </c>
      <c r="C24" s="656">
        <v>0</v>
      </c>
      <c r="D24" s="655">
        <v>43952</v>
      </c>
      <c r="E24" s="822">
        <v>0</v>
      </c>
      <c r="F24" s="797">
        <f t="shared" si="0"/>
        <v>0</v>
      </c>
      <c r="G24" s="267">
        <v>0</v>
      </c>
      <c r="H24" s="267">
        <v>0</v>
      </c>
      <c r="I24" s="267">
        <v>0</v>
      </c>
      <c r="J24" s="267">
        <v>0</v>
      </c>
      <c r="K24" s="267">
        <v>0</v>
      </c>
      <c r="M24" s="65">
        <v>0</v>
      </c>
      <c r="N24" s="877">
        <v>0</v>
      </c>
      <c r="O24" s="777">
        <v>0</v>
      </c>
      <c r="P24" s="792">
        <f t="shared" si="1"/>
        <v>0</v>
      </c>
    </row>
    <row r="25" spans="1:16" ht="12.75" customHeight="1">
      <c r="A25" s="560" t="s">
        <v>158</v>
      </c>
      <c r="B25" s="655">
        <v>43922</v>
      </c>
      <c r="C25" s="656">
        <v>0</v>
      </c>
      <c r="D25" s="655">
        <v>43952</v>
      </c>
      <c r="E25" s="822">
        <v>0</v>
      </c>
      <c r="F25" s="797">
        <f t="shared" si="0"/>
        <v>0</v>
      </c>
      <c r="G25" s="267">
        <v>0</v>
      </c>
      <c r="H25" s="267">
        <v>0</v>
      </c>
      <c r="I25" s="267">
        <v>0</v>
      </c>
      <c r="J25" s="267">
        <v>0</v>
      </c>
      <c r="K25" s="267">
        <v>0</v>
      </c>
      <c r="M25" s="65">
        <v>0</v>
      </c>
      <c r="N25" s="877">
        <v>0</v>
      </c>
      <c r="O25" s="777">
        <v>0</v>
      </c>
      <c r="P25" s="792">
        <f t="shared" si="1"/>
        <v>0</v>
      </c>
    </row>
    <row r="26" spans="1:16" ht="12.75" customHeight="1">
      <c r="A26" s="560" t="s">
        <v>157</v>
      </c>
      <c r="B26" s="655">
        <v>43922</v>
      </c>
      <c r="C26" s="656">
        <v>0</v>
      </c>
      <c r="D26" s="655">
        <v>43952</v>
      </c>
      <c r="E26" s="822">
        <v>0</v>
      </c>
      <c r="F26" s="797">
        <f t="shared" si="0"/>
        <v>0</v>
      </c>
      <c r="G26" s="267">
        <v>0</v>
      </c>
      <c r="H26" s="267">
        <v>0</v>
      </c>
      <c r="I26" s="267">
        <v>0</v>
      </c>
      <c r="J26" s="267">
        <v>0</v>
      </c>
      <c r="K26" s="267">
        <v>0</v>
      </c>
      <c r="M26" s="65">
        <v>0</v>
      </c>
      <c r="N26" s="877">
        <v>0</v>
      </c>
      <c r="O26" s="777">
        <v>0</v>
      </c>
      <c r="P26" s="792">
        <f t="shared" si="1"/>
        <v>0</v>
      </c>
    </row>
    <row r="27" spans="1:16" ht="12.75" customHeight="1">
      <c r="A27" s="560" t="s">
        <v>156</v>
      </c>
      <c r="B27" s="655">
        <v>43922</v>
      </c>
      <c r="C27" s="656">
        <v>0</v>
      </c>
      <c r="D27" s="655">
        <v>43952</v>
      </c>
      <c r="E27" s="822">
        <v>0</v>
      </c>
      <c r="F27" s="797">
        <f t="shared" si="0"/>
        <v>0</v>
      </c>
      <c r="G27" s="267">
        <v>0</v>
      </c>
      <c r="H27" s="267">
        <v>0</v>
      </c>
      <c r="I27" s="267">
        <v>0</v>
      </c>
      <c r="J27" s="267">
        <v>0</v>
      </c>
      <c r="K27" s="267">
        <v>0</v>
      </c>
      <c r="M27" s="65">
        <v>0</v>
      </c>
      <c r="N27" s="877">
        <v>0</v>
      </c>
      <c r="O27" s="777">
        <v>0</v>
      </c>
      <c r="P27" s="792">
        <f t="shared" si="1"/>
        <v>0</v>
      </c>
    </row>
    <row r="28" spans="1:16" ht="12.75" customHeight="1">
      <c r="A28" s="560" t="s">
        <v>155</v>
      </c>
      <c r="B28" s="655">
        <v>43922</v>
      </c>
      <c r="C28" s="656">
        <v>0</v>
      </c>
      <c r="D28" s="655">
        <v>43952</v>
      </c>
      <c r="E28" s="822">
        <v>0</v>
      </c>
      <c r="F28" s="797">
        <f t="shared" si="0"/>
        <v>0</v>
      </c>
      <c r="G28" s="267">
        <v>0</v>
      </c>
      <c r="H28" s="267">
        <v>0</v>
      </c>
      <c r="I28" s="267">
        <v>0</v>
      </c>
      <c r="J28" s="267">
        <v>0</v>
      </c>
      <c r="K28" s="267">
        <v>0</v>
      </c>
      <c r="M28" s="65">
        <v>0</v>
      </c>
      <c r="N28" s="877">
        <v>0</v>
      </c>
      <c r="O28" s="777">
        <v>0</v>
      </c>
      <c r="P28" s="792">
        <f t="shared" si="1"/>
        <v>0</v>
      </c>
    </row>
    <row r="29" spans="1:16" ht="12.75" customHeight="1" thickBot="1">
      <c r="A29" s="657" t="s">
        <v>154</v>
      </c>
      <c r="B29" s="844">
        <v>43922</v>
      </c>
      <c r="C29" s="659">
        <v>0</v>
      </c>
      <c r="D29" s="844">
        <v>43952</v>
      </c>
      <c r="E29" s="825">
        <v>0</v>
      </c>
      <c r="F29" s="806">
        <f t="shared" si="0"/>
        <v>0</v>
      </c>
      <c r="G29" s="753">
        <v>0</v>
      </c>
      <c r="H29" s="753">
        <v>0</v>
      </c>
      <c r="I29" s="753">
        <v>0</v>
      </c>
      <c r="J29" s="753">
        <v>0</v>
      </c>
      <c r="K29" s="753">
        <v>0</v>
      </c>
      <c r="L29" s="311"/>
      <c r="M29" s="669">
        <v>0</v>
      </c>
      <c r="N29" s="801">
        <v>0</v>
      </c>
      <c r="O29" s="668">
        <v>0</v>
      </c>
      <c r="P29" s="802">
        <f t="shared" si="1"/>
        <v>0</v>
      </c>
    </row>
    <row r="30" spans="1:16" ht="12.75" customHeight="1">
      <c r="A30" s="892" t="s">
        <v>171</v>
      </c>
      <c r="B30" s="876">
        <v>43800</v>
      </c>
      <c r="C30" s="868">
        <v>2</v>
      </c>
      <c r="D30" s="876">
        <v>43983</v>
      </c>
      <c r="E30" s="826">
        <v>0</v>
      </c>
      <c r="F30" s="805">
        <f t="shared" si="0"/>
        <v>0</v>
      </c>
      <c r="G30" s="592">
        <v>0</v>
      </c>
      <c r="H30" s="592">
        <v>0</v>
      </c>
      <c r="I30" s="592">
        <v>0</v>
      </c>
      <c r="J30" s="592">
        <v>0</v>
      </c>
      <c r="K30" s="592">
        <v>0</v>
      </c>
      <c r="M30" s="777">
        <v>0</v>
      </c>
      <c r="N30" s="777">
        <v>0</v>
      </c>
      <c r="O30" s="777">
        <v>0</v>
      </c>
      <c r="P30" s="792">
        <v>0</v>
      </c>
    </row>
    <row r="31" spans="1:16" ht="12.75" customHeight="1">
      <c r="A31" s="565" t="s">
        <v>171</v>
      </c>
      <c r="B31" s="660">
        <v>43952</v>
      </c>
      <c r="C31" s="661">
        <v>0</v>
      </c>
      <c r="D31" s="660">
        <v>43983</v>
      </c>
      <c r="E31" s="824">
        <v>0</v>
      </c>
      <c r="F31" s="791">
        <f t="shared" si="0"/>
        <v>0</v>
      </c>
      <c r="G31" s="339">
        <v>0</v>
      </c>
      <c r="H31" s="339">
        <v>0</v>
      </c>
      <c r="I31" s="339">
        <v>0</v>
      </c>
      <c r="J31" s="339">
        <v>0</v>
      </c>
      <c r="K31" s="339">
        <v>0</v>
      </c>
      <c r="M31" s="777">
        <v>0</v>
      </c>
      <c r="N31" s="777">
        <v>0</v>
      </c>
      <c r="O31" s="777">
        <v>0</v>
      </c>
      <c r="P31" s="792">
        <v>0</v>
      </c>
    </row>
    <row r="32" spans="1:16" ht="12.75" customHeight="1">
      <c r="A32" s="560" t="s">
        <v>170</v>
      </c>
      <c r="B32" s="660">
        <v>43800</v>
      </c>
      <c r="C32" s="756">
        <v>1</v>
      </c>
      <c r="D32" s="660">
        <v>43983</v>
      </c>
      <c r="E32" s="822">
        <v>0</v>
      </c>
      <c r="F32" s="791">
        <f t="shared" si="0"/>
        <v>0</v>
      </c>
      <c r="G32" s="339">
        <v>0</v>
      </c>
      <c r="H32" s="339">
        <v>0</v>
      </c>
      <c r="I32" s="339">
        <v>0</v>
      </c>
      <c r="J32" s="339">
        <v>0</v>
      </c>
      <c r="K32" s="339">
        <v>0</v>
      </c>
      <c r="M32" s="777">
        <v>0</v>
      </c>
      <c r="N32" s="877">
        <v>0</v>
      </c>
      <c r="O32" s="777">
        <v>0</v>
      </c>
      <c r="P32" s="792">
        <v>0</v>
      </c>
    </row>
    <row r="33" spans="1:16" ht="12.75" customHeight="1">
      <c r="A33" s="560" t="s">
        <v>170</v>
      </c>
      <c r="B33" s="660">
        <v>43831</v>
      </c>
      <c r="C33" s="756">
        <v>1</v>
      </c>
      <c r="D33" s="660">
        <v>43983</v>
      </c>
      <c r="E33" s="822">
        <v>0</v>
      </c>
      <c r="F33" s="791">
        <f t="shared" si="0"/>
        <v>0</v>
      </c>
      <c r="G33" s="339">
        <v>0</v>
      </c>
      <c r="H33" s="339">
        <v>0</v>
      </c>
      <c r="I33" s="339">
        <v>0</v>
      </c>
      <c r="J33" s="339">
        <v>0</v>
      </c>
      <c r="K33" s="339">
        <v>0</v>
      </c>
      <c r="M33" s="777">
        <v>0</v>
      </c>
      <c r="N33" s="877">
        <v>0</v>
      </c>
      <c r="O33" s="777">
        <v>0</v>
      </c>
      <c r="P33" s="792">
        <v>0</v>
      </c>
    </row>
    <row r="34" spans="1:16" ht="12.75" customHeight="1">
      <c r="A34" s="560" t="s">
        <v>170</v>
      </c>
      <c r="B34" s="660">
        <v>43862</v>
      </c>
      <c r="C34" s="756">
        <v>1</v>
      </c>
      <c r="D34" s="660">
        <v>43983</v>
      </c>
      <c r="E34" s="822">
        <v>0</v>
      </c>
      <c r="F34" s="791">
        <f t="shared" si="0"/>
        <v>0</v>
      </c>
      <c r="G34" s="339">
        <v>0</v>
      </c>
      <c r="H34" s="339">
        <v>0</v>
      </c>
      <c r="I34" s="339">
        <v>0</v>
      </c>
      <c r="J34" s="339">
        <v>0</v>
      </c>
      <c r="K34" s="339">
        <v>0</v>
      </c>
      <c r="M34" s="777">
        <v>0</v>
      </c>
      <c r="N34" s="877">
        <v>0</v>
      </c>
      <c r="O34" s="777">
        <v>0</v>
      </c>
      <c r="P34" s="792">
        <v>0</v>
      </c>
    </row>
    <row r="35" spans="1:16" ht="12.75" customHeight="1">
      <c r="A35" s="560" t="s">
        <v>170</v>
      </c>
      <c r="B35" s="660">
        <v>43891</v>
      </c>
      <c r="C35" s="756">
        <v>1</v>
      </c>
      <c r="D35" s="660">
        <v>43983</v>
      </c>
      <c r="E35" s="822">
        <v>0</v>
      </c>
      <c r="F35" s="791">
        <f t="shared" si="0"/>
        <v>0</v>
      </c>
      <c r="G35" s="339">
        <v>0</v>
      </c>
      <c r="H35" s="339">
        <v>0</v>
      </c>
      <c r="I35" s="339">
        <v>0</v>
      </c>
      <c r="J35" s="339">
        <v>0</v>
      </c>
      <c r="K35" s="339">
        <v>0</v>
      </c>
      <c r="M35" s="777">
        <v>0</v>
      </c>
      <c r="N35" s="877">
        <v>0</v>
      </c>
      <c r="O35" s="777">
        <v>0</v>
      </c>
      <c r="P35" s="792">
        <v>0</v>
      </c>
    </row>
    <row r="36" spans="1:16" ht="12.75" customHeight="1">
      <c r="A36" s="560" t="s">
        <v>170</v>
      </c>
      <c r="B36" s="660">
        <v>43922</v>
      </c>
      <c r="C36" s="756">
        <v>1</v>
      </c>
      <c r="D36" s="660">
        <v>43983</v>
      </c>
      <c r="E36" s="822">
        <v>0</v>
      </c>
      <c r="F36" s="791">
        <f t="shared" si="0"/>
        <v>0</v>
      </c>
      <c r="G36" s="339">
        <v>0</v>
      </c>
      <c r="H36" s="339">
        <v>0</v>
      </c>
      <c r="I36" s="339">
        <v>0</v>
      </c>
      <c r="J36" s="339">
        <v>0</v>
      </c>
      <c r="K36" s="339">
        <v>0</v>
      </c>
      <c r="M36" s="777">
        <v>0</v>
      </c>
      <c r="N36" s="877">
        <v>0</v>
      </c>
      <c r="O36" s="777">
        <v>0</v>
      </c>
      <c r="P36" s="792">
        <v>0</v>
      </c>
    </row>
    <row r="37" spans="1:16" ht="12.75" customHeight="1">
      <c r="A37" s="560" t="s">
        <v>170</v>
      </c>
      <c r="B37" s="660">
        <v>43952</v>
      </c>
      <c r="C37" s="661">
        <v>0</v>
      </c>
      <c r="D37" s="660">
        <v>43983</v>
      </c>
      <c r="E37" s="822">
        <v>0</v>
      </c>
      <c r="F37" s="791">
        <f t="shared" si="0"/>
        <v>0</v>
      </c>
      <c r="G37" s="339">
        <v>0</v>
      </c>
      <c r="H37" s="339">
        <v>0</v>
      </c>
      <c r="I37" s="339">
        <v>0</v>
      </c>
      <c r="J37" s="339">
        <v>0</v>
      </c>
      <c r="K37" s="339">
        <v>0</v>
      </c>
      <c r="M37" s="777">
        <v>0</v>
      </c>
      <c r="N37" s="877">
        <v>0</v>
      </c>
      <c r="O37" s="777">
        <v>0</v>
      </c>
      <c r="P37" s="792">
        <v>0</v>
      </c>
    </row>
    <row r="38" spans="1:16" ht="12.75" customHeight="1">
      <c r="A38" s="560" t="s">
        <v>169</v>
      </c>
      <c r="B38" s="660">
        <v>43952</v>
      </c>
      <c r="C38" s="656">
        <v>0</v>
      </c>
      <c r="D38" s="660">
        <v>43983</v>
      </c>
      <c r="E38" s="822">
        <v>0</v>
      </c>
      <c r="F38" s="791">
        <f t="shared" si="0"/>
        <v>0</v>
      </c>
      <c r="G38" s="339">
        <v>0</v>
      </c>
      <c r="H38" s="339">
        <v>0</v>
      </c>
      <c r="I38" s="339">
        <v>0</v>
      </c>
      <c r="J38" s="339">
        <v>0</v>
      </c>
      <c r="K38" s="339">
        <v>0</v>
      </c>
      <c r="M38" s="777">
        <v>0</v>
      </c>
      <c r="N38" s="777">
        <v>0</v>
      </c>
      <c r="O38" s="777">
        <v>0</v>
      </c>
      <c r="P38" s="792">
        <v>0</v>
      </c>
    </row>
    <row r="39" spans="1:16" ht="12.75" customHeight="1">
      <c r="A39" s="560" t="s">
        <v>168</v>
      </c>
      <c r="B39" s="660">
        <v>43922</v>
      </c>
      <c r="C39" s="345">
        <v>1</v>
      </c>
      <c r="D39" s="660">
        <v>43983</v>
      </c>
      <c r="E39" s="822">
        <v>0</v>
      </c>
      <c r="F39" s="791">
        <f t="shared" si="0"/>
        <v>0</v>
      </c>
      <c r="G39" s="339">
        <v>0</v>
      </c>
      <c r="H39" s="339">
        <v>0</v>
      </c>
      <c r="I39" s="339">
        <v>0</v>
      </c>
      <c r="J39" s="339">
        <v>0</v>
      </c>
      <c r="K39" s="339">
        <v>0</v>
      </c>
      <c r="M39" s="777">
        <v>0</v>
      </c>
      <c r="N39" s="777">
        <v>0</v>
      </c>
      <c r="O39" s="777">
        <v>0</v>
      </c>
      <c r="P39" s="792">
        <v>0</v>
      </c>
    </row>
    <row r="40" spans="1:16" ht="12.75" customHeight="1">
      <c r="A40" s="560" t="s">
        <v>168</v>
      </c>
      <c r="B40" s="660">
        <v>43952</v>
      </c>
      <c r="C40" s="656">
        <v>0</v>
      </c>
      <c r="D40" s="660">
        <v>43983</v>
      </c>
      <c r="E40" s="822">
        <v>0</v>
      </c>
      <c r="F40" s="791">
        <f t="shared" si="0"/>
        <v>0</v>
      </c>
      <c r="G40" s="339">
        <v>0</v>
      </c>
      <c r="H40" s="339">
        <v>0</v>
      </c>
      <c r="I40" s="339">
        <v>0</v>
      </c>
      <c r="J40" s="339">
        <v>0</v>
      </c>
      <c r="K40" s="339">
        <v>0</v>
      </c>
      <c r="M40" s="777">
        <v>0</v>
      </c>
      <c r="N40" s="777">
        <v>0</v>
      </c>
      <c r="O40" s="777">
        <v>0</v>
      </c>
      <c r="P40" s="792">
        <v>0</v>
      </c>
    </row>
    <row r="41" spans="1:16" ht="12.75" customHeight="1">
      <c r="A41" s="560" t="s">
        <v>167</v>
      </c>
      <c r="B41" s="660">
        <v>43952</v>
      </c>
      <c r="C41" s="656">
        <v>0</v>
      </c>
      <c r="D41" s="660">
        <v>43983</v>
      </c>
      <c r="E41" s="822">
        <v>0</v>
      </c>
      <c r="F41" s="791">
        <f t="shared" si="0"/>
        <v>0</v>
      </c>
      <c r="G41" s="339">
        <v>0</v>
      </c>
      <c r="H41" s="339">
        <v>0</v>
      </c>
      <c r="I41" s="339">
        <v>0</v>
      </c>
      <c r="J41" s="339">
        <v>0</v>
      </c>
      <c r="K41" s="339">
        <v>0</v>
      </c>
      <c r="M41" s="777">
        <v>0</v>
      </c>
      <c r="N41" s="777">
        <v>0</v>
      </c>
      <c r="O41" s="777">
        <v>0</v>
      </c>
      <c r="P41" s="792">
        <v>0</v>
      </c>
    </row>
    <row r="42" spans="1:16" ht="12.75" customHeight="1">
      <c r="A42" s="560" t="s">
        <v>166</v>
      </c>
      <c r="B42" s="660">
        <v>43952</v>
      </c>
      <c r="C42" s="656">
        <v>0</v>
      </c>
      <c r="D42" s="660">
        <v>43983</v>
      </c>
      <c r="E42" s="822">
        <v>0</v>
      </c>
      <c r="F42" s="791">
        <f t="shared" si="0"/>
        <v>0</v>
      </c>
      <c r="G42" s="339">
        <v>0</v>
      </c>
      <c r="H42" s="339">
        <v>0</v>
      </c>
      <c r="I42" s="339">
        <v>0</v>
      </c>
      <c r="J42" s="339">
        <v>0</v>
      </c>
      <c r="K42" s="339">
        <v>0</v>
      </c>
      <c r="M42" s="777">
        <v>0</v>
      </c>
      <c r="N42" s="777">
        <v>0</v>
      </c>
      <c r="O42" s="777">
        <v>0</v>
      </c>
      <c r="P42" s="792">
        <v>0</v>
      </c>
    </row>
    <row r="43" spans="1:16" ht="12.75" customHeight="1">
      <c r="A43" s="560" t="s">
        <v>11</v>
      </c>
      <c r="B43" s="660">
        <v>43952</v>
      </c>
      <c r="C43" s="656">
        <v>0</v>
      </c>
      <c r="D43" s="660">
        <v>43983</v>
      </c>
      <c r="E43" s="822">
        <v>240815</v>
      </c>
      <c r="F43" s="791">
        <f t="shared" si="0"/>
        <v>240815</v>
      </c>
      <c r="G43" s="339">
        <v>123561</v>
      </c>
      <c r="H43" s="339">
        <v>22524</v>
      </c>
      <c r="I43" s="339">
        <v>84249</v>
      </c>
      <c r="J43" s="339">
        <v>10481</v>
      </c>
      <c r="K43" s="339">
        <v>0</v>
      </c>
      <c r="M43" s="777">
        <v>8947</v>
      </c>
      <c r="N43" s="777">
        <v>137</v>
      </c>
      <c r="O43" s="777">
        <v>1397</v>
      </c>
      <c r="P43" s="792">
        <f t="shared" si="1"/>
        <v>10481</v>
      </c>
    </row>
    <row r="44" spans="1:16" ht="12.75" customHeight="1">
      <c r="A44" s="560" t="s">
        <v>165</v>
      </c>
      <c r="B44" s="660">
        <v>43952</v>
      </c>
      <c r="C44" s="656">
        <v>0</v>
      </c>
      <c r="D44" s="660">
        <v>43983</v>
      </c>
      <c r="E44" s="822">
        <v>0</v>
      </c>
      <c r="F44" s="791">
        <f t="shared" si="0"/>
        <v>0</v>
      </c>
      <c r="G44" s="339">
        <v>0</v>
      </c>
      <c r="H44" s="339">
        <v>0</v>
      </c>
      <c r="I44" s="339">
        <v>0</v>
      </c>
      <c r="J44" s="339">
        <v>0</v>
      </c>
      <c r="K44" s="339">
        <v>0</v>
      </c>
      <c r="M44" s="777">
        <v>0</v>
      </c>
      <c r="N44" s="777">
        <v>0</v>
      </c>
      <c r="O44" s="777">
        <v>0</v>
      </c>
      <c r="P44" s="792">
        <v>0</v>
      </c>
    </row>
    <row r="45" spans="1:16" ht="12.75" customHeight="1">
      <c r="A45" s="560" t="s">
        <v>164</v>
      </c>
      <c r="B45" s="660">
        <v>43952</v>
      </c>
      <c r="C45" s="656">
        <v>0</v>
      </c>
      <c r="D45" s="660">
        <v>43983</v>
      </c>
      <c r="E45" s="822">
        <v>0</v>
      </c>
      <c r="F45" s="791">
        <f t="shared" si="0"/>
        <v>0</v>
      </c>
      <c r="G45" s="339">
        <v>0</v>
      </c>
      <c r="H45" s="339">
        <v>0</v>
      </c>
      <c r="I45" s="339">
        <v>0</v>
      </c>
      <c r="J45" s="339">
        <v>0</v>
      </c>
      <c r="K45" s="339">
        <v>0</v>
      </c>
      <c r="M45" s="777">
        <v>0</v>
      </c>
      <c r="N45" s="777">
        <v>0</v>
      </c>
      <c r="O45" s="777">
        <v>0</v>
      </c>
      <c r="P45" s="792">
        <v>0</v>
      </c>
    </row>
    <row r="46" spans="1:16" ht="12.75" customHeight="1">
      <c r="A46" s="560" t="s">
        <v>163</v>
      </c>
      <c r="B46" s="660">
        <v>43952</v>
      </c>
      <c r="C46" s="656">
        <v>0</v>
      </c>
      <c r="D46" s="660">
        <v>43983</v>
      </c>
      <c r="E46" s="822">
        <v>0</v>
      </c>
      <c r="F46" s="791">
        <f t="shared" si="0"/>
        <v>0</v>
      </c>
      <c r="G46" s="339">
        <v>0</v>
      </c>
      <c r="H46" s="339">
        <v>0</v>
      </c>
      <c r="I46" s="339">
        <v>0</v>
      </c>
      <c r="J46" s="339">
        <v>0</v>
      </c>
      <c r="K46" s="339">
        <v>0</v>
      </c>
      <c r="M46" s="777">
        <v>0</v>
      </c>
      <c r="N46" s="777">
        <v>0</v>
      </c>
      <c r="O46" s="777">
        <v>0</v>
      </c>
      <c r="P46" s="792">
        <v>0</v>
      </c>
    </row>
    <row r="47" spans="1:16" ht="12.75" customHeight="1">
      <c r="A47" s="560" t="s">
        <v>162</v>
      </c>
      <c r="B47" s="660">
        <v>43952</v>
      </c>
      <c r="C47" s="656">
        <v>0</v>
      </c>
      <c r="D47" s="660">
        <v>43983</v>
      </c>
      <c r="E47" s="822">
        <v>0</v>
      </c>
      <c r="F47" s="791">
        <f t="shared" si="0"/>
        <v>0</v>
      </c>
      <c r="G47" s="339">
        <v>0</v>
      </c>
      <c r="H47" s="339">
        <v>0</v>
      </c>
      <c r="I47" s="339">
        <v>0</v>
      </c>
      <c r="J47" s="339">
        <v>0</v>
      </c>
      <c r="K47" s="339">
        <v>0</v>
      </c>
      <c r="M47" s="777">
        <v>0</v>
      </c>
      <c r="N47" s="777">
        <v>0</v>
      </c>
      <c r="O47" s="777">
        <v>0</v>
      </c>
      <c r="P47" s="792">
        <v>0</v>
      </c>
    </row>
    <row r="48" spans="1:16" ht="12.75" customHeight="1">
      <c r="A48" s="560" t="s">
        <v>161</v>
      </c>
      <c r="B48" s="660">
        <v>43952</v>
      </c>
      <c r="C48" s="656">
        <v>0</v>
      </c>
      <c r="D48" s="660">
        <v>43983</v>
      </c>
      <c r="E48" s="822">
        <v>0</v>
      </c>
      <c r="F48" s="791">
        <f t="shared" si="0"/>
        <v>0</v>
      </c>
      <c r="G48" s="339">
        <v>0</v>
      </c>
      <c r="H48" s="339">
        <v>0</v>
      </c>
      <c r="I48" s="339">
        <v>0</v>
      </c>
      <c r="J48" s="339">
        <v>0</v>
      </c>
      <c r="K48" s="339">
        <v>0</v>
      </c>
      <c r="M48" s="777">
        <v>0</v>
      </c>
      <c r="N48" s="777">
        <v>0</v>
      </c>
      <c r="O48" s="777">
        <v>0</v>
      </c>
      <c r="P48" s="792">
        <v>0</v>
      </c>
    </row>
    <row r="49" spans="1:16" ht="12.75" customHeight="1">
      <c r="A49" s="560" t="s">
        <v>160</v>
      </c>
      <c r="B49" s="660">
        <v>43952</v>
      </c>
      <c r="C49" s="656">
        <v>0</v>
      </c>
      <c r="D49" s="660">
        <v>43983</v>
      </c>
      <c r="E49" s="822">
        <v>0</v>
      </c>
      <c r="F49" s="791">
        <f t="shared" si="0"/>
        <v>0</v>
      </c>
      <c r="G49" s="339">
        <v>0</v>
      </c>
      <c r="H49" s="339">
        <v>0</v>
      </c>
      <c r="I49" s="339">
        <v>0</v>
      </c>
      <c r="J49" s="339">
        <v>0</v>
      </c>
      <c r="K49" s="339">
        <v>0</v>
      </c>
      <c r="M49" s="777">
        <v>0</v>
      </c>
      <c r="N49" s="777">
        <v>0</v>
      </c>
      <c r="O49" s="777">
        <v>0</v>
      </c>
      <c r="P49" s="792">
        <v>0</v>
      </c>
    </row>
    <row r="50" spans="1:16" ht="12.75" customHeight="1">
      <c r="A50" s="560" t="s">
        <v>159</v>
      </c>
      <c r="B50" s="660">
        <v>43952</v>
      </c>
      <c r="C50" s="656">
        <v>0</v>
      </c>
      <c r="D50" s="660">
        <v>43983</v>
      </c>
      <c r="E50" s="822">
        <v>0</v>
      </c>
      <c r="F50" s="791">
        <f t="shared" si="0"/>
        <v>0</v>
      </c>
      <c r="G50" s="339">
        <v>0</v>
      </c>
      <c r="H50" s="339">
        <v>0</v>
      </c>
      <c r="I50" s="339">
        <v>0</v>
      </c>
      <c r="J50" s="339">
        <v>0</v>
      </c>
      <c r="K50" s="339">
        <v>0</v>
      </c>
      <c r="M50" s="777">
        <v>0</v>
      </c>
      <c r="N50" s="777">
        <v>0</v>
      </c>
      <c r="O50" s="777">
        <v>0</v>
      </c>
      <c r="P50" s="792">
        <v>0</v>
      </c>
    </row>
    <row r="51" spans="1:16" ht="12.75" customHeight="1">
      <c r="A51" s="560" t="s">
        <v>158</v>
      </c>
      <c r="B51" s="660">
        <v>43952</v>
      </c>
      <c r="C51" s="656">
        <v>0</v>
      </c>
      <c r="D51" s="660">
        <v>43983</v>
      </c>
      <c r="E51" s="822">
        <v>0</v>
      </c>
      <c r="F51" s="791">
        <f t="shared" si="0"/>
        <v>0</v>
      </c>
      <c r="G51" s="339">
        <v>0</v>
      </c>
      <c r="H51" s="339">
        <v>0</v>
      </c>
      <c r="I51" s="339">
        <v>0</v>
      </c>
      <c r="J51" s="339">
        <v>0</v>
      </c>
      <c r="K51" s="339">
        <v>0</v>
      </c>
      <c r="M51" s="777">
        <v>0</v>
      </c>
      <c r="N51" s="777">
        <v>0</v>
      </c>
      <c r="O51" s="777">
        <v>0</v>
      </c>
      <c r="P51" s="792">
        <v>0</v>
      </c>
    </row>
    <row r="52" spans="1:16" ht="12.75" customHeight="1">
      <c r="A52" s="560" t="s">
        <v>157</v>
      </c>
      <c r="B52" s="660">
        <v>43952</v>
      </c>
      <c r="C52" s="656">
        <v>0</v>
      </c>
      <c r="D52" s="660">
        <v>43983</v>
      </c>
      <c r="E52" s="822">
        <v>0</v>
      </c>
      <c r="F52" s="791">
        <f t="shared" si="0"/>
        <v>0</v>
      </c>
      <c r="G52" s="339">
        <v>0</v>
      </c>
      <c r="H52" s="339">
        <v>0</v>
      </c>
      <c r="I52" s="339">
        <v>0</v>
      </c>
      <c r="J52" s="339">
        <v>0</v>
      </c>
      <c r="K52" s="339">
        <v>0</v>
      </c>
      <c r="M52" s="777">
        <v>0</v>
      </c>
      <c r="N52" s="777">
        <v>0</v>
      </c>
      <c r="O52" s="777">
        <v>0</v>
      </c>
      <c r="P52" s="792">
        <v>0</v>
      </c>
    </row>
    <row r="53" spans="1:16" ht="12.75" customHeight="1">
      <c r="A53" s="560" t="s">
        <v>156</v>
      </c>
      <c r="B53" s="660">
        <v>43952</v>
      </c>
      <c r="C53" s="656">
        <v>0</v>
      </c>
      <c r="D53" s="660">
        <v>43983</v>
      </c>
      <c r="E53" s="822">
        <v>0</v>
      </c>
      <c r="F53" s="791">
        <f t="shared" si="0"/>
        <v>0</v>
      </c>
      <c r="G53" s="339">
        <v>0</v>
      </c>
      <c r="H53" s="339">
        <v>0</v>
      </c>
      <c r="I53" s="339">
        <v>0</v>
      </c>
      <c r="J53" s="339">
        <v>0</v>
      </c>
      <c r="K53" s="339">
        <v>0</v>
      </c>
      <c r="M53" s="777">
        <v>0</v>
      </c>
      <c r="N53" s="777">
        <v>0</v>
      </c>
      <c r="O53" s="777">
        <v>0</v>
      </c>
      <c r="P53" s="792">
        <v>0</v>
      </c>
    </row>
    <row r="54" spans="1:16" ht="12.75" customHeight="1">
      <c r="A54" s="560" t="s">
        <v>155</v>
      </c>
      <c r="B54" s="660">
        <v>43952</v>
      </c>
      <c r="C54" s="656">
        <v>0</v>
      </c>
      <c r="D54" s="660">
        <v>43983</v>
      </c>
      <c r="E54" s="822">
        <v>0</v>
      </c>
      <c r="F54" s="797">
        <f t="shared" si="0"/>
        <v>0</v>
      </c>
      <c r="G54" s="267">
        <v>0</v>
      </c>
      <c r="H54" s="267">
        <v>0</v>
      </c>
      <c r="I54" s="267">
        <v>0</v>
      </c>
      <c r="J54" s="267">
        <v>0</v>
      </c>
      <c r="K54" s="267">
        <v>0</v>
      </c>
      <c r="M54" s="65">
        <v>0</v>
      </c>
      <c r="N54" s="877">
        <v>0</v>
      </c>
      <c r="O54" s="777">
        <v>0</v>
      </c>
      <c r="P54" s="792">
        <f t="shared" si="1"/>
        <v>0</v>
      </c>
    </row>
    <row r="55" spans="1:16" ht="12.75" customHeight="1" thickBot="1">
      <c r="A55" s="752" t="s">
        <v>154</v>
      </c>
      <c r="B55" s="863">
        <v>43952</v>
      </c>
      <c r="C55" s="893">
        <v>0</v>
      </c>
      <c r="D55" s="863">
        <v>43983</v>
      </c>
      <c r="E55" s="825">
        <v>0</v>
      </c>
      <c r="F55" s="806">
        <f t="shared" si="0"/>
        <v>0</v>
      </c>
      <c r="G55" s="753">
        <v>0</v>
      </c>
      <c r="H55" s="753">
        <v>0</v>
      </c>
      <c r="I55" s="753">
        <v>0</v>
      </c>
      <c r="J55" s="753">
        <v>0</v>
      </c>
      <c r="K55" s="753">
        <v>0</v>
      </c>
      <c r="M55" s="779">
        <v>0</v>
      </c>
      <c r="N55" s="799">
        <v>0</v>
      </c>
      <c r="O55" s="798">
        <v>0</v>
      </c>
      <c r="P55" s="794">
        <f t="shared" si="1"/>
        <v>0</v>
      </c>
    </row>
    <row r="56" spans="1:16" ht="12.75" customHeight="1">
      <c r="A56" s="892" t="s">
        <v>171</v>
      </c>
      <c r="B56" s="876">
        <v>43881</v>
      </c>
      <c r="C56" s="868">
        <v>1</v>
      </c>
      <c r="D56" s="876">
        <v>44013</v>
      </c>
      <c r="E56" s="826">
        <v>0</v>
      </c>
      <c r="F56" s="805">
        <f>SUM(G56:K56)</f>
        <v>0</v>
      </c>
      <c r="G56" s="592">
        <v>0</v>
      </c>
      <c r="H56" s="592">
        <v>0</v>
      </c>
      <c r="I56" s="592">
        <v>0</v>
      </c>
      <c r="J56" s="592">
        <v>0</v>
      </c>
      <c r="K56" s="592">
        <v>0</v>
      </c>
      <c r="M56" s="781">
        <v>0</v>
      </c>
      <c r="N56" s="781">
        <v>0</v>
      </c>
      <c r="O56" s="781">
        <v>0</v>
      </c>
      <c r="P56" s="795">
        <f>SUM(M56:O56)</f>
        <v>0</v>
      </c>
    </row>
    <row r="57" spans="1:16" ht="12.75" customHeight="1">
      <c r="A57" s="560" t="s">
        <v>171</v>
      </c>
      <c r="B57" s="655">
        <v>43910</v>
      </c>
      <c r="C57" s="345">
        <v>1</v>
      </c>
      <c r="D57" s="655">
        <v>44013</v>
      </c>
      <c r="E57" s="822">
        <v>0</v>
      </c>
      <c r="F57" s="797">
        <f t="shared" ref="F57:F82" si="2">SUM(G57:K57)</f>
        <v>0</v>
      </c>
      <c r="G57" s="267">
        <v>0</v>
      </c>
      <c r="H57" s="267">
        <v>0</v>
      </c>
      <c r="I57" s="267">
        <v>0</v>
      </c>
      <c r="J57" s="267">
        <v>0</v>
      </c>
      <c r="K57" s="267">
        <v>0</v>
      </c>
      <c r="M57" s="65">
        <v>0</v>
      </c>
      <c r="N57" s="65">
        <v>0</v>
      </c>
      <c r="O57" s="65">
        <v>0</v>
      </c>
      <c r="P57" s="800">
        <f t="shared" ref="P57:P82" si="3">SUM(M57:O57)</f>
        <v>0</v>
      </c>
    </row>
    <row r="58" spans="1:16" ht="12.75" customHeight="1">
      <c r="A58" s="560" t="s">
        <v>171</v>
      </c>
      <c r="B58" s="655">
        <v>43941</v>
      </c>
      <c r="C58" s="345">
        <v>1</v>
      </c>
      <c r="D58" s="655">
        <v>44013</v>
      </c>
      <c r="E58" s="822">
        <v>0</v>
      </c>
      <c r="F58" s="797">
        <f t="shared" si="2"/>
        <v>0</v>
      </c>
      <c r="G58" s="267">
        <v>0</v>
      </c>
      <c r="H58" s="267">
        <v>0</v>
      </c>
      <c r="I58" s="267">
        <v>0</v>
      </c>
      <c r="J58" s="267">
        <v>0</v>
      </c>
      <c r="K58" s="267">
        <v>0</v>
      </c>
      <c r="M58" s="65">
        <v>0</v>
      </c>
      <c r="N58" s="65">
        <v>0</v>
      </c>
      <c r="O58" s="65">
        <v>0</v>
      </c>
      <c r="P58" s="800">
        <f t="shared" si="3"/>
        <v>0</v>
      </c>
    </row>
    <row r="59" spans="1:16" ht="12.75" customHeight="1">
      <c r="A59" s="560" t="s">
        <v>171</v>
      </c>
      <c r="B59" s="655">
        <v>43983</v>
      </c>
      <c r="C59" s="656">
        <v>0</v>
      </c>
      <c r="D59" s="655">
        <v>44013</v>
      </c>
      <c r="E59" s="822">
        <v>0</v>
      </c>
      <c r="F59" s="797">
        <f t="shared" si="2"/>
        <v>0</v>
      </c>
      <c r="G59" s="267">
        <v>0</v>
      </c>
      <c r="H59" s="267">
        <v>0</v>
      </c>
      <c r="I59" s="267">
        <v>0</v>
      </c>
      <c r="J59" s="267">
        <v>0</v>
      </c>
      <c r="K59" s="267">
        <v>0</v>
      </c>
      <c r="M59" s="65">
        <v>0</v>
      </c>
      <c r="N59" s="65">
        <v>0</v>
      </c>
      <c r="O59" s="65">
        <v>0</v>
      </c>
      <c r="P59" s="800">
        <f t="shared" si="3"/>
        <v>0</v>
      </c>
    </row>
    <row r="60" spans="1:16" ht="12.75" customHeight="1">
      <c r="A60" s="565" t="s">
        <v>170</v>
      </c>
      <c r="B60" s="660">
        <v>43983</v>
      </c>
      <c r="C60" s="661">
        <v>0</v>
      </c>
      <c r="D60" s="660">
        <v>44013</v>
      </c>
      <c r="E60" s="824">
        <v>0</v>
      </c>
      <c r="F60" s="791">
        <f t="shared" si="2"/>
        <v>0</v>
      </c>
      <c r="G60" s="339">
        <v>0</v>
      </c>
      <c r="H60" s="339">
        <v>0</v>
      </c>
      <c r="I60" s="339">
        <v>0</v>
      </c>
      <c r="J60" s="339">
        <v>0</v>
      </c>
      <c r="K60" s="339">
        <v>0</v>
      </c>
      <c r="M60" s="777">
        <v>0</v>
      </c>
      <c r="N60" s="877">
        <v>0</v>
      </c>
      <c r="O60" s="777">
        <v>0</v>
      </c>
      <c r="P60" s="792">
        <f t="shared" si="3"/>
        <v>0</v>
      </c>
    </row>
    <row r="61" spans="1:16" ht="12.75" customHeight="1">
      <c r="A61" s="560" t="s">
        <v>169</v>
      </c>
      <c r="B61" s="655">
        <v>43983</v>
      </c>
      <c r="C61" s="656">
        <v>0</v>
      </c>
      <c r="D61" s="655">
        <v>44013</v>
      </c>
      <c r="E61" s="822">
        <v>0</v>
      </c>
      <c r="F61" s="797">
        <f t="shared" si="2"/>
        <v>0</v>
      </c>
      <c r="G61" s="267">
        <v>0</v>
      </c>
      <c r="H61" s="267">
        <v>0</v>
      </c>
      <c r="I61" s="267">
        <v>0</v>
      </c>
      <c r="J61" s="267">
        <v>0</v>
      </c>
      <c r="K61" s="267">
        <v>0</v>
      </c>
      <c r="M61" s="65">
        <v>0</v>
      </c>
      <c r="N61" s="804">
        <v>0</v>
      </c>
      <c r="O61" s="65">
        <v>0</v>
      </c>
      <c r="P61" s="800">
        <f t="shared" si="3"/>
        <v>0</v>
      </c>
    </row>
    <row r="62" spans="1:16" ht="12.75" customHeight="1">
      <c r="A62" s="560" t="s">
        <v>168</v>
      </c>
      <c r="B62" s="655">
        <v>43983</v>
      </c>
      <c r="C62" s="656">
        <v>0</v>
      </c>
      <c r="D62" s="655">
        <v>44013</v>
      </c>
      <c r="E62" s="822">
        <v>0</v>
      </c>
      <c r="F62" s="797">
        <f t="shared" si="2"/>
        <v>0</v>
      </c>
      <c r="G62" s="267">
        <v>0</v>
      </c>
      <c r="H62" s="267">
        <v>0</v>
      </c>
      <c r="I62" s="267">
        <v>0</v>
      </c>
      <c r="J62" s="267">
        <v>0</v>
      </c>
      <c r="K62" s="267">
        <v>0</v>
      </c>
      <c r="M62" s="65">
        <v>0</v>
      </c>
      <c r="N62" s="877">
        <v>0</v>
      </c>
      <c r="O62" s="777">
        <v>0</v>
      </c>
      <c r="P62" s="792">
        <f t="shared" si="3"/>
        <v>0</v>
      </c>
    </row>
    <row r="63" spans="1:16" ht="12.75" customHeight="1">
      <c r="A63" s="560" t="s">
        <v>167</v>
      </c>
      <c r="B63" s="655">
        <v>43983</v>
      </c>
      <c r="C63" s="656">
        <v>0</v>
      </c>
      <c r="D63" s="655">
        <v>44013</v>
      </c>
      <c r="E63" s="822">
        <v>0</v>
      </c>
      <c r="F63" s="797">
        <f t="shared" si="2"/>
        <v>0</v>
      </c>
      <c r="G63" s="267">
        <v>0</v>
      </c>
      <c r="H63" s="267">
        <v>0</v>
      </c>
      <c r="I63" s="267">
        <v>0</v>
      </c>
      <c r="J63" s="267">
        <v>0</v>
      </c>
      <c r="K63" s="267">
        <v>0</v>
      </c>
      <c r="M63" s="65">
        <v>0</v>
      </c>
      <c r="N63" s="877">
        <v>0</v>
      </c>
      <c r="O63" s="777">
        <v>0</v>
      </c>
      <c r="P63" s="792">
        <f t="shared" si="3"/>
        <v>0</v>
      </c>
    </row>
    <row r="64" spans="1:16" ht="12.75" customHeight="1">
      <c r="A64" s="560" t="s">
        <v>166</v>
      </c>
      <c r="B64" s="655">
        <v>43983</v>
      </c>
      <c r="C64" s="656">
        <v>0</v>
      </c>
      <c r="D64" s="655">
        <v>44013</v>
      </c>
      <c r="E64" s="822">
        <v>0</v>
      </c>
      <c r="F64" s="797">
        <f t="shared" si="2"/>
        <v>0</v>
      </c>
      <c r="G64" s="267">
        <v>0</v>
      </c>
      <c r="H64" s="267">
        <v>0</v>
      </c>
      <c r="I64" s="267">
        <v>0</v>
      </c>
      <c r="J64" s="267">
        <v>0</v>
      </c>
      <c r="K64" s="267">
        <v>0</v>
      </c>
      <c r="M64" s="65">
        <v>0</v>
      </c>
      <c r="N64" s="877">
        <v>0</v>
      </c>
      <c r="O64" s="777">
        <v>0</v>
      </c>
      <c r="P64" s="792">
        <f t="shared" si="3"/>
        <v>0</v>
      </c>
    </row>
    <row r="65" spans="1:16" ht="12.75" customHeight="1">
      <c r="A65" s="560" t="s">
        <v>11</v>
      </c>
      <c r="B65" s="655">
        <v>43983</v>
      </c>
      <c r="C65" s="656">
        <v>0</v>
      </c>
      <c r="D65" s="655">
        <v>44013</v>
      </c>
      <c r="E65" s="822">
        <v>239303</v>
      </c>
      <c r="F65" s="797">
        <f t="shared" si="2"/>
        <v>239303</v>
      </c>
      <c r="G65" s="267">
        <v>122788</v>
      </c>
      <c r="H65" s="267">
        <v>22380</v>
      </c>
      <c r="I65" s="267">
        <v>83720</v>
      </c>
      <c r="J65" s="267">
        <v>10415</v>
      </c>
      <c r="K65" s="267">
        <v>0</v>
      </c>
      <c r="M65" s="65">
        <v>8891</v>
      </c>
      <c r="N65" s="877">
        <v>136</v>
      </c>
      <c r="O65" s="777">
        <v>1388</v>
      </c>
      <c r="P65" s="792">
        <f t="shared" si="3"/>
        <v>10415</v>
      </c>
    </row>
    <row r="66" spans="1:16" ht="12.75" customHeight="1">
      <c r="A66" s="560" t="s">
        <v>165</v>
      </c>
      <c r="B66" s="655">
        <v>43983</v>
      </c>
      <c r="C66" s="656">
        <v>0</v>
      </c>
      <c r="D66" s="655">
        <v>44013</v>
      </c>
      <c r="E66" s="822">
        <v>0</v>
      </c>
      <c r="F66" s="797">
        <f t="shared" si="2"/>
        <v>0</v>
      </c>
      <c r="G66" s="267">
        <v>0</v>
      </c>
      <c r="H66" s="267">
        <v>0</v>
      </c>
      <c r="I66" s="267">
        <v>0</v>
      </c>
      <c r="J66" s="267">
        <v>0</v>
      </c>
      <c r="K66" s="267">
        <v>0</v>
      </c>
      <c r="M66" s="65">
        <v>0</v>
      </c>
      <c r="N66" s="877">
        <v>0</v>
      </c>
      <c r="O66" s="777">
        <v>0</v>
      </c>
      <c r="P66" s="792">
        <f t="shared" si="3"/>
        <v>0</v>
      </c>
    </row>
    <row r="67" spans="1:16" ht="12.75" customHeight="1">
      <c r="A67" s="560" t="s">
        <v>164</v>
      </c>
      <c r="B67" s="655">
        <v>43739</v>
      </c>
      <c r="C67" s="345">
        <v>2</v>
      </c>
      <c r="D67" s="655">
        <v>44013</v>
      </c>
      <c r="E67" s="822">
        <v>0</v>
      </c>
      <c r="F67" s="797">
        <f t="shared" si="2"/>
        <v>0</v>
      </c>
      <c r="G67" s="267">
        <v>0</v>
      </c>
      <c r="H67" s="267">
        <v>0</v>
      </c>
      <c r="I67" s="267">
        <v>0</v>
      </c>
      <c r="J67" s="267">
        <v>0</v>
      </c>
      <c r="K67" s="267">
        <v>0</v>
      </c>
      <c r="M67" s="65">
        <v>0</v>
      </c>
      <c r="N67" s="877">
        <v>0</v>
      </c>
      <c r="O67" s="777">
        <v>0</v>
      </c>
      <c r="P67" s="792">
        <f t="shared" si="3"/>
        <v>0</v>
      </c>
    </row>
    <row r="68" spans="1:16" ht="12.75" customHeight="1">
      <c r="A68" s="560" t="s">
        <v>164</v>
      </c>
      <c r="B68" s="655">
        <v>43862</v>
      </c>
      <c r="C68" s="345">
        <v>1</v>
      </c>
      <c r="D68" s="655">
        <v>44013</v>
      </c>
      <c r="E68" s="822">
        <v>0</v>
      </c>
      <c r="F68" s="797">
        <f t="shared" si="2"/>
        <v>0</v>
      </c>
      <c r="G68" s="267">
        <v>0</v>
      </c>
      <c r="H68" s="267">
        <v>0</v>
      </c>
      <c r="I68" s="267">
        <v>0</v>
      </c>
      <c r="J68" s="267">
        <v>0</v>
      </c>
      <c r="K68" s="267">
        <v>0</v>
      </c>
      <c r="M68" s="65">
        <v>0</v>
      </c>
      <c r="N68" s="877">
        <v>0</v>
      </c>
      <c r="O68" s="777">
        <v>0</v>
      </c>
      <c r="P68" s="792">
        <f t="shared" si="3"/>
        <v>0</v>
      </c>
    </row>
    <row r="69" spans="1:16" ht="12.75" customHeight="1">
      <c r="A69" s="560" t="s">
        <v>164</v>
      </c>
      <c r="B69" s="655">
        <v>43922</v>
      </c>
      <c r="C69" s="345">
        <v>1</v>
      </c>
      <c r="D69" s="655">
        <v>44013</v>
      </c>
      <c r="E69" s="822">
        <v>0</v>
      </c>
      <c r="F69" s="797">
        <f t="shared" si="2"/>
        <v>0</v>
      </c>
      <c r="G69" s="267">
        <v>0</v>
      </c>
      <c r="H69" s="267">
        <v>0</v>
      </c>
      <c r="I69" s="267">
        <v>0</v>
      </c>
      <c r="J69" s="267">
        <v>0</v>
      </c>
      <c r="K69" s="267">
        <v>0</v>
      </c>
      <c r="M69" s="65">
        <v>0</v>
      </c>
      <c r="N69" s="877">
        <v>0</v>
      </c>
      <c r="O69" s="777">
        <v>0</v>
      </c>
      <c r="P69" s="792">
        <f t="shared" si="3"/>
        <v>0</v>
      </c>
    </row>
    <row r="70" spans="1:16" ht="12.75" customHeight="1">
      <c r="A70" s="560" t="s">
        <v>164</v>
      </c>
      <c r="B70" s="655">
        <v>43952</v>
      </c>
      <c r="C70" s="345">
        <v>1</v>
      </c>
      <c r="D70" s="655">
        <v>44013</v>
      </c>
      <c r="E70" s="822">
        <v>0</v>
      </c>
      <c r="F70" s="797">
        <f t="shared" si="2"/>
        <v>0</v>
      </c>
      <c r="G70" s="267">
        <v>0</v>
      </c>
      <c r="H70" s="267">
        <v>0</v>
      </c>
      <c r="I70" s="267">
        <v>0</v>
      </c>
      <c r="J70" s="267">
        <v>0</v>
      </c>
      <c r="K70" s="267">
        <v>0</v>
      </c>
      <c r="M70" s="65">
        <v>0</v>
      </c>
      <c r="N70" s="877">
        <v>0</v>
      </c>
      <c r="O70" s="777">
        <v>0</v>
      </c>
      <c r="P70" s="792">
        <f t="shared" si="3"/>
        <v>0</v>
      </c>
    </row>
    <row r="71" spans="1:16" ht="12.75" customHeight="1">
      <c r="A71" s="560" t="s">
        <v>164</v>
      </c>
      <c r="B71" s="655">
        <v>43983</v>
      </c>
      <c r="C71" s="656">
        <v>0</v>
      </c>
      <c r="D71" s="655">
        <v>44013</v>
      </c>
      <c r="E71" s="561">
        <v>0</v>
      </c>
      <c r="F71" s="797">
        <f t="shared" si="2"/>
        <v>0</v>
      </c>
      <c r="G71" s="267">
        <v>0</v>
      </c>
      <c r="H71" s="267">
        <v>0</v>
      </c>
      <c r="I71" s="267">
        <v>0</v>
      </c>
      <c r="J71" s="267">
        <v>0</v>
      </c>
      <c r="K71" s="267">
        <v>0</v>
      </c>
      <c r="M71" s="65">
        <v>0</v>
      </c>
      <c r="N71" s="877">
        <v>0</v>
      </c>
      <c r="O71" s="777">
        <v>0</v>
      </c>
      <c r="P71" s="792">
        <f t="shared" si="3"/>
        <v>0</v>
      </c>
    </row>
    <row r="72" spans="1:16" ht="12.75" customHeight="1">
      <c r="A72" s="560" t="s">
        <v>163</v>
      </c>
      <c r="B72" s="655">
        <v>43983</v>
      </c>
      <c r="C72" s="656">
        <v>0</v>
      </c>
      <c r="D72" s="655">
        <v>44013</v>
      </c>
      <c r="E72" s="822">
        <v>0</v>
      </c>
      <c r="F72" s="797">
        <f t="shared" si="2"/>
        <v>0</v>
      </c>
      <c r="G72" s="267">
        <v>0</v>
      </c>
      <c r="H72" s="267">
        <v>0</v>
      </c>
      <c r="I72" s="267">
        <v>0</v>
      </c>
      <c r="J72" s="267">
        <v>0</v>
      </c>
      <c r="K72" s="267">
        <v>0</v>
      </c>
      <c r="M72" s="65">
        <v>0</v>
      </c>
      <c r="N72" s="877">
        <v>0</v>
      </c>
      <c r="O72" s="777">
        <v>0</v>
      </c>
      <c r="P72" s="792">
        <f t="shared" si="3"/>
        <v>0</v>
      </c>
    </row>
    <row r="73" spans="1:16" ht="12.75" customHeight="1">
      <c r="A73" s="560" t="s">
        <v>162</v>
      </c>
      <c r="B73" s="655">
        <v>43983</v>
      </c>
      <c r="C73" s="656">
        <v>0</v>
      </c>
      <c r="D73" s="655">
        <v>44013</v>
      </c>
      <c r="E73" s="822">
        <v>0</v>
      </c>
      <c r="F73" s="797">
        <f t="shared" si="2"/>
        <v>0</v>
      </c>
      <c r="G73" s="267">
        <v>0</v>
      </c>
      <c r="H73" s="267">
        <v>0</v>
      </c>
      <c r="I73" s="267">
        <v>0</v>
      </c>
      <c r="J73" s="267">
        <v>0</v>
      </c>
      <c r="K73" s="267">
        <v>0</v>
      </c>
      <c r="M73" s="65">
        <v>0</v>
      </c>
      <c r="N73" s="877">
        <v>0</v>
      </c>
      <c r="O73" s="777">
        <v>0</v>
      </c>
      <c r="P73" s="792">
        <f t="shared" si="3"/>
        <v>0</v>
      </c>
    </row>
    <row r="74" spans="1:16" ht="12.75" customHeight="1">
      <c r="A74" s="560" t="s">
        <v>161</v>
      </c>
      <c r="B74" s="655">
        <v>43983</v>
      </c>
      <c r="C74" s="656">
        <v>0</v>
      </c>
      <c r="D74" s="655">
        <v>44013</v>
      </c>
      <c r="E74" s="822">
        <v>0</v>
      </c>
      <c r="F74" s="797">
        <f t="shared" si="2"/>
        <v>0</v>
      </c>
      <c r="G74" s="267">
        <v>0</v>
      </c>
      <c r="H74" s="267">
        <v>0</v>
      </c>
      <c r="I74" s="267">
        <v>0</v>
      </c>
      <c r="J74" s="267">
        <v>0</v>
      </c>
      <c r="K74" s="267">
        <v>0</v>
      </c>
      <c r="M74" s="65">
        <v>0</v>
      </c>
      <c r="N74" s="877">
        <v>0</v>
      </c>
      <c r="O74" s="777">
        <v>0</v>
      </c>
      <c r="P74" s="792">
        <f t="shared" si="3"/>
        <v>0</v>
      </c>
    </row>
    <row r="75" spans="1:16" ht="12.75" customHeight="1">
      <c r="A75" s="560" t="s">
        <v>160</v>
      </c>
      <c r="B75" s="655">
        <v>43983</v>
      </c>
      <c r="C75" s="656">
        <v>0</v>
      </c>
      <c r="D75" s="655">
        <v>44013</v>
      </c>
      <c r="E75" s="822">
        <v>0</v>
      </c>
      <c r="F75" s="797">
        <f>SUM(G75:K75)</f>
        <v>0</v>
      </c>
      <c r="G75" s="267">
        <v>0</v>
      </c>
      <c r="H75" s="267">
        <v>0</v>
      </c>
      <c r="I75" s="267">
        <v>0</v>
      </c>
      <c r="J75" s="267">
        <v>0</v>
      </c>
      <c r="K75" s="267">
        <v>0</v>
      </c>
      <c r="M75" s="65">
        <v>0</v>
      </c>
      <c r="N75" s="65">
        <v>0</v>
      </c>
      <c r="O75" s="65">
        <v>0</v>
      </c>
      <c r="P75" s="792">
        <f>SUM(M75:O75)</f>
        <v>0</v>
      </c>
    </row>
    <row r="76" spans="1:16" ht="12.75" customHeight="1">
      <c r="A76" s="560" t="s">
        <v>159</v>
      </c>
      <c r="B76" s="655">
        <v>43983</v>
      </c>
      <c r="C76" s="656">
        <v>0</v>
      </c>
      <c r="D76" s="655">
        <v>44013</v>
      </c>
      <c r="E76" s="822">
        <v>0</v>
      </c>
      <c r="F76" s="797">
        <f t="shared" si="2"/>
        <v>0</v>
      </c>
      <c r="G76" s="267">
        <v>0</v>
      </c>
      <c r="H76" s="267">
        <v>0</v>
      </c>
      <c r="I76" s="267">
        <v>0</v>
      </c>
      <c r="J76" s="267">
        <v>0</v>
      </c>
      <c r="K76" s="267">
        <v>0</v>
      </c>
      <c r="M76" s="65">
        <v>0</v>
      </c>
      <c r="N76" s="877">
        <v>0</v>
      </c>
      <c r="O76" s="777">
        <v>0</v>
      </c>
      <c r="P76" s="792">
        <f t="shared" si="3"/>
        <v>0</v>
      </c>
    </row>
    <row r="77" spans="1:16" ht="12.75" customHeight="1">
      <c r="A77" s="560" t="s">
        <v>158</v>
      </c>
      <c r="B77" s="655">
        <v>43983</v>
      </c>
      <c r="C77" s="656">
        <v>0</v>
      </c>
      <c r="D77" s="655">
        <v>44013</v>
      </c>
      <c r="E77" s="822">
        <v>0</v>
      </c>
      <c r="F77" s="797">
        <f t="shared" si="2"/>
        <v>0</v>
      </c>
      <c r="G77" s="267">
        <v>0</v>
      </c>
      <c r="H77" s="267">
        <v>0</v>
      </c>
      <c r="I77" s="267">
        <v>0</v>
      </c>
      <c r="J77" s="267">
        <v>0</v>
      </c>
      <c r="K77" s="267">
        <v>0</v>
      </c>
      <c r="M77" s="65">
        <v>0</v>
      </c>
      <c r="N77" s="877">
        <v>0</v>
      </c>
      <c r="O77" s="777">
        <v>0</v>
      </c>
      <c r="P77" s="792">
        <f t="shared" si="3"/>
        <v>0</v>
      </c>
    </row>
    <row r="78" spans="1:16" ht="12.75" customHeight="1">
      <c r="A78" s="560" t="s">
        <v>157</v>
      </c>
      <c r="B78" s="655">
        <v>43983</v>
      </c>
      <c r="C78" s="656">
        <v>0</v>
      </c>
      <c r="D78" s="655">
        <v>44013</v>
      </c>
      <c r="E78" s="822">
        <v>0</v>
      </c>
      <c r="F78" s="797">
        <f t="shared" si="2"/>
        <v>0</v>
      </c>
      <c r="G78" s="267">
        <v>0</v>
      </c>
      <c r="H78" s="267">
        <v>0</v>
      </c>
      <c r="I78" s="267">
        <v>0</v>
      </c>
      <c r="J78" s="267">
        <v>0</v>
      </c>
      <c r="K78" s="267">
        <v>0</v>
      </c>
      <c r="M78" s="65">
        <v>0</v>
      </c>
      <c r="N78" s="877">
        <v>0</v>
      </c>
      <c r="O78" s="777">
        <v>0</v>
      </c>
      <c r="P78" s="792">
        <f t="shared" si="3"/>
        <v>0</v>
      </c>
    </row>
    <row r="79" spans="1:16" ht="12.75" customHeight="1">
      <c r="A79" s="560" t="s">
        <v>156</v>
      </c>
      <c r="B79" s="655">
        <v>43983</v>
      </c>
      <c r="C79" s="656">
        <v>0</v>
      </c>
      <c r="D79" s="655">
        <v>44013</v>
      </c>
      <c r="E79" s="822">
        <v>0</v>
      </c>
      <c r="F79" s="797">
        <f t="shared" si="2"/>
        <v>0</v>
      </c>
      <c r="G79" s="267">
        <v>0</v>
      </c>
      <c r="H79" s="267">
        <v>0</v>
      </c>
      <c r="I79" s="267">
        <v>0</v>
      </c>
      <c r="J79" s="267">
        <v>0</v>
      </c>
      <c r="K79" s="267">
        <v>0</v>
      </c>
      <c r="M79" s="65">
        <v>0</v>
      </c>
      <c r="N79" s="877">
        <v>0</v>
      </c>
      <c r="O79" s="777">
        <v>0</v>
      </c>
      <c r="P79" s="792">
        <f t="shared" si="3"/>
        <v>0</v>
      </c>
    </row>
    <row r="80" spans="1:16" ht="12.75" customHeight="1">
      <c r="A80" s="560" t="s">
        <v>155</v>
      </c>
      <c r="B80" s="655">
        <v>43983</v>
      </c>
      <c r="C80" s="656">
        <v>0</v>
      </c>
      <c r="D80" s="655">
        <v>44013</v>
      </c>
      <c r="E80" s="822">
        <v>0</v>
      </c>
      <c r="F80" s="797">
        <f t="shared" si="2"/>
        <v>0</v>
      </c>
      <c r="G80" s="267">
        <v>0</v>
      </c>
      <c r="H80" s="267">
        <v>0</v>
      </c>
      <c r="I80" s="267">
        <v>0</v>
      </c>
      <c r="J80" s="267">
        <v>0</v>
      </c>
      <c r="K80" s="267">
        <v>0</v>
      </c>
      <c r="M80" s="65">
        <v>0</v>
      </c>
      <c r="N80" s="877">
        <v>0</v>
      </c>
      <c r="O80" s="777">
        <v>0</v>
      </c>
      <c r="P80" s="792">
        <f t="shared" si="3"/>
        <v>0</v>
      </c>
    </row>
    <row r="81" spans="1:16" ht="12.75" customHeight="1">
      <c r="A81" s="752" t="s">
        <v>154</v>
      </c>
      <c r="B81" s="655">
        <v>43952</v>
      </c>
      <c r="C81" s="345">
        <v>1</v>
      </c>
      <c r="D81" s="655">
        <v>44013</v>
      </c>
      <c r="E81" s="822">
        <v>0</v>
      </c>
      <c r="F81" s="797">
        <f t="shared" si="2"/>
        <v>0</v>
      </c>
      <c r="G81" s="267">
        <v>0</v>
      </c>
      <c r="H81" s="267">
        <v>0</v>
      </c>
      <c r="I81" s="267">
        <v>0</v>
      </c>
      <c r="J81" s="267">
        <v>0</v>
      </c>
      <c r="K81" s="267">
        <v>0</v>
      </c>
      <c r="M81" s="65">
        <v>0</v>
      </c>
      <c r="N81" s="877">
        <v>0</v>
      </c>
      <c r="O81" s="777">
        <v>0</v>
      </c>
      <c r="P81" s="792">
        <f t="shared" si="3"/>
        <v>0</v>
      </c>
    </row>
    <row r="82" spans="1:16" ht="12.75" customHeight="1" thickBot="1">
      <c r="A82" s="657" t="s">
        <v>154</v>
      </c>
      <c r="B82" s="655">
        <v>43983</v>
      </c>
      <c r="C82" s="656">
        <v>0</v>
      </c>
      <c r="D82" s="655">
        <v>44013</v>
      </c>
      <c r="E82" s="906">
        <v>0</v>
      </c>
      <c r="F82" s="907">
        <f t="shared" si="2"/>
        <v>0</v>
      </c>
      <c r="G82" s="908">
        <v>0</v>
      </c>
      <c r="H82" s="908">
        <v>0</v>
      </c>
      <c r="I82" s="908">
        <v>0</v>
      </c>
      <c r="J82" s="908">
        <v>0</v>
      </c>
      <c r="K82" s="908">
        <v>0</v>
      </c>
      <c r="M82" s="65">
        <v>0</v>
      </c>
      <c r="N82" s="877">
        <v>0</v>
      </c>
      <c r="O82" s="777">
        <v>0</v>
      </c>
      <c r="P82" s="792">
        <f t="shared" si="3"/>
        <v>0</v>
      </c>
    </row>
    <row r="83" spans="1:16" ht="3.65" customHeight="1">
      <c r="A83" s="662"/>
      <c r="B83" s="663"/>
      <c r="C83" s="664"/>
      <c r="D83" s="665"/>
      <c r="E83" s="666"/>
      <c r="F83" s="666"/>
      <c r="G83" s="666"/>
      <c r="H83" s="666"/>
      <c r="I83" s="666"/>
      <c r="J83" s="667"/>
      <c r="K83" s="667"/>
      <c r="M83" s="726"/>
      <c r="N83" s="727"/>
      <c r="O83" s="727"/>
      <c r="P83" s="727"/>
    </row>
    <row r="84" spans="1:16">
      <c r="A84" s="784" t="s">
        <v>59</v>
      </c>
      <c r="B84" s="784"/>
      <c r="C84" s="65"/>
      <c r="D84" s="655">
        <v>43971</v>
      </c>
      <c r="E84" s="65">
        <f t="shared" ref="E84:K84" si="4">SUM(E4:E29)</f>
        <v>194438</v>
      </c>
      <c r="F84" s="65">
        <f t="shared" si="4"/>
        <v>194438</v>
      </c>
      <c r="G84" s="65">
        <f t="shared" si="4"/>
        <v>99767</v>
      </c>
      <c r="H84" s="65">
        <f t="shared" si="4"/>
        <v>18184</v>
      </c>
      <c r="I84" s="65">
        <f t="shared" si="4"/>
        <v>68024</v>
      </c>
      <c r="J84" s="65">
        <f t="shared" si="4"/>
        <v>8463</v>
      </c>
      <c r="K84" s="65">
        <f t="shared" si="4"/>
        <v>0</v>
      </c>
      <c r="M84" s="65">
        <f>SUM(M4:M29)</f>
        <v>7224</v>
      </c>
      <c r="N84" s="65">
        <f>SUM(N4:N29)</f>
        <v>111</v>
      </c>
      <c r="O84" s="65">
        <f>SUM(O4:O29)</f>
        <v>1128</v>
      </c>
      <c r="P84" s="65">
        <f>SUM(P4:P29)</f>
        <v>8463</v>
      </c>
    </row>
    <row r="85" spans="1:16">
      <c r="A85" s="784" t="s">
        <v>59</v>
      </c>
      <c r="B85" s="785"/>
      <c r="C85" s="65"/>
      <c r="D85" s="655">
        <v>44002</v>
      </c>
      <c r="E85" s="65">
        <f t="shared" ref="E85:K85" si="5">SUM(E30:E55)</f>
        <v>240815</v>
      </c>
      <c r="F85" s="65">
        <f t="shared" si="5"/>
        <v>240815</v>
      </c>
      <c r="G85" s="65">
        <f t="shared" si="5"/>
        <v>123561</v>
      </c>
      <c r="H85" s="65">
        <f t="shared" si="5"/>
        <v>22524</v>
      </c>
      <c r="I85" s="65">
        <f t="shared" si="5"/>
        <v>84249</v>
      </c>
      <c r="J85" s="65">
        <f t="shared" si="5"/>
        <v>10481</v>
      </c>
      <c r="K85" s="65">
        <f t="shared" si="5"/>
        <v>0</v>
      </c>
      <c r="M85" s="65">
        <f>SUM(M30:M55)</f>
        <v>8947</v>
      </c>
      <c r="N85" s="65">
        <f>SUM(N30:N55)</f>
        <v>137</v>
      </c>
      <c r="O85" s="65">
        <f>SUM(O30:O55)</f>
        <v>1397</v>
      </c>
      <c r="P85" s="65">
        <f>SUM(P30:P55)</f>
        <v>10481</v>
      </c>
    </row>
    <row r="86" spans="1:16" ht="13" thickBot="1">
      <c r="A86" s="786" t="s">
        <v>59</v>
      </c>
      <c r="B86" s="787"/>
      <c r="C86" s="668"/>
      <c r="D86" s="658">
        <v>44032</v>
      </c>
      <c r="E86" s="668">
        <f t="shared" ref="E86:K86" si="6">SUM(E56:E82)</f>
        <v>239303</v>
      </c>
      <c r="F86" s="668">
        <f t="shared" si="6"/>
        <v>239303</v>
      </c>
      <c r="G86" s="668">
        <f t="shared" si="6"/>
        <v>122788</v>
      </c>
      <c r="H86" s="668">
        <f t="shared" si="6"/>
        <v>22380</v>
      </c>
      <c r="I86" s="668">
        <f t="shared" si="6"/>
        <v>83720</v>
      </c>
      <c r="J86" s="668">
        <f t="shared" si="6"/>
        <v>10415</v>
      </c>
      <c r="K86" s="668">
        <f t="shared" si="6"/>
        <v>0</v>
      </c>
      <c r="M86" s="668">
        <f>SUM(M56:M82)</f>
        <v>8891</v>
      </c>
      <c r="N86" s="668">
        <f>SUM(N56:N82)</f>
        <v>136</v>
      </c>
      <c r="O86" s="668">
        <f>SUM(O56:O82)</f>
        <v>1388</v>
      </c>
      <c r="P86" s="668">
        <f>SUM(P56:P82)</f>
        <v>10415</v>
      </c>
    </row>
    <row r="87" spans="1:16" ht="13" thickBot="1">
      <c r="A87" s="670" t="s">
        <v>58</v>
      </c>
      <c r="B87" s="671"/>
      <c r="C87" s="668"/>
      <c r="D87" s="671"/>
      <c r="E87" s="668">
        <f t="shared" ref="E87:K87" si="7">SUM(E84:E86)</f>
        <v>674556</v>
      </c>
      <c r="F87" s="668">
        <f t="shared" si="7"/>
        <v>674556</v>
      </c>
      <c r="G87" s="668">
        <f t="shared" si="7"/>
        <v>346116</v>
      </c>
      <c r="H87" s="668">
        <f t="shared" si="7"/>
        <v>63088</v>
      </c>
      <c r="I87" s="668">
        <f t="shared" si="7"/>
        <v>235993</v>
      </c>
      <c r="J87" s="668">
        <f t="shared" si="7"/>
        <v>29359</v>
      </c>
      <c r="K87" s="668">
        <f t="shared" si="7"/>
        <v>0</v>
      </c>
      <c r="M87" s="668">
        <f t="shared" ref="M87:P87" si="8">SUM(M84:M86)</f>
        <v>25062</v>
      </c>
      <c r="N87" s="668">
        <f t="shared" si="8"/>
        <v>384</v>
      </c>
      <c r="O87" s="668">
        <f t="shared" si="8"/>
        <v>3913</v>
      </c>
      <c r="P87" s="668">
        <f t="shared" si="8"/>
        <v>29359</v>
      </c>
    </row>
    <row r="88" spans="1:16">
      <c r="A88" s="58" t="s">
        <v>57</v>
      </c>
      <c r="B88" s="655"/>
      <c r="C88" s="655"/>
      <c r="D88" s="655"/>
      <c r="E88" s="65"/>
      <c r="F88" s="65"/>
      <c r="G88" s="65">
        <v>-1</v>
      </c>
      <c r="H88" s="65">
        <v>0</v>
      </c>
      <c r="I88" s="65">
        <v>0</v>
      </c>
      <c r="J88" s="65">
        <v>1</v>
      </c>
      <c r="K88" s="65">
        <v>0</v>
      </c>
      <c r="M88" s="777">
        <v>1</v>
      </c>
      <c r="N88" s="777">
        <v>1</v>
      </c>
      <c r="O88" s="777">
        <v>-1</v>
      </c>
      <c r="P88" s="777">
        <v>1</v>
      </c>
    </row>
    <row r="89" spans="1:16" ht="3" customHeight="1">
      <c r="A89" s="672"/>
      <c r="B89" s="673"/>
      <c r="C89" s="674"/>
      <c r="D89" s="674"/>
      <c r="E89" s="674"/>
      <c r="F89" s="674"/>
      <c r="G89" s="674"/>
      <c r="H89" s="674"/>
      <c r="I89" s="674"/>
      <c r="J89" s="869"/>
      <c r="K89" s="869"/>
      <c r="M89" s="789" t="s">
        <v>278</v>
      </c>
      <c r="N89" s="674"/>
      <c r="O89" s="674" t="s">
        <v>278</v>
      </c>
      <c r="P89" s="674"/>
    </row>
    <row r="90" spans="1:16" ht="13">
      <c r="A90" s="16" t="s">
        <v>48</v>
      </c>
      <c r="B90" s="105" t="s">
        <v>303</v>
      </c>
      <c r="C90" s="62"/>
      <c r="D90" s="62"/>
      <c r="E90" s="62">
        <f t="shared" ref="E90:P90" si="9">SUM(E87:E88)</f>
        <v>674556</v>
      </c>
      <c r="F90" s="62">
        <f t="shared" si="9"/>
        <v>674556</v>
      </c>
      <c r="G90" s="62">
        <f t="shared" si="9"/>
        <v>346115</v>
      </c>
      <c r="H90" s="62">
        <f t="shared" si="9"/>
        <v>63088</v>
      </c>
      <c r="I90" s="62">
        <f t="shared" si="9"/>
        <v>235993</v>
      </c>
      <c r="J90" s="62">
        <f t="shared" si="9"/>
        <v>29360</v>
      </c>
      <c r="K90" s="62">
        <f t="shared" si="9"/>
        <v>0</v>
      </c>
      <c r="L90" s="790"/>
      <c r="M90" s="62">
        <f t="shared" si="9"/>
        <v>25063</v>
      </c>
      <c r="N90" s="62">
        <f t="shared" si="9"/>
        <v>385</v>
      </c>
      <c r="O90" s="62">
        <f t="shared" si="9"/>
        <v>3912</v>
      </c>
      <c r="P90" s="62">
        <f t="shared" si="9"/>
        <v>29360</v>
      </c>
    </row>
    <row r="91" spans="1:16">
      <c r="M91" s="89"/>
      <c r="N91" s="89"/>
      <c r="O91" s="89"/>
      <c r="P91" s="12"/>
    </row>
    <row r="92" spans="1:16">
      <c r="E92" s="675"/>
      <c r="F92" s="12"/>
      <c r="G92" s="764"/>
      <c r="H92" s="764"/>
      <c r="I92" s="764"/>
      <c r="J92" s="764"/>
      <c r="K92" s="764"/>
      <c r="M92" s="89"/>
      <c r="N92" s="89"/>
      <c r="O92" s="89"/>
      <c r="P92" s="12"/>
    </row>
    <row r="93" spans="1:16">
      <c r="E93" s="675"/>
      <c r="F93" s="12"/>
      <c r="G93" s="12"/>
      <c r="H93" s="12"/>
      <c r="M93" s="96"/>
      <c r="N93" s="96"/>
      <c r="O93" s="96"/>
      <c r="P93" s="675"/>
    </row>
    <row r="94" spans="1:16">
      <c r="E94" s="675"/>
      <c r="M94" s="91"/>
      <c r="N94" s="91"/>
      <c r="O94" s="91"/>
      <c r="P94" s="675"/>
    </row>
    <row r="95" spans="1:16">
      <c r="E95" s="12"/>
      <c r="M95" s="91"/>
      <c r="N95" s="91"/>
      <c r="O95" s="91"/>
      <c r="P95" s="85"/>
    </row>
    <row r="96" spans="1:16">
      <c r="E96" s="12"/>
      <c r="M96" s="12"/>
      <c r="N96" s="12"/>
      <c r="O96" s="12"/>
      <c r="P96" s="12"/>
    </row>
    <row r="97" spans="8:16">
      <c r="M97" s="12"/>
      <c r="N97" s="12"/>
      <c r="O97" s="12"/>
      <c r="P97" s="12"/>
    </row>
    <row r="98" spans="8:16">
      <c r="M98" s="12"/>
      <c r="N98" s="12"/>
      <c r="O98" s="12"/>
      <c r="P98" s="12"/>
    </row>
    <row r="99" spans="8:16">
      <c r="M99" s="12"/>
      <c r="N99" s="12"/>
      <c r="O99" s="12"/>
      <c r="P99" s="12"/>
    </row>
    <row r="100" spans="8:16">
      <c r="M100" s="12"/>
      <c r="N100" s="12"/>
      <c r="O100" s="12"/>
      <c r="P100" s="12"/>
    </row>
    <row r="101" spans="8:16">
      <c r="M101" s="12"/>
      <c r="N101" s="12"/>
      <c r="O101" s="12"/>
      <c r="P101" s="12"/>
    </row>
    <row r="104" spans="8:16">
      <c r="H104" s="676"/>
    </row>
  </sheetData>
  <mergeCells count="1">
    <mergeCell ref="A1:L1"/>
  </mergeCells>
  <pageMargins left="0.25" right="0.25" top="0.25" bottom="0.25" header="0.34" footer="0.5"/>
  <pageSetup scale="64" orientation="landscape" r:id="rId1"/>
  <headerFooter>
    <oddHeader>&amp;CCalWIN Maintenance and Operations Project County Claim Summary</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92"/>
  <sheetViews>
    <sheetView showGridLines="0" zoomScale="90" zoomScaleNormal="90" workbookViewId="0">
      <pane xSplit="1" ySplit="3" topLeftCell="J4" activePane="bottomRight" state="frozen"/>
      <selection pane="topRight" activeCell="B1" sqref="B1"/>
      <selection pane="bottomLeft" activeCell="A4" sqref="A4"/>
      <selection pane="bottomRight" activeCell="AI15" sqref="AI15"/>
    </sheetView>
  </sheetViews>
  <sheetFormatPr defaultColWidth="9.1796875" defaultRowHeight="12.5"/>
  <cols>
    <col min="1" max="1" width="15.453125" style="1" customWidth="1"/>
    <col min="2" max="2" width="11.54296875" style="1" bestFit="1" customWidth="1"/>
    <col min="3" max="3" width="11.453125" style="1" bestFit="1" customWidth="1"/>
    <col min="4" max="4" width="11.81640625" style="1" customWidth="1"/>
    <col min="5" max="5" width="13.1796875" style="1" customWidth="1"/>
    <col min="6" max="6" width="10" style="1" bestFit="1" customWidth="1"/>
    <col min="7" max="7" width="11.453125" style="1" bestFit="1" customWidth="1"/>
    <col min="8" max="8" width="11" style="1" customWidth="1"/>
    <col min="9" max="9" width="10.54296875" style="1" bestFit="1" customWidth="1"/>
    <col min="10" max="10" width="11.453125" style="1" bestFit="1" customWidth="1"/>
    <col min="11" max="21" width="11" style="1" customWidth="1"/>
    <col min="22" max="22" width="11.54296875" style="1" bestFit="1" customWidth="1"/>
    <col min="23" max="29" width="11" style="1" customWidth="1"/>
    <col min="30" max="30" width="12.26953125" style="1" customWidth="1"/>
    <col min="31" max="31" width="10.7265625" style="328" hidden="1" customWidth="1"/>
    <col min="32" max="16384" width="9.1796875" style="1"/>
  </cols>
  <sheetData>
    <row r="1" spans="1:31" ht="15" customHeight="1" thickBot="1">
      <c r="A1" s="919"/>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row>
    <row r="2" spans="1:31" ht="33.75" customHeight="1" thickBot="1">
      <c r="A2" s="311"/>
      <c r="B2" s="922" t="s">
        <v>285</v>
      </c>
      <c r="C2" s="923"/>
      <c r="D2" s="924"/>
      <c r="E2" s="815" t="s">
        <v>286</v>
      </c>
      <c r="F2" s="922" t="s">
        <v>287</v>
      </c>
      <c r="G2" s="923"/>
      <c r="H2" s="924"/>
      <c r="I2" s="922" t="s">
        <v>288</v>
      </c>
      <c r="J2" s="923"/>
      <c r="K2" s="924"/>
      <c r="L2" s="922" t="s">
        <v>289</v>
      </c>
      <c r="M2" s="925"/>
      <c r="N2" s="925"/>
      <c r="O2" s="925"/>
      <c r="P2" s="925"/>
      <c r="Q2" s="925"/>
      <c r="R2" s="925"/>
      <c r="S2" s="925"/>
      <c r="T2" s="926"/>
      <c r="U2" s="927" t="s">
        <v>152</v>
      </c>
      <c r="V2" s="923"/>
      <c r="W2" s="923"/>
      <c r="X2" s="923"/>
      <c r="Y2" s="923"/>
      <c r="Z2" s="923"/>
      <c r="AA2" s="923"/>
      <c r="AB2" s="923"/>
      <c r="AC2" s="924"/>
      <c r="AD2" s="302"/>
    </row>
    <row r="3" spans="1:31" ht="46.5" customHeight="1" thickBot="1">
      <c r="A3" s="312" t="s">
        <v>44</v>
      </c>
      <c r="B3" s="305" t="s">
        <v>43</v>
      </c>
      <c r="C3" s="303" t="s">
        <v>42</v>
      </c>
      <c r="D3" s="306" t="s">
        <v>138</v>
      </c>
      <c r="E3" s="323" t="s">
        <v>43</v>
      </c>
      <c r="F3" s="305" t="s">
        <v>43</v>
      </c>
      <c r="G3" s="303" t="s">
        <v>42</v>
      </c>
      <c r="H3" s="306" t="s">
        <v>138</v>
      </c>
      <c r="I3" s="305" t="s">
        <v>43</v>
      </c>
      <c r="J3" s="303" t="s">
        <v>42</v>
      </c>
      <c r="K3" s="306" t="s">
        <v>138</v>
      </c>
      <c r="L3" s="305" t="s">
        <v>88</v>
      </c>
      <c r="M3" s="323" t="s">
        <v>43</v>
      </c>
      <c r="N3" s="323" t="s">
        <v>87</v>
      </c>
      <c r="O3" s="323" t="s">
        <v>86</v>
      </c>
      <c r="P3" s="323" t="s">
        <v>42</v>
      </c>
      <c r="Q3" s="323" t="s">
        <v>85</v>
      </c>
      <c r="R3" s="323" t="s">
        <v>84</v>
      </c>
      <c r="S3" s="323" t="s">
        <v>83</v>
      </c>
      <c r="T3" s="306" t="s">
        <v>138</v>
      </c>
      <c r="U3" s="816" t="s">
        <v>88</v>
      </c>
      <c r="V3" s="722" t="s">
        <v>43</v>
      </c>
      <c r="W3" s="722" t="s">
        <v>87</v>
      </c>
      <c r="X3" s="722" t="s">
        <v>86</v>
      </c>
      <c r="Y3" s="303" t="s">
        <v>42</v>
      </c>
      <c r="Z3" s="303" t="s">
        <v>85</v>
      </c>
      <c r="AA3" s="303" t="s">
        <v>84</v>
      </c>
      <c r="AB3" s="303" t="s">
        <v>83</v>
      </c>
      <c r="AC3" s="304" t="s">
        <v>138</v>
      </c>
      <c r="AD3" s="306" t="s">
        <v>41</v>
      </c>
    </row>
    <row r="4" spans="1:31">
      <c r="A4" s="313" t="s">
        <v>171</v>
      </c>
      <c r="B4" s="324">
        <f>'4th Q Co Share Calculations'!C7</f>
        <v>0</v>
      </c>
      <c r="C4" s="19">
        <f>'4th Q Co Share Calculations'!D7</f>
        <v>0</v>
      </c>
      <c r="D4" s="243">
        <f>'4th Q Co Share Calculations'!F7</f>
        <v>0</v>
      </c>
      <c r="E4" s="160">
        <f>'4th Q Co Share Calculations'!T7</f>
        <v>0</v>
      </c>
      <c r="F4" s="325"/>
      <c r="G4" s="288"/>
      <c r="H4" s="326"/>
      <c r="I4" s="19">
        <f>'4th Q Co Share Calculations'!AL7+'4th Q Co Share Calculations'!AS7+'4th Q Co Share Calculations'!BG7+'4th Q Co Share Calculations'!AZ7</f>
        <v>83394</v>
      </c>
      <c r="J4" s="19">
        <f>'4th Q Co Share Calculations'!AM7+'4th Q Co Share Calculations'!AT7+'4th Q Co Share Calculations'!BA7</f>
        <v>1241</v>
      </c>
      <c r="K4" s="19">
        <f>'4th Q Co Share Calculations'!AN7+'4th Q Co Share Calculations'!AU7+'4th Q Co Share Calculations'!BB7</f>
        <v>12623</v>
      </c>
      <c r="L4" s="327">
        <f>'4th Q Co Share Calculations'!X7</f>
        <v>3849</v>
      </c>
      <c r="M4" s="327">
        <f>'4th Q Co Share Calculations'!Y7</f>
        <v>3435</v>
      </c>
      <c r="N4" s="327">
        <f>'4th Q Co Share Calculations'!Z7</f>
        <v>31</v>
      </c>
      <c r="O4" s="327">
        <f>'4th Q Co Share Calculations'!AA7</f>
        <v>3593</v>
      </c>
      <c r="P4" s="327">
        <f>'4th Q Co Share Calculations'!AB7</f>
        <v>421</v>
      </c>
      <c r="Q4" s="327">
        <f>'4th Q Co Share Calculations'!AC7</f>
        <v>1</v>
      </c>
      <c r="R4" s="327">
        <f>'4th Q Co Share Calculations'!AD7</f>
        <v>10</v>
      </c>
      <c r="S4" s="327">
        <f>'4th Q Co Share Calculations'!AE7</f>
        <v>15</v>
      </c>
      <c r="T4" s="327">
        <f>'4th Q Co Share Calculations'!AF7</f>
        <v>11938</v>
      </c>
      <c r="U4" s="324">
        <f>L4</f>
        <v>3849</v>
      </c>
      <c r="V4" s="19">
        <f t="shared" ref="V4:V35" si="0">B4+E4+F4+I4+M4</f>
        <v>86829</v>
      </c>
      <c r="W4" s="163">
        <f>N4</f>
        <v>31</v>
      </c>
      <c r="X4" s="163">
        <f>O4</f>
        <v>3593</v>
      </c>
      <c r="Y4" s="163">
        <f t="shared" ref="Y4:Y35" si="1">C4+G4+J4+P4</f>
        <v>1662</v>
      </c>
      <c r="Z4" s="163">
        <f>Q4</f>
        <v>1</v>
      </c>
      <c r="AA4" s="163">
        <f>R4</f>
        <v>10</v>
      </c>
      <c r="AB4" s="163">
        <f>S4</f>
        <v>15</v>
      </c>
      <c r="AC4" s="163">
        <f t="shared" ref="AC4:AC35" si="2">D4+H4+K4+T4</f>
        <v>24561</v>
      </c>
      <c r="AD4" s="163">
        <f t="shared" ref="AD4:AD35" si="3">SUM(U4:AC4)</f>
        <v>120551</v>
      </c>
      <c r="AE4" s="329">
        <f>AD4-'4th Q Co Share Calculations'!BR7</f>
        <v>0</v>
      </c>
    </row>
    <row r="5" spans="1:31">
      <c r="A5" s="314" t="s">
        <v>40</v>
      </c>
      <c r="B5" s="324">
        <f>'4th Q Co Share Calculations'!C8</f>
        <v>106</v>
      </c>
      <c r="C5" s="19">
        <f>'4th Q Co Share Calculations'!D8</f>
        <v>2</v>
      </c>
      <c r="D5" s="243">
        <f>'4th Q Co Share Calculations'!F8</f>
        <v>0</v>
      </c>
      <c r="E5" s="160">
        <f>'4th Q Co Share Calculations'!T8</f>
        <v>18</v>
      </c>
      <c r="F5" s="325"/>
      <c r="G5" s="288"/>
      <c r="H5" s="326"/>
      <c r="I5" s="288"/>
      <c r="J5" s="288"/>
      <c r="K5" s="288"/>
      <c r="L5" s="327">
        <f>'4th Q Co Share Calculations'!X8</f>
        <v>0</v>
      </c>
      <c r="M5" s="327">
        <f>'4th Q Co Share Calculations'!Y8</f>
        <v>0</v>
      </c>
      <c r="N5" s="327">
        <f>'4th Q Co Share Calculations'!Z8</f>
        <v>0</v>
      </c>
      <c r="O5" s="327">
        <f>'4th Q Co Share Calculations'!AA8</f>
        <v>0</v>
      </c>
      <c r="P5" s="327">
        <f>'4th Q Co Share Calculations'!AB8</f>
        <v>0</v>
      </c>
      <c r="Q5" s="327">
        <f>'4th Q Co Share Calculations'!AC8</f>
        <v>0</v>
      </c>
      <c r="R5" s="327">
        <f>'4th Q Co Share Calculations'!AD8</f>
        <v>0</v>
      </c>
      <c r="S5" s="327">
        <f>'4th Q Co Share Calculations'!AE8</f>
        <v>0</v>
      </c>
      <c r="T5" s="327">
        <f>'4th Q Co Share Calculations'!AF8</f>
        <v>0</v>
      </c>
      <c r="U5" s="324">
        <f t="shared" ref="U5:U61" si="4">L5</f>
        <v>0</v>
      </c>
      <c r="V5" s="19">
        <f t="shared" si="0"/>
        <v>124</v>
      </c>
      <c r="W5" s="163">
        <f t="shared" ref="W5:W61" si="5">N5</f>
        <v>0</v>
      </c>
      <c r="X5" s="163">
        <f t="shared" ref="X5:X61" si="6">O5</f>
        <v>0</v>
      </c>
      <c r="Y5" s="163">
        <f t="shared" si="1"/>
        <v>2</v>
      </c>
      <c r="Z5" s="163">
        <f t="shared" ref="Z5:Z61" si="7">Q5</f>
        <v>0</v>
      </c>
      <c r="AA5" s="163">
        <f t="shared" ref="AA5:AA61" si="8">R5</f>
        <v>0</v>
      </c>
      <c r="AB5" s="163">
        <f t="shared" ref="AB5:AB61" si="9">S5</f>
        <v>0</v>
      </c>
      <c r="AC5" s="163">
        <f t="shared" si="2"/>
        <v>0</v>
      </c>
      <c r="AD5" s="163">
        <f t="shared" si="3"/>
        <v>126</v>
      </c>
      <c r="AE5" s="329">
        <f>AD5-'4th Q Co Share Calculations'!BR8</f>
        <v>0</v>
      </c>
    </row>
    <row r="6" spans="1:31">
      <c r="A6" s="314" t="s">
        <v>39</v>
      </c>
      <c r="B6" s="324">
        <f>'4th Q Co Share Calculations'!C9</f>
        <v>2216</v>
      </c>
      <c r="C6" s="19">
        <f>'4th Q Co Share Calculations'!D9</f>
        <v>45</v>
      </c>
      <c r="D6" s="243">
        <f>'4th Q Co Share Calculations'!F9</f>
        <v>16</v>
      </c>
      <c r="E6" s="160">
        <f>'4th Q Co Share Calculations'!T9</f>
        <v>212</v>
      </c>
      <c r="F6" s="325"/>
      <c r="G6" s="288"/>
      <c r="H6" s="326"/>
      <c r="I6" s="288"/>
      <c r="J6" s="288"/>
      <c r="K6" s="288"/>
      <c r="L6" s="327">
        <f>'4th Q Co Share Calculations'!X9</f>
        <v>74</v>
      </c>
      <c r="M6" s="327">
        <f>'4th Q Co Share Calculations'!Y9</f>
        <v>66</v>
      </c>
      <c r="N6" s="327">
        <f>'4th Q Co Share Calculations'!Z9</f>
        <v>1</v>
      </c>
      <c r="O6" s="327">
        <f>'4th Q Co Share Calculations'!AA9</f>
        <v>70</v>
      </c>
      <c r="P6" s="327">
        <f>'4th Q Co Share Calculations'!AB9</f>
        <v>8</v>
      </c>
      <c r="Q6" s="327">
        <f>'4th Q Co Share Calculations'!AC9</f>
        <v>1</v>
      </c>
      <c r="R6" s="327">
        <f>'4th Q Co Share Calculations'!AD9</f>
        <v>0</v>
      </c>
      <c r="S6" s="327">
        <f>'4th Q Co Share Calculations'!AE9</f>
        <v>0</v>
      </c>
      <c r="T6" s="327">
        <f>'4th Q Co Share Calculations'!AF9</f>
        <v>231</v>
      </c>
      <c r="U6" s="324">
        <f t="shared" si="4"/>
        <v>74</v>
      </c>
      <c r="V6" s="19">
        <f t="shared" si="0"/>
        <v>2494</v>
      </c>
      <c r="W6" s="163">
        <f t="shared" si="5"/>
        <v>1</v>
      </c>
      <c r="X6" s="163">
        <f t="shared" si="6"/>
        <v>70</v>
      </c>
      <c r="Y6" s="163">
        <f t="shared" si="1"/>
        <v>53</v>
      </c>
      <c r="Z6" s="163">
        <f t="shared" si="7"/>
        <v>1</v>
      </c>
      <c r="AA6" s="163">
        <f t="shared" si="8"/>
        <v>0</v>
      </c>
      <c r="AB6" s="163">
        <f t="shared" si="9"/>
        <v>0</v>
      </c>
      <c r="AC6" s="163">
        <f t="shared" si="2"/>
        <v>247</v>
      </c>
      <c r="AD6" s="163">
        <f t="shared" si="3"/>
        <v>2940</v>
      </c>
      <c r="AE6" s="329">
        <f>AD6-'4th Q Co Share Calculations'!BR9</f>
        <v>0</v>
      </c>
    </row>
    <row r="7" spans="1:31">
      <c r="A7" s="314" t="s">
        <v>38</v>
      </c>
      <c r="B7" s="324">
        <f>'4th Q Co Share Calculations'!C10</f>
        <v>22165</v>
      </c>
      <c r="C7" s="19">
        <f>'4th Q Co Share Calculations'!D10</f>
        <v>452</v>
      </c>
      <c r="D7" s="243">
        <f>'4th Q Co Share Calculations'!F10</f>
        <v>2397</v>
      </c>
      <c r="E7" s="160">
        <f>'4th Q Co Share Calculations'!T10</f>
        <v>2242</v>
      </c>
      <c r="F7" s="325"/>
      <c r="G7" s="288"/>
      <c r="H7" s="326"/>
      <c r="I7" s="288"/>
      <c r="J7" s="288"/>
      <c r="K7" s="288"/>
      <c r="L7" s="327">
        <f>'4th Q Co Share Calculations'!X10</f>
        <v>782</v>
      </c>
      <c r="M7" s="327">
        <f>'4th Q Co Share Calculations'!Y10</f>
        <v>698</v>
      </c>
      <c r="N7" s="327">
        <f>'4th Q Co Share Calculations'!Z10</f>
        <v>6</v>
      </c>
      <c r="O7" s="327">
        <f>'4th Q Co Share Calculations'!AA10</f>
        <v>730</v>
      </c>
      <c r="P7" s="327">
        <f>'4th Q Co Share Calculations'!AB10</f>
        <v>86</v>
      </c>
      <c r="Q7" s="327">
        <f>'4th Q Co Share Calculations'!AC10</f>
        <v>0</v>
      </c>
      <c r="R7" s="327">
        <f>'4th Q Co Share Calculations'!AD10</f>
        <v>2</v>
      </c>
      <c r="S7" s="327">
        <f>'4th Q Co Share Calculations'!AE10</f>
        <v>3</v>
      </c>
      <c r="T7" s="327">
        <f>'4th Q Co Share Calculations'!AF10</f>
        <v>2426</v>
      </c>
      <c r="U7" s="324">
        <f t="shared" si="4"/>
        <v>782</v>
      </c>
      <c r="V7" s="19">
        <f t="shared" si="0"/>
        <v>25105</v>
      </c>
      <c r="W7" s="163">
        <f t="shared" si="5"/>
        <v>6</v>
      </c>
      <c r="X7" s="163">
        <f t="shared" si="6"/>
        <v>730</v>
      </c>
      <c r="Y7" s="163">
        <f t="shared" si="1"/>
        <v>538</v>
      </c>
      <c r="Z7" s="163">
        <f t="shared" si="7"/>
        <v>0</v>
      </c>
      <c r="AA7" s="163">
        <f t="shared" si="8"/>
        <v>2</v>
      </c>
      <c r="AB7" s="163">
        <f t="shared" si="9"/>
        <v>3</v>
      </c>
      <c r="AC7" s="163">
        <f t="shared" si="2"/>
        <v>4823</v>
      </c>
      <c r="AD7" s="163">
        <f t="shared" si="3"/>
        <v>31989</v>
      </c>
      <c r="AE7" s="329">
        <f>AD7-'4th Q Co Share Calculations'!BR10</f>
        <v>0</v>
      </c>
    </row>
    <row r="8" spans="1:31">
      <c r="A8" s="315" t="s">
        <v>37</v>
      </c>
      <c r="B8" s="324">
        <f>'4th Q Co Share Calculations'!C11</f>
        <v>3483</v>
      </c>
      <c r="C8" s="19">
        <f>'4th Q Co Share Calculations'!D11</f>
        <v>71</v>
      </c>
      <c r="D8" s="243">
        <f>'4th Q Co Share Calculations'!F11</f>
        <v>111</v>
      </c>
      <c r="E8" s="160">
        <f>'4th Q Co Share Calculations'!T11</f>
        <v>371</v>
      </c>
      <c r="F8" s="325"/>
      <c r="G8" s="288"/>
      <c r="H8" s="326"/>
      <c r="I8" s="288"/>
      <c r="J8" s="288"/>
      <c r="K8" s="288"/>
      <c r="L8" s="327">
        <f>'4th Q Co Share Calculations'!X11</f>
        <v>124</v>
      </c>
      <c r="M8" s="327">
        <f>'4th Q Co Share Calculations'!Y11</f>
        <v>111</v>
      </c>
      <c r="N8" s="327">
        <f>'4th Q Co Share Calculations'!Z11</f>
        <v>1</v>
      </c>
      <c r="O8" s="327">
        <f>'4th Q Co Share Calculations'!AA11</f>
        <v>116</v>
      </c>
      <c r="P8" s="327">
        <f>'4th Q Co Share Calculations'!AB11</f>
        <v>14</v>
      </c>
      <c r="Q8" s="327">
        <f>'4th Q Co Share Calculations'!AC11</f>
        <v>0</v>
      </c>
      <c r="R8" s="327">
        <f>'4th Q Co Share Calculations'!AD11</f>
        <v>0</v>
      </c>
      <c r="S8" s="327">
        <f>'4th Q Co Share Calculations'!AE11</f>
        <v>0</v>
      </c>
      <c r="T8" s="327">
        <f>'4th Q Co Share Calculations'!AF11</f>
        <v>385</v>
      </c>
      <c r="U8" s="324">
        <f t="shared" si="4"/>
        <v>124</v>
      </c>
      <c r="V8" s="19">
        <f t="shared" si="0"/>
        <v>3965</v>
      </c>
      <c r="W8" s="163">
        <f t="shared" si="5"/>
        <v>1</v>
      </c>
      <c r="X8" s="163">
        <f t="shared" si="6"/>
        <v>116</v>
      </c>
      <c r="Y8" s="163">
        <f t="shared" si="1"/>
        <v>85</v>
      </c>
      <c r="Z8" s="163">
        <f t="shared" si="7"/>
        <v>0</v>
      </c>
      <c r="AA8" s="163">
        <f t="shared" si="8"/>
        <v>0</v>
      </c>
      <c r="AB8" s="163">
        <f t="shared" si="9"/>
        <v>0</v>
      </c>
      <c r="AC8" s="163">
        <f t="shared" si="2"/>
        <v>496</v>
      </c>
      <c r="AD8" s="163">
        <f t="shared" si="3"/>
        <v>4787</v>
      </c>
      <c r="AE8" s="329">
        <f>AD8-'4th Q Co Share Calculations'!BR11</f>
        <v>0</v>
      </c>
    </row>
    <row r="9" spans="1:31">
      <c r="A9" s="315" t="s">
        <v>36</v>
      </c>
      <c r="B9" s="324">
        <f>'4th Q Co Share Calculations'!C12</f>
        <v>2216</v>
      </c>
      <c r="C9" s="19">
        <f>'4th Q Co Share Calculations'!D12</f>
        <v>45</v>
      </c>
      <c r="D9" s="243">
        <f>'4th Q Co Share Calculations'!F12</f>
        <v>49</v>
      </c>
      <c r="E9" s="160">
        <f>'4th Q Co Share Calculations'!T12</f>
        <v>106</v>
      </c>
      <c r="F9" s="325"/>
      <c r="G9" s="288"/>
      <c r="H9" s="326"/>
      <c r="I9" s="288"/>
      <c r="J9" s="288"/>
      <c r="K9" s="288"/>
      <c r="L9" s="327">
        <f>'4th Q Co Share Calculations'!X12</f>
        <v>74</v>
      </c>
      <c r="M9" s="327">
        <f>'4th Q Co Share Calculations'!Y12</f>
        <v>66</v>
      </c>
      <c r="N9" s="327">
        <f>'4th Q Co Share Calculations'!Z12</f>
        <v>1</v>
      </c>
      <c r="O9" s="327">
        <f>'4th Q Co Share Calculations'!AA12</f>
        <v>70</v>
      </c>
      <c r="P9" s="327">
        <f>'4th Q Co Share Calculations'!AB12</f>
        <v>8</v>
      </c>
      <c r="Q9" s="327">
        <f>'4th Q Co Share Calculations'!AC12</f>
        <v>0</v>
      </c>
      <c r="R9" s="327">
        <f>'4th Q Co Share Calculations'!AD12</f>
        <v>0</v>
      </c>
      <c r="S9" s="327">
        <f>'4th Q Co Share Calculations'!AE12</f>
        <v>0</v>
      </c>
      <c r="T9" s="327">
        <f>'4th Q Co Share Calculations'!AF12</f>
        <v>231</v>
      </c>
      <c r="U9" s="324">
        <f t="shared" si="4"/>
        <v>74</v>
      </c>
      <c r="V9" s="19">
        <f t="shared" si="0"/>
        <v>2388</v>
      </c>
      <c r="W9" s="163">
        <f t="shared" si="5"/>
        <v>1</v>
      </c>
      <c r="X9" s="163">
        <f t="shared" si="6"/>
        <v>70</v>
      </c>
      <c r="Y9" s="163">
        <f t="shared" si="1"/>
        <v>53</v>
      </c>
      <c r="Z9" s="163">
        <f t="shared" si="7"/>
        <v>0</v>
      </c>
      <c r="AA9" s="163">
        <f t="shared" si="8"/>
        <v>0</v>
      </c>
      <c r="AB9" s="163">
        <f t="shared" si="9"/>
        <v>0</v>
      </c>
      <c r="AC9" s="163">
        <f t="shared" si="2"/>
        <v>280</v>
      </c>
      <c r="AD9" s="163">
        <f t="shared" si="3"/>
        <v>2866</v>
      </c>
      <c r="AE9" s="329">
        <f>AD9-'4th Q Co Share Calculations'!BR12</f>
        <v>0</v>
      </c>
    </row>
    <row r="10" spans="1:31">
      <c r="A10" s="316" t="s">
        <v>170</v>
      </c>
      <c r="B10" s="324">
        <f>'4th Q Co Share Calculations'!C13</f>
        <v>0</v>
      </c>
      <c r="C10" s="19">
        <f>'4th Q Co Share Calculations'!D13</f>
        <v>0</v>
      </c>
      <c r="D10" s="243">
        <f>'4th Q Co Share Calculations'!F13</f>
        <v>0</v>
      </c>
      <c r="E10" s="160">
        <f>'4th Q Co Share Calculations'!T13</f>
        <v>0</v>
      </c>
      <c r="F10" s="325"/>
      <c r="G10" s="288"/>
      <c r="H10" s="326"/>
      <c r="I10" s="19">
        <f>'4th Q Co Share Calculations'!AL13+'4th Q Co Share Calculations'!AS13+'4th Q Co Share Calculations'!BG13+'4th Q Co Share Calculations'!AZ13</f>
        <v>51412</v>
      </c>
      <c r="J10" s="19">
        <f>'4th Q Co Share Calculations'!AM13+'4th Q Co Share Calculations'!AT13+'4th Q Co Share Calculations'!BA13</f>
        <v>766</v>
      </c>
      <c r="K10" s="19">
        <f>'4th Q Co Share Calculations'!AN13+'4th Q Co Share Calculations'!AU13+'4th Q Co Share Calculations'!BB13</f>
        <v>7789</v>
      </c>
      <c r="L10" s="327">
        <f>'4th Q Co Share Calculations'!X13</f>
        <v>2359</v>
      </c>
      <c r="M10" s="327">
        <f>'4th Q Co Share Calculations'!Y13</f>
        <v>2106</v>
      </c>
      <c r="N10" s="327">
        <f>'4th Q Co Share Calculations'!Z13</f>
        <v>19</v>
      </c>
      <c r="O10" s="327">
        <f>'4th Q Co Share Calculations'!AA13</f>
        <v>2202</v>
      </c>
      <c r="P10" s="327">
        <f>'4th Q Co Share Calculations'!AB13</f>
        <v>258</v>
      </c>
      <c r="Q10" s="327">
        <f>'4th Q Co Share Calculations'!AC13</f>
        <v>1</v>
      </c>
      <c r="R10" s="327">
        <f>'4th Q Co Share Calculations'!AD13</f>
        <v>6</v>
      </c>
      <c r="S10" s="327">
        <f>'4th Q Co Share Calculations'!AE13</f>
        <v>9</v>
      </c>
      <c r="T10" s="327">
        <f>'4th Q Co Share Calculations'!AF13</f>
        <v>7317</v>
      </c>
      <c r="U10" s="324">
        <f t="shared" si="4"/>
        <v>2359</v>
      </c>
      <c r="V10" s="19">
        <f t="shared" si="0"/>
        <v>53518</v>
      </c>
      <c r="W10" s="163">
        <f t="shared" si="5"/>
        <v>19</v>
      </c>
      <c r="X10" s="163">
        <f t="shared" si="6"/>
        <v>2202</v>
      </c>
      <c r="Y10" s="163">
        <f t="shared" si="1"/>
        <v>1024</v>
      </c>
      <c r="Z10" s="163">
        <f t="shared" si="7"/>
        <v>1</v>
      </c>
      <c r="AA10" s="163">
        <f t="shared" si="8"/>
        <v>6</v>
      </c>
      <c r="AB10" s="163">
        <f t="shared" si="9"/>
        <v>9</v>
      </c>
      <c r="AC10" s="163">
        <f t="shared" si="2"/>
        <v>15106</v>
      </c>
      <c r="AD10" s="163">
        <f t="shared" si="3"/>
        <v>74244</v>
      </c>
      <c r="AE10" s="329">
        <f>AD10-'4th Q Co Share Calculations'!BR13</f>
        <v>0</v>
      </c>
    </row>
    <row r="11" spans="1:31">
      <c r="A11" s="315" t="s">
        <v>35</v>
      </c>
      <c r="B11" s="324">
        <f>'4th Q Co Share Calculations'!C14</f>
        <v>3272</v>
      </c>
      <c r="C11" s="19">
        <f>'4th Q Co Share Calculations'!D14</f>
        <v>67</v>
      </c>
      <c r="D11" s="243">
        <f>'4th Q Co Share Calculations'!F14</f>
        <v>27</v>
      </c>
      <c r="E11" s="160">
        <f>'4th Q Co Share Calculations'!T14</f>
        <v>371</v>
      </c>
      <c r="F11" s="325"/>
      <c r="G11" s="288"/>
      <c r="H11" s="326"/>
      <c r="I11" s="288"/>
      <c r="J11" s="288"/>
      <c r="K11" s="288"/>
      <c r="L11" s="327">
        <f>'4th Q Co Share Calculations'!X14</f>
        <v>112</v>
      </c>
      <c r="M11" s="327">
        <f>'4th Q Co Share Calculations'!Y14</f>
        <v>100</v>
      </c>
      <c r="N11" s="327">
        <f>'4th Q Co Share Calculations'!Z14</f>
        <v>1</v>
      </c>
      <c r="O11" s="327">
        <f>'4th Q Co Share Calculations'!AA14</f>
        <v>104</v>
      </c>
      <c r="P11" s="327">
        <f>'4th Q Co Share Calculations'!AB14</f>
        <v>12</v>
      </c>
      <c r="Q11" s="327">
        <f>'4th Q Co Share Calculations'!AC14</f>
        <v>0</v>
      </c>
      <c r="R11" s="327">
        <f>'4th Q Co Share Calculations'!AD14</f>
        <v>0</v>
      </c>
      <c r="S11" s="327">
        <f>'4th Q Co Share Calculations'!AE14</f>
        <v>0</v>
      </c>
      <c r="T11" s="327">
        <f>'4th Q Co Share Calculations'!AF14</f>
        <v>347</v>
      </c>
      <c r="U11" s="324">
        <f t="shared" si="4"/>
        <v>112</v>
      </c>
      <c r="V11" s="19">
        <f t="shared" si="0"/>
        <v>3743</v>
      </c>
      <c r="W11" s="163">
        <f t="shared" si="5"/>
        <v>1</v>
      </c>
      <c r="X11" s="163">
        <f t="shared" si="6"/>
        <v>104</v>
      </c>
      <c r="Y11" s="163">
        <f t="shared" si="1"/>
        <v>79</v>
      </c>
      <c r="Z11" s="163">
        <f t="shared" si="7"/>
        <v>0</v>
      </c>
      <c r="AA11" s="163">
        <f t="shared" si="8"/>
        <v>0</v>
      </c>
      <c r="AB11" s="163">
        <f t="shared" si="9"/>
        <v>0</v>
      </c>
      <c r="AC11" s="163">
        <f t="shared" si="2"/>
        <v>374</v>
      </c>
      <c r="AD11" s="163">
        <f t="shared" si="3"/>
        <v>4413</v>
      </c>
      <c r="AE11" s="329">
        <f>AD11-'4th Q Co Share Calculations'!BR14</f>
        <v>0</v>
      </c>
    </row>
    <row r="12" spans="1:31">
      <c r="A12" s="315" t="s">
        <v>34</v>
      </c>
      <c r="B12" s="324">
        <f>'4th Q Co Share Calculations'!C15</f>
        <v>10238</v>
      </c>
      <c r="C12" s="19">
        <f>'4th Q Co Share Calculations'!D15</f>
        <v>208</v>
      </c>
      <c r="D12" s="243">
        <f>'4th Q Co Share Calculations'!F15</f>
        <v>0</v>
      </c>
      <c r="E12" s="160">
        <f>'4th Q Co Share Calculations'!T15</f>
        <v>830</v>
      </c>
      <c r="F12" s="325"/>
      <c r="G12" s="288"/>
      <c r="H12" s="326"/>
      <c r="I12" s="288"/>
      <c r="J12" s="288"/>
      <c r="K12" s="288"/>
      <c r="L12" s="327">
        <f>'4th Q Co Share Calculations'!X15</f>
        <v>360</v>
      </c>
      <c r="M12" s="327">
        <f>'4th Q Co Share Calculations'!Y15</f>
        <v>321</v>
      </c>
      <c r="N12" s="327">
        <f>'4th Q Co Share Calculations'!Z15</f>
        <v>3</v>
      </c>
      <c r="O12" s="327">
        <f>'4th Q Co Share Calculations'!AA15</f>
        <v>336</v>
      </c>
      <c r="P12" s="327">
        <f>'4th Q Co Share Calculations'!AB15</f>
        <v>39</v>
      </c>
      <c r="Q12" s="327">
        <f>'4th Q Co Share Calculations'!AC15</f>
        <v>0</v>
      </c>
      <c r="R12" s="327">
        <f>'4th Q Co Share Calculations'!AD15</f>
        <v>1</v>
      </c>
      <c r="S12" s="327">
        <f>'4th Q Co Share Calculations'!AE15</f>
        <v>1</v>
      </c>
      <c r="T12" s="327">
        <f>'4th Q Co Share Calculations'!AF15</f>
        <v>1117</v>
      </c>
      <c r="U12" s="324">
        <f t="shared" si="4"/>
        <v>360</v>
      </c>
      <c r="V12" s="19">
        <f t="shared" si="0"/>
        <v>11389</v>
      </c>
      <c r="W12" s="163">
        <f t="shared" si="5"/>
        <v>3</v>
      </c>
      <c r="X12" s="163">
        <f t="shared" si="6"/>
        <v>336</v>
      </c>
      <c r="Y12" s="163">
        <f t="shared" si="1"/>
        <v>247</v>
      </c>
      <c r="Z12" s="163">
        <f t="shared" si="7"/>
        <v>0</v>
      </c>
      <c r="AA12" s="163">
        <f t="shared" si="8"/>
        <v>1</v>
      </c>
      <c r="AB12" s="163">
        <f t="shared" si="9"/>
        <v>1</v>
      </c>
      <c r="AC12" s="163">
        <f t="shared" si="2"/>
        <v>1117</v>
      </c>
      <c r="AD12" s="163">
        <f t="shared" si="3"/>
        <v>13454</v>
      </c>
      <c r="AE12" s="329">
        <f>AD12-'4th Q Co Share Calculations'!BR15</f>
        <v>0</v>
      </c>
    </row>
    <row r="13" spans="1:31">
      <c r="A13" s="316" t="s">
        <v>169</v>
      </c>
      <c r="B13" s="324">
        <f>'4th Q Co Share Calculations'!C16</f>
        <v>0</v>
      </c>
      <c r="C13" s="19">
        <f>'4th Q Co Share Calculations'!D16</f>
        <v>0</v>
      </c>
      <c r="D13" s="243">
        <f>'4th Q Co Share Calculations'!F16</f>
        <v>0</v>
      </c>
      <c r="E13" s="160">
        <f>'4th Q Co Share Calculations'!T16</f>
        <v>0</v>
      </c>
      <c r="F13" s="325"/>
      <c r="G13" s="288"/>
      <c r="H13" s="326"/>
      <c r="I13" s="19">
        <f>'4th Q Co Share Calculations'!AL16+'4th Q Co Share Calculations'!AS16+'4th Q Co Share Calculations'!BG16+'4th Q Co Share Calculations'!AZ16</f>
        <v>71318</v>
      </c>
      <c r="J13" s="19">
        <f>'4th Q Co Share Calculations'!AM16+'4th Q Co Share Calculations'!AT16+'4th Q Co Share Calculations'!BA16</f>
        <v>1011</v>
      </c>
      <c r="K13" s="19">
        <f>'4th Q Co Share Calculations'!AN16+'4th Q Co Share Calculations'!AU16+'4th Q Co Share Calculations'!BB16</f>
        <v>10292</v>
      </c>
      <c r="L13" s="327">
        <f>'4th Q Co Share Calculations'!X16</f>
        <v>5078</v>
      </c>
      <c r="M13" s="327">
        <f>'4th Q Co Share Calculations'!Y16</f>
        <v>4532</v>
      </c>
      <c r="N13" s="327">
        <f>'4th Q Co Share Calculations'!Z16</f>
        <v>41</v>
      </c>
      <c r="O13" s="327">
        <f>'4th Q Co Share Calculations'!AA16</f>
        <v>4741</v>
      </c>
      <c r="P13" s="327">
        <f>'4th Q Co Share Calculations'!AB16</f>
        <v>556</v>
      </c>
      <c r="Q13" s="327">
        <f>'4th Q Co Share Calculations'!AC16</f>
        <v>2</v>
      </c>
      <c r="R13" s="327">
        <f>'4th Q Co Share Calculations'!AD16</f>
        <v>14</v>
      </c>
      <c r="S13" s="327">
        <f>'4th Q Co Share Calculations'!AE16</f>
        <v>20</v>
      </c>
      <c r="T13" s="327">
        <f>'4th Q Co Share Calculations'!AF16</f>
        <v>15750</v>
      </c>
      <c r="U13" s="324">
        <f t="shared" si="4"/>
        <v>5078</v>
      </c>
      <c r="V13" s="19">
        <f t="shared" si="0"/>
        <v>75850</v>
      </c>
      <c r="W13" s="163">
        <f t="shared" si="5"/>
        <v>41</v>
      </c>
      <c r="X13" s="163">
        <f t="shared" si="6"/>
        <v>4741</v>
      </c>
      <c r="Y13" s="163">
        <f t="shared" si="1"/>
        <v>1567</v>
      </c>
      <c r="Z13" s="163">
        <f t="shared" si="7"/>
        <v>2</v>
      </c>
      <c r="AA13" s="163">
        <f t="shared" si="8"/>
        <v>14</v>
      </c>
      <c r="AB13" s="163">
        <f t="shared" si="9"/>
        <v>20</v>
      </c>
      <c r="AC13" s="163">
        <f t="shared" si="2"/>
        <v>26042</v>
      </c>
      <c r="AD13" s="163">
        <f t="shared" si="3"/>
        <v>113355</v>
      </c>
      <c r="AE13" s="329">
        <f>AD13-'4th Q Co Share Calculations'!BR16</f>
        <v>0</v>
      </c>
    </row>
    <row r="14" spans="1:31">
      <c r="A14" s="315" t="s">
        <v>33</v>
      </c>
      <c r="B14" s="324">
        <f>'4th Q Co Share Calculations'!C17</f>
        <v>3166</v>
      </c>
      <c r="C14" s="19">
        <f>'4th Q Co Share Calculations'!D17</f>
        <v>64</v>
      </c>
      <c r="D14" s="243">
        <f>'4th Q Co Share Calculations'!F17</f>
        <v>82</v>
      </c>
      <c r="E14" s="160">
        <f>'4th Q Co Share Calculations'!T17</f>
        <v>247</v>
      </c>
      <c r="F14" s="325"/>
      <c r="G14" s="288"/>
      <c r="H14" s="326"/>
      <c r="I14" s="288"/>
      <c r="J14" s="288"/>
      <c r="K14" s="288"/>
      <c r="L14" s="327">
        <f>'4th Q Co Share Calculations'!X17</f>
        <v>112</v>
      </c>
      <c r="M14" s="327">
        <f>'4th Q Co Share Calculations'!Y17</f>
        <v>100</v>
      </c>
      <c r="N14" s="327">
        <f>'4th Q Co Share Calculations'!Z17</f>
        <v>1</v>
      </c>
      <c r="O14" s="327">
        <f>'4th Q Co Share Calculations'!AA17</f>
        <v>104</v>
      </c>
      <c r="P14" s="327">
        <f>'4th Q Co Share Calculations'!AB17</f>
        <v>12</v>
      </c>
      <c r="Q14" s="327">
        <f>'4th Q Co Share Calculations'!AC17</f>
        <v>0</v>
      </c>
      <c r="R14" s="327">
        <f>'4th Q Co Share Calculations'!AD17</f>
        <v>0</v>
      </c>
      <c r="S14" s="327">
        <f>'4th Q Co Share Calculations'!AE17</f>
        <v>0</v>
      </c>
      <c r="T14" s="327">
        <f>'4th Q Co Share Calculations'!AF17</f>
        <v>347</v>
      </c>
      <c r="U14" s="324">
        <f t="shared" si="4"/>
        <v>112</v>
      </c>
      <c r="V14" s="19">
        <f t="shared" si="0"/>
        <v>3513</v>
      </c>
      <c r="W14" s="163">
        <f t="shared" si="5"/>
        <v>1</v>
      </c>
      <c r="X14" s="163">
        <f t="shared" si="6"/>
        <v>104</v>
      </c>
      <c r="Y14" s="163">
        <f t="shared" si="1"/>
        <v>76</v>
      </c>
      <c r="Z14" s="163">
        <f t="shared" si="7"/>
        <v>0</v>
      </c>
      <c r="AA14" s="163">
        <f t="shared" si="8"/>
        <v>0</v>
      </c>
      <c r="AB14" s="163">
        <f t="shared" si="9"/>
        <v>0</v>
      </c>
      <c r="AC14" s="163">
        <f t="shared" si="2"/>
        <v>429</v>
      </c>
      <c r="AD14" s="163">
        <f t="shared" si="3"/>
        <v>4235</v>
      </c>
      <c r="AE14" s="329">
        <f>AD14-'4th Q Co Share Calculations'!BR17</f>
        <v>0</v>
      </c>
    </row>
    <row r="15" spans="1:31">
      <c r="A15" s="315" t="s">
        <v>32</v>
      </c>
      <c r="B15" s="324">
        <f>'4th Q Co Share Calculations'!C18</f>
        <v>15093</v>
      </c>
      <c r="C15" s="19">
        <f>'4th Q Co Share Calculations'!D18</f>
        <v>307</v>
      </c>
      <c r="D15" s="243">
        <f>'4th Q Co Share Calculations'!F18</f>
        <v>1182</v>
      </c>
      <c r="E15" s="160">
        <f>'4th Q Co Share Calculations'!T18</f>
        <v>1465</v>
      </c>
      <c r="F15" s="325"/>
      <c r="G15" s="288"/>
      <c r="H15" s="326"/>
      <c r="I15" s="288"/>
      <c r="J15" s="288"/>
      <c r="K15" s="288"/>
      <c r="L15" s="327">
        <f>'4th Q Co Share Calculations'!X18</f>
        <v>534</v>
      </c>
      <c r="M15" s="327">
        <f>'4th Q Co Share Calculations'!Y18</f>
        <v>477</v>
      </c>
      <c r="N15" s="327">
        <f>'4th Q Co Share Calculations'!Z18</f>
        <v>4</v>
      </c>
      <c r="O15" s="327">
        <f>'4th Q Co Share Calculations'!AA18</f>
        <v>498</v>
      </c>
      <c r="P15" s="327">
        <f>'4th Q Co Share Calculations'!AB18</f>
        <v>58</v>
      </c>
      <c r="Q15" s="327">
        <f>'4th Q Co Share Calculations'!AC18</f>
        <v>0</v>
      </c>
      <c r="R15" s="327">
        <f>'4th Q Co Share Calculations'!AD18</f>
        <v>1</v>
      </c>
      <c r="S15" s="327">
        <f>'4th Q Co Share Calculations'!AE18</f>
        <v>2</v>
      </c>
      <c r="T15" s="327">
        <f>'4th Q Co Share Calculations'!AF18</f>
        <v>1656</v>
      </c>
      <c r="U15" s="324">
        <f t="shared" si="4"/>
        <v>534</v>
      </c>
      <c r="V15" s="19">
        <f t="shared" si="0"/>
        <v>17035</v>
      </c>
      <c r="W15" s="163">
        <f t="shared" si="5"/>
        <v>4</v>
      </c>
      <c r="X15" s="163">
        <f t="shared" si="6"/>
        <v>498</v>
      </c>
      <c r="Y15" s="163">
        <f t="shared" si="1"/>
        <v>365</v>
      </c>
      <c r="Z15" s="163">
        <f t="shared" si="7"/>
        <v>0</v>
      </c>
      <c r="AA15" s="163">
        <f t="shared" si="8"/>
        <v>1</v>
      </c>
      <c r="AB15" s="163">
        <f t="shared" si="9"/>
        <v>2</v>
      </c>
      <c r="AC15" s="163">
        <f t="shared" si="2"/>
        <v>2838</v>
      </c>
      <c r="AD15" s="163">
        <f t="shared" si="3"/>
        <v>21277</v>
      </c>
      <c r="AE15" s="329">
        <f>AD15-'4th Q Co Share Calculations'!BR18</f>
        <v>0</v>
      </c>
    </row>
    <row r="16" spans="1:31">
      <c r="A16" s="315" t="s">
        <v>31</v>
      </c>
      <c r="B16" s="324">
        <f>'4th Q Co Share Calculations'!C19</f>
        <v>26809</v>
      </c>
      <c r="C16" s="19">
        <f>'4th Q Co Share Calculations'!D19</f>
        <v>546</v>
      </c>
      <c r="D16" s="243">
        <f>'4th Q Co Share Calculations'!F19</f>
        <v>380</v>
      </c>
      <c r="E16" s="160">
        <f>'4th Q Co Share Calculations'!T19</f>
        <v>2966</v>
      </c>
      <c r="F16" s="325"/>
      <c r="G16" s="288"/>
      <c r="H16" s="326"/>
      <c r="I16" s="288"/>
      <c r="J16" s="288"/>
      <c r="K16" s="288"/>
      <c r="L16" s="327">
        <f>'4th Q Co Share Calculations'!X19</f>
        <v>956</v>
      </c>
      <c r="M16" s="327">
        <f>'4th Q Co Share Calculations'!Y19</f>
        <v>853</v>
      </c>
      <c r="N16" s="327">
        <f>'4th Q Co Share Calculations'!Z19</f>
        <v>8</v>
      </c>
      <c r="O16" s="327">
        <f>'4th Q Co Share Calculations'!AA19</f>
        <v>893</v>
      </c>
      <c r="P16" s="327">
        <f>'4th Q Co Share Calculations'!AB19</f>
        <v>105</v>
      </c>
      <c r="Q16" s="327">
        <f>'4th Q Co Share Calculations'!AC19</f>
        <v>0</v>
      </c>
      <c r="R16" s="327">
        <f>'4th Q Co Share Calculations'!AD19</f>
        <v>3</v>
      </c>
      <c r="S16" s="327">
        <f>'4th Q Co Share Calculations'!AE19</f>
        <v>4</v>
      </c>
      <c r="T16" s="327">
        <f>'4th Q Co Share Calculations'!AF19</f>
        <v>2965</v>
      </c>
      <c r="U16" s="324">
        <f t="shared" si="4"/>
        <v>956</v>
      </c>
      <c r="V16" s="19">
        <f t="shared" si="0"/>
        <v>30628</v>
      </c>
      <c r="W16" s="163">
        <f t="shared" si="5"/>
        <v>8</v>
      </c>
      <c r="X16" s="163">
        <f t="shared" si="6"/>
        <v>893</v>
      </c>
      <c r="Y16" s="163">
        <f t="shared" si="1"/>
        <v>651</v>
      </c>
      <c r="Z16" s="163">
        <f t="shared" si="7"/>
        <v>0</v>
      </c>
      <c r="AA16" s="163">
        <f t="shared" si="8"/>
        <v>3</v>
      </c>
      <c r="AB16" s="163">
        <f t="shared" si="9"/>
        <v>4</v>
      </c>
      <c r="AC16" s="163">
        <f t="shared" si="2"/>
        <v>3345</v>
      </c>
      <c r="AD16" s="163">
        <f t="shared" si="3"/>
        <v>36488</v>
      </c>
      <c r="AE16" s="329">
        <f>AD16-'4th Q Co Share Calculations'!BR19</f>
        <v>0</v>
      </c>
    </row>
    <row r="17" spans="1:31">
      <c r="A17" s="315" t="s">
        <v>30</v>
      </c>
      <c r="B17" s="324">
        <f>'4th Q Co Share Calculations'!C20</f>
        <v>1583</v>
      </c>
      <c r="C17" s="19">
        <f>'4th Q Co Share Calculations'!D20</f>
        <v>32</v>
      </c>
      <c r="D17" s="243">
        <f>'4th Q Co Share Calculations'!F20</f>
        <v>182</v>
      </c>
      <c r="E17" s="160">
        <f>'4th Q Co Share Calculations'!T20</f>
        <v>141</v>
      </c>
      <c r="F17" s="325"/>
      <c r="G17" s="288"/>
      <c r="H17" s="326"/>
      <c r="I17" s="288"/>
      <c r="J17" s="288"/>
      <c r="K17" s="288"/>
      <c r="L17" s="327">
        <f>'4th Q Co Share Calculations'!X20</f>
        <v>62</v>
      </c>
      <c r="M17" s="327">
        <f>'4th Q Co Share Calculations'!Y20</f>
        <v>55</v>
      </c>
      <c r="N17" s="327">
        <f>'4th Q Co Share Calculations'!Z20</f>
        <v>0</v>
      </c>
      <c r="O17" s="327">
        <f>'4th Q Co Share Calculations'!AA20</f>
        <v>58</v>
      </c>
      <c r="P17" s="327">
        <f>'4th Q Co Share Calculations'!AB20</f>
        <v>7</v>
      </c>
      <c r="Q17" s="327">
        <f>'4th Q Co Share Calculations'!AC20</f>
        <v>0</v>
      </c>
      <c r="R17" s="327">
        <f>'4th Q Co Share Calculations'!AD20</f>
        <v>0</v>
      </c>
      <c r="S17" s="327">
        <f>'4th Q Co Share Calculations'!AE20</f>
        <v>0</v>
      </c>
      <c r="T17" s="327">
        <f>'4th Q Co Share Calculations'!AF20</f>
        <v>193</v>
      </c>
      <c r="U17" s="324">
        <f t="shared" si="4"/>
        <v>62</v>
      </c>
      <c r="V17" s="19">
        <f t="shared" si="0"/>
        <v>1779</v>
      </c>
      <c r="W17" s="163">
        <f t="shared" si="5"/>
        <v>0</v>
      </c>
      <c r="X17" s="163">
        <f t="shared" si="6"/>
        <v>58</v>
      </c>
      <c r="Y17" s="163">
        <f t="shared" si="1"/>
        <v>39</v>
      </c>
      <c r="Z17" s="163">
        <f t="shared" si="7"/>
        <v>0</v>
      </c>
      <c r="AA17" s="163">
        <f t="shared" si="8"/>
        <v>0</v>
      </c>
      <c r="AB17" s="163">
        <f t="shared" si="9"/>
        <v>0</v>
      </c>
      <c r="AC17" s="163">
        <f t="shared" si="2"/>
        <v>375</v>
      </c>
      <c r="AD17" s="163">
        <f t="shared" si="3"/>
        <v>2313</v>
      </c>
      <c r="AE17" s="329">
        <f>AD17-'4th Q Co Share Calculations'!BR20</f>
        <v>0</v>
      </c>
    </row>
    <row r="18" spans="1:31">
      <c r="A18" s="315" t="s">
        <v>29</v>
      </c>
      <c r="B18" s="324">
        <f>'4th Q Co Share Calculations'!C21</f>
        <v>116100</v>
      </c>
      <c r="C18" s="19">
        <f>'4th Q Co Share Calculations'!D21</f>
        <v>2365</v>
      </c>
      <c r="D18" s="243">
        <f>'4th Q Co Share Calculations'!F21</f>
        <v>5707</v>
      </c>
      <c r="E18" s="160">
        <f>'4th Q Co Share Calculations'!T21</f>
        <v>11404</v>
      </c>
      <c r="F18" s="325"/>
      <c r="G18" s="288"/>
      <c r="H18" s="326"/>
      <c r="I18" s="288"/>
      <c r="J18" s="288"/>
      <c r="K18" s="288"/>
      <c r="L18" s="327">
        <f>'4th Q Co Share Calculations'!X21</f>
        <v>4134</v>
      </c>
      <c r="M18" s="327">
        <f>'4th Q Co Share Calculations'!Y21</f>
        <v>3690</v>
      </c>
      <c r="N18" s="327">
        <f>'4th Q Co Share Calculations'!Z21</f>
        <v>33</v>
      </c>
      <c r="O18" s="327">
        <f>'4th Q Co Share Calculations'!AA21</f>
        <v>3860</v>
      </c>
      <c r="P18" s="327">
        <f>'4th Q Co Share Calculations'!AB21</f>
        <v>453</v>
      </c>
      <c r="Q18" s="327">
        <f>'4th Q Co Share Calculations'!AC21</f>
        <v>1</v>
      </c>
      <c r="R18" s="327">
        <f>'4th Q Co Share Calculations'!AD21</f>
        <v>11</v>
      </c>
      <c r="S18" s="327">
        <f>'4th Q Co Share Calculations'!AE21</f>
        <v>16</v>
      </c>
      <c r="T18" s="327">
        <f>'4th Q Co Share Calculations'!AF21</f>
        <v>12824</v>
      </c>
      <c r="U18" s="324">
        <f t="shared" si="4"/>
        <v>4134</v>
      </c>
      <c r="V18" s="19">
        <f t="shared" si="0"/>
        <v>131194</v>
      </c>
      <c r="W18" s="163">
        <f t="shared" si="5"/>
        <v>33</v>
      </c>
      <c r="X18" s="163">
        <f t="shared" si="6"/>
        <v>3860</v>
      </c>
      <c r="Y18" s="163">
        <f t="shared" si="1"/>
        <v>2818</v>
      </c>
      <c r="Z18" s="163">
        <f t="shared" si="7"/>
        <v>1</v>
      </c>
      <c r="AA18" s="163">
        <f t="shared" si="8"/>
        <v>11</v>
      </c>
      <c r="AB18" s="163">
        <f t="shared" si="9"/>
        <v>16</v>
      </c>
      <c r="AC18" s="163">
        <f t="shared" si="2"/>
        <v>18531</v>
      </c>
      <c r="AD18" s="163">
        <f t="shared" si="3"/>
        <v>160598</v>
      </c>
      <c r="AE18" s="329">
        <f>AD18-'4th Q Co Share Calculations'!BR21</f>
        <v>0</v>
      </c>
    </row>
    <row r="19" spans="1:31">
      <c r="A19" s="315" t="s">
        <v>28</v>
      </c>
      <c r="B19" s="324">
        <f>'4th Q Co Share Calculations'!C22</f>
        <v>16676</v>
      </c>
      <c r="C19" s="19">
        <f>'4th Q Co Share Calculations'!D22</f>
        <v>340</v>
      </c>
      <c r="D19" s="243">
        <f>'4th Q Co Share Calculations'!F22</f>
        <v>408</v>
      </c>
      <c r="E19" s="160">
        <f>'4th Q Co Share Calculations'!T22</f>
        <v>1712</v>
      </c>
      <c r="F19" s="325"/>
      <c r="G19" s="288"/>
      <c r="H19" s="326"/>
      <c r="I19" s="288"/>
      <c r="J19" s="288"/>
      <c r="K19" s="288"/>
      <c r="L19" s="327">
        <f>'4th Q Co Share Calculations'!X22</f>
        <v>596</v>
      </c>
      <c r="M19" s="327">
        <f>'4th Q Co Share Calculations'!Y22</f>
        <v>532</v>
      </c>
      <c r="N19" s="327">
        <f>'4th Q Co Share Calculations'!Z22</f>
        <v>5</v>
      </c>
      <c r="O19" s="327">
        <f>'4th Q Co Share Calculations'!AA22</f>
        <v>556</v>
      </c>
      <c r="P19" s="327">
        <f>'4th Q Co Share Calculations'!AB22</f>
        <v>65</v>
      </c>
      <c r="Q19" s="327">
        <f>'4th Q Co Share Calculations'!AC22</f>
        <v>1</v>
      </c>
      <c r="R19" s="327">
        <f>'4th Q Co Share Calculations'!AD22</f>
        <v>2</v>
      </c>
      <c r="S19" s="327">
        <f>'4th Q Co Share Calculations'!AE22</f>
        <v>2</v>
      </c>
      <c r="T19" s="327">
        <f>'4th Q Co Share Calculations'!AF22</f>
        <v>1848</v>
      </c>
      <c r="U19" s="324">
        <f t="shared" si="4"/>
        <v>596</v>
      </c>
      <c r="V19" s="19">
        <f t="shared" si="0"/>
        <v>18920</v>
      </c>
      <c r="W19" s="163">
        <f t="shared" si="5"/>
        <v>5</v>
      </c>
      <c r="X19" s="163">
        <f t="shared" si="6"/>
        <v>556</v>
      </c>
      <c r="Y19" s="163">
        <f t="shared" si="1"/>
        <v>405</v>
      </c>
      <c r="Z19" s="163">
        <f t="shared" si="7"/>
        <v>1</v>
      </c>
      <c r="AA19" s="163">
        <f t="shared" si="8"/>
        <v>2</v>
      </c>
      <c r="AB19" s="163">
        <f t="shared" si="9"/>
        <v>2</v>
      </c>
      <c r="AC19" s="163">
        <f t="shared" si="2"/>
        <v>2256</v>
      </c>
      <c r="AD19" s="163">
        <f t="shared" si="3"/>
        <v>22743</v>
      </c>
      <c r="AE19" s="329">
        <f>AD19-'4th Q Co Share Calculations'!BR22</f>
        <v>0</v>
      </c>
    </row>
    <row r="20" spans="1:31">
      <c r="A20" s="315" t="s">
        <v>27</v>
      </c>
      <c r="B20" s="324">
        <f>'4th Q Co Share Calculations'!C23</f>
        <v>8971</v>
      </c>
      <c r="C20" s="19">
        <f>'4th Q Co Share Calculations'!D23</f>
        <v>183</v>
      </c>
      <c r="D20" s="243">
        <f>'4th Q Co Share Calculations'!F23</f>
        <v>27</v>
      </c>
      <c r="E20" s="160">
        <f>'4th Q Co Share Calculations'!T23</f>
        <v>847</v>
      </c>
      <c r="F20" s="325"/>
      <c r="G20" s="288"/>
      <c r="H20" s="326"/>
      <c r="I20" s="288"/>
      <c r="J20" s="288"/>
      <c r="K20" s="288"/>
      <c r="L20" s="327">
        <f>'4th Q Co Share Calculations'!X23</f>
        <v>323</v>
      </c>
      <c r="M20" s="327">
        <f>'4th Q Co Share Calculations'!Y23</f>
        <v>288</v>
      </c>
      <c r="N20" s="327">
        <f>'4th Q Co Share Calculations'!Z23</f>
        <v>3</v>
      </c>
      <c r="O20" s="327">
        <f>'4th Q Co Share Calculations'!AA23</f>
        <v>301</v>
      </c>
      <c r="P20" s="327">
        <f>'4th Q Co Share Calculations'!AB23</f>
        <v>35</v>
      </c>
      <c r="Q20" s="327">
        <f>'4th Q Co Share Calculations'!AC23</f>
        <v>0</v>
      </c>
      <c r="R20" s="327">
        <f>'4th Q Co Share Calculations'!AD23</f>
        <v>1</v>
      </c>
      <c r="S20" s="327">
        <f>'4th Q Co Share Calculations'!AE23</f>
        <v>1</v>
      </c>
      <c r="T20" s="327">
        <f>'4th Q Co Share Calculations'!AF23</f>
        <v>1001</v>
      </c>
      <c r="U20" s="324">
        <f t="shared" si="4"/>
        <v>323</v>
      </c>
      <c r="V20" s="19">
        <f t="shared" si="0"/>
        <v>10106</v>
      </c>
      <c r="W20" s="163">
        <f t="shared" si="5"/>
        <v>3</v>
      </c>
      <c r="X20" s="163">
        <f t="shared" si="6"/>
        <v>301</v>
      </c>
      <c r="Y20" s="163">
        <f t="shared" si="1"/>
        <v>218</v>
      </c>
      <c r="Z20" s="163">
        <f t="shared" si="7"/>
        <v>0</v>
      </c>
      <c r="AA20" s="163">
        <f t="shared" si="8"/>
        <v>1</v>
      </c>
      <c r="AB20" s="163">
        <f t="shared" si="9"/>
        <v>1</v>
      </c>
      <c r="AC20" s="163">
        <f t="shared" si="2"/>
        <v>1028</v>
      </c>
      <c r="AD20" s="163">
        <f t="shared" si="3"/>
        <v>11981</v>
      </c>
      <c r="AE20" s="329">
        <f>AD20-'4th Q Co Share Calculations'!BR23</f>
        <v>0</v>
      </c>
    </row>
    <row r="21" spans="1:31">
      <c r="A21" s="315" t="s">
        <v>26</v>
      </c>
      <c r="B21" s="324">
        <f>'4th Q Co Share Calculations'!C24</f>
        <v>2111</v>
      </c>
      <c r="C21" s="19">
        <f>'4th Q Co Share Calculations'!D24</f>
        <v>43</v>
      </c>
      <c r="D21" s="243">
        <f>'4th Q Co Share Calculations'!F24</f>
        <v>296</v>
      </c>
      <c r="E21" s="160">
        <f>'4th Q Co Share Calculations'!T24</f>
        <v>230</v>
      </c>
      <c r="F21" s="325"/>
      <c r="G21" s="288"/>
      <c r="H21" s="326"/>
      <c r="I21" s="288"/>
      <c r="J21" s="288"/>
      <c r="K21" s="288"/>
      <c r="L21" s="327">
        <f>'4th Q Co Share Calculations'!X24</f>
        <v>74</v>
      </c>
      <c r="M21" s="327">
        <f>'4th Q Co Share Calculations'!Y24</f>
        <v>66</v>
      </c>
      <c r="N21" s="327">
        <f>'4th Q Co Share Calculations'!Z24</f>
        <v>1</v>
      </c>
      <c r="O21" s="327">
        <f>'4th Q Co Share Calculations'!AA24</f>
        <v>70</v>
      </c>
      <c r="P21" s="327">
        <f>'4th Q Co Share Calculations'!AB24</f>
        <v>8</v>
      </c>
      <c r="Q21" s="327">
        <f>'4th Q Co Share Calculations'!AC24</f>
        <v>0</v>
      </c>
      <c r="R21" s="327">
        <f>'4th Q Co Share Calculations'!AD24</f>
        <v>0</v>
      </c>
      <c r="S21" s="327">
        <f>'4th Q Co Share Calculations'!AE24</f>
        <v>0</v>
      </c>
      <c r="T21" s="327">
        <f>'4th Q Co Share Calculations'!AF24</f>
        <v>231</v>
      </c>
      <c r="U21" s="324">
        <f t="shared" si="4"/>
        <v>74</v>
      </c>
      <c r="V21" s="19">
        <f t="shared" si="0"/>
        <v>2407</v>
      </c>
      <c r="W21" s="163">
        <f t="shared" si="5"/>
        <v>1</v>
      </c>
      <c r="X21" s="163">
        <f t="shared" si="6"/>
        <v>70</v>
      </c>
      <c r="Y21" s="163">
        <f t="shared" si="1"/>
        <v>51</v>
      </c>
      <c r="Z21" s="163">
        <f t="shared" si="7"/>
        <v>0</v>
      </c>
      <c r="AA21" s="163">
        <f t="shared" si="8"/>
        <v>0</v>
      </c>
      <c r="AB21" s="163">
        <f t="shared" si="9"/>
        <v>0</v>
      </c>
      <c r="AC21" s="163">
        <f t="shared" si="2"/>
        <v>527</v>
      </c>
      <c r="AD21" s="163">
        <f t="shared" si="3"/>
        <v>3130</v>
      </c>
      <c r="AE21" s="329">
        <f>AD21-'4th Q Co Share Calculations'!BR24</f>
        <v>0</v>
      </c>
    </row>
    <row r="22" spans="1:31">
      <c r="A22" s="317" t="s">
        <v>25</v>
      </c>
      <c r="B22" s="324">
        <f>'4th Q Co Share Calculations'!C25</f>
        <v>0</v>
      </c>
      <c r="C22" s="19">
        <f>'4th Q Co Share Calculations'!D25</f>
        <v>0</v>
      </c>
      <c r="D22" s="243">
        <f>'4th Q Co Share Calculations'!F25</f>
        <v>0</v>
      </c>
      <c r="E22" s="160">
        <f>'4th Q Co Share Calculations'!T25</f>
        <v>78101</v>
      </c>
      <c r="F22" s="810">
        <f ca="1">'4th Q Co Share Calculations'!L25</f>
        <v>710129</v>
      </c>
      <c r="G22" s="19">
        <f ca="1">'4th Q Co Share Calculations'!M25</f>
        <v>13234</v>
      </c>
      <c r="H22" s="243">
        <f ca="1">'4th Q Co Share Calculations'!N25</f>
        <v>389002</v>
      </c>
      <c r="I22" s="288"/>
      <c r="J22" s="288"/>
      <c r="K22" s="288"/>
      <c r="L22" s="327">
        <f>'4th Q Co Share Calculations'!X25</f>
        <v>35940</v>
      </c>
      <c r="M22" s="327">
        <f>'4th Q Co Share Calculations'!Y25</f>
        <v>32081</v>
      </c>
      <c r="N22" s="327">
        <f>'4th Q Co Share Calculations'!Z25</f>
        <v>289</v>
      </c>
      <c r="O22" s="327">
        <f>'4th Q Co Share Calculations'!AA25</f>
        <v>33557</v>
      </c>
      <c r="P22" s="327">
        <f>'4th Q Co Share Calculations'!AB25</f>
        <v>3934</v>
      </c>
      <c r="Q22" s="327">
        <f>'4th Q Co Share Calculations'!AC25</f>
        <v>11</v>
      </c>
      <c r="R22" s="327">
        <f>'4th Q Co Share Calculations'!AD25</f>
        <v>96</v>
      </c>
      <c r="S22" s="327">
        <f>'4th Q Co Share Calculations'!AE25</f>
        <v>139</v>
      </c>
      <c r="T22" s="327">
        <f>'4th Q Co Share Calculations'!AF25</f>
        <v>111487</v>
      </c>
      <c r="U22" s="324">
        <f t="shared" si="4"/>
        <v>35940</v>
      </c>
      <c r="V22" s="19">
        <f t="shared" ca="1" si="0"/>
        <v>820311</v>
      </c>
      <c r="W22" s="163">
        <f t="shared" si="5"/>
        <v>289</v>
      </c>
      <c r="X22" s="163">
        <f t="shared" si="6"/>
        <v>33557</v>
      </c>
      <c r="Y22" s="163">
        <f t="shared" ca="1" si="1"/>
        <v>17168</v>
      </c>
      <c r="Z22" s="163">
        <f t="shared" si="7"/>
        <v>11</v>
      </c>
      <c r="AA22" s="163">
        <f t="shared" si="8"/>
        <v>96</v>
      </c>
      <c r="AB22" s="163">
        <f t="shared" si="9"/>
        <v>139</v>
      </c>
      <c r="AC22" s="163">
        <f t="shared" ca="1" si="2"/>
        <v>500489</v>
      </c>
      <c r="AD22" s="163">
        <f t="shared" ca="1" si="3"/>
        <v>1408000</v>
      </c>
      <c r="AE22" s="329">
        <f ca="1">AD22-'4th Q Co Share Calculations'!BR25</f>
        <v>0</v>
      </c>
    </row>
    <row r="23" spans="1:31">
      <c r="A23" s="317" t="s">
        <v>24</v>
      </c>
      <c r="B23" s="324">
        <f>'4th Q Co Share Calculations'!C26</f>
        <v>20265</v>
      </c>
      <c r="C23" s="19">
        <f>'4th Q Co Share Calculations'!D26</f>
        <v>413</v>
      </c>
      <c r="D23" s="243">
        <f>'4th Q Co Share Calculations'!F26</f>
        <v>606</v>
      </c>
      <c r="E23" s="160">
        <f>'4th Q Co Share Calculations'!T26</f>
        <v>1977</v>
      </c>
      <c r="F23" s="325"/>
      <c r="G23" s="288"/>
      <c r="H23" s="326"/>
      <c r="I23" s="288"/>
      <c r="J23" s="288"/>
      <c r="K23" s="288"/>
      <c r="L23" s="327">
        <f>'4th Q Co Share Calculations'!X26</f>
        <v>720</v>
      </c>
      <c r="M23" s="327">
        <f>'4th Q Co Share Calculations'!Y26</f>
        <v>643</v>
      </c>
      <c r="N23" s="327">
        <f>'4th Q Co Share Calculations'!Z26</f>
        <v>6</v>
      </c>
      <c r="O23" s="327">
        <f>'4th Q Co Share Calculations'!AA26</f>
        <v>672</v>
      </c>
      <c r="P23" s="327">
        <f>'4th Q Co Share Calculations'!AB26</f>
        <v>79</v>
      </c>
      <c r="Q23" s="327">
        <f>'4th Q Co Share Calculations'!AC26</f>
        <v>0</v>
      </c>
      <c r="R23" s="327">
        <f>'4th Q Co Share Calculations'!AD26</f>
        <v>2</v>
      </c>
      <c r="S23" s="327">
        <f>'4th Q Co Share Calculations'!AE26</f>
        <v>3</v>
      </c>
      <c r="T23" s="327">
        <f>'4th Q Co Share Calculations'!AF26</f>
        <v>2234</v>
      </c>
      <c r="U23" s="324">
        <f t="shared" si="4"/>
        <v>720</v>
      </c>
      <c r="V23" s="19">
        <f t="shared" si="0"/>
        <v>22885</v>
      </c>
      <c r="W23" s="163">
        <f t="shared" si="5"/>
        <v>6</v>
      </c>
      <c r="X23" s="163">
        <f t="shared" si="6"/>
        <v>672</v>
      </c>
      <c r="Y23" s="163">
        <f t="shared" si="1"/>
        <v>492</v>
      </c>
      <c r="Z23" s="163">
        <f t="shared" si="7"/>
        <v>0</v>
      </c>
      <c r="AA23" s="163">
        <f t="shared" si="8"/>
        <v>2</v>
      </c>
      <c r="AB23" s="163">
        <f t="shared" si="9"/>
        <v>3</v>
      </c>
      <c r="AC23" s="163">
        <f t="shared" si="2"/>
        <v>2840</v>
      </c>
      <c r="AD23" s="163">
        <f t="shared" si="3"/>
        <v>27620</v>
      </c>
      <c r="AE23" s="329">
        <f>AD23-'4th Q Co Share Calculations'!BR26</f>
        <v>0</v>
      </c>
    </row>
    <row r="24" spans="1:31">
      <c r="A24" s="317" t="s">
        <v>23</v>
      </c>
      <c r="B24" s="324">
        <f>'4th Q Co Share Calculations'!C27</f>
        <v>11821</v>
      </c>
      <c r="C24" s="19">
        <f>'4th Q Co Share Calculations'!D27</f>
        <v>241</v>
      </c>
      <c r="D24" s="243">
        <f>'4th Q Co Share Calculations'!F27</f>
        <v>3041</v>
      </c>
      <c r="E24" s="160">
        <f>'4th Q Co Share Calculations'!T27</f>
        <v>689</v>
      </c>
      <c r="F24" s="325"/>
      <c r="G24" s="288"/>
      <c r="H24" s="326"/>
      <c r="I24" s="288"/>
      <c r="J24" s="288"/>
      <c r="K24" s="288"/>
      <c r="L24" s="327">
        <f>'4th Q Co Share Calculations'!X27</f>
        <v>422</v>
      </c>
      <c r="M24" s="327">
        <f>'4th Q Co Share Calculations'!Y27</f>
        <v>377</v>
      </c>
      <c r="N24" s="327">
        <f>'4th Q Co Share Calculations'!Z27</f>
        <v>3</v>
      </c>
      <c r="O24" s="327">
        <f>'4th Q Co Share Calculations'!AA27</f>
        <v>394</v>
      </c>
      <c r="P24" s="327">
        <f>'4th Q Co Share Calculations'!AB27</f>
        <v>47</v>
      </c>
      <c r="Q24" s="327">
        <f>'4th Q Co Share Calculations'!AC27</f>
        <v>0</v>
      </c>
      <c r="R24" s="327">
        <f>'4th Q Co Share Calculations'!AD27</f>
        <v>1</v>
      </c>
      <c r="S24" s="327">
        <f>'4th Q Co Share Calculations'!AE27</f>
        <v>2</v>
      </c>
      <c r="T24" s="327">
        <f>'4th Q Co Share Calculations'!AF27</f>
        <v>1309</v>
      </c>
      <c r="U24" s="324">
        <f t="shared" si="4"/>
        <v>422</v>
      </c>
      <c r="V24" s="19">
        <f t="shared" si="0"/>
        <v>12887</v>
      </c>
      <c r="W24" s="163">
        <f t="shared" si="5"/>
        <v>3</v>
      </c>
      <c r="X24" s="163">
        <f t="shared" si="6"/>
        <v>394</v>
      </c>
      <c r="Y24" s="163">
        <f t="shared" si="1"/>
        <v>288</v>
      </c>
      <c r="Z24" s="163">
        <f t="shared" si="7"/>
        <v>0</v>
      </c>
      <c r="AA24" s="163">
        <f t="shared" si="8"/>
        <v>1</v>
      </c>
      <c r="AB24" s="163">
        <f t="shared" si="9"/>
        <v>2</v>
      </c>
      <c r="AC24" s="163">
        <f t="shared" si="2"/>
        <v>4350</v>
      </c>
      <c r="AD24" s="163">
        <f t="shared" si="3"/>
        <v>18347</v>
      </c>
      <c r="AE24" s="329">
        <f>AD24-'4th Q Co Share Calculations'!BR27</f>
        <v>0</v>
      </c>
    </row>
    <row r="25" spans="1:31">
      <c r="A25" s="317" t="s">
        <v>22</v>
      </c>
      <c r="B25" s="324">
        <f>'4th Q Co Share Calculations'!C28</f>
        <v>1372</v>
      </c>
      <c r="C25" s="19">
        <f>'4th Q Co Share Calculations'!D28</f>
        <v>28</v>
      </c>
      <c r="D25" s="243">
        <f>'4th Q Co Share Calculations'!F28</f>
        <v>149</v>
      </c>
      <c r="E25" s="160">
        <f>'4th Q Co Share Calculations'!T28</f>
        <v>141</v>
      </c>
      <c r="F25" s="325"/>
      <c r="G25" s="288"/>
      <c r="H25" s="326"/>
      <c r="I25" s="288"/>
      <c r="J25" s="288"/>
      <c r="K25" s="288"/>
      <c r="L25" s="327">
        <f>'4th Q Co Share Calculations'!X28</f>
        <v>50</v>
      </c>
      <c r="M25" s="327">
        <f>'4th Q Co Share Calculations'!Y28</f>
        <v>44</v>
      </c>
      <c r="N25" s="327">
        <f>'4th Q Co Share Calculations'!Z28</f>
        <v>0</v>
      </c>
      <c r="O25" s="327">
        <f>'4th Q Co Share Calculations'!AA28</f>
        <v>46</v>
      </c>
      <c r="P25" s="327">
        <f>'4th Q Co Share Calculations'!AB28</f>
        <v>5</v>
      </c>
      <c r="Q25" s="327">
        <f>'4th Q Co Share Calculations'!AC28</f>
        <v>0</v>
      </c>
      <c r="R25" s="327">
        <f>'4th Q Co Share Calculations'!AD28</f>
        <v>0</v>
      </c>
      <c r="S25" s="327">
        <f>'4th Q Co Share Calculations'!AE28</f>
        <v>0</v>
      </c>
      <c r="T25" s="327">
        <f>'4th Q Co Share Calculations'!AF28</f>
        <v>154</v>
      </c>
      <c r="U25" s="324">
        <f t="shared" si="4"/>
        <v>50</v>
      </c>
      <c r="V25" s="19">
        <f t="shared" si="0"/>
        <v>1557</v>
      </c>
      <c r="W25" s="163">
        <f t="shared" si="5"/>
        <v>0</v>
      </c>
      <c r="X25" s="163">
        <f t="shared" si="6"/>
        <v>46</v>
      </c>
      <c r="Y25" s="163">
        <f t="shared" si="1"/>
        <v>33</v>
      </c>
      <c r="Z25" s="163">
        <f t="shared" si="7"/>
        <v>0</v>
      </c>
      <c r="AA25" s="163">
        <f t="shared" si="8"/>
        <v>0</v>
      </c>
      <c r="AB25" s="163">
        <f t="shared" si="9"/>
        <v>0</v>
      </c>
      <c r="AC25" s="163">
        <f t="shared" si="2"/>
        <v>303</v>
      </c>
      <c r="AD25" s="163">
        <f t="shared" si="3"/>
        <v>1989</v>
      </c>
      <c r="AE25" s="329">
        <f>AD25-'4th Q Co Share Calculations'!BR28</f>
        <v>0</v>
      </c>
    </row>
    <row r="26" spans="1:31">
      <c r="A26" s="317" t="s">
        <v>21</v>
      </c>
      <c r="B26" s="324">
        <f>'4th Q Co Share Calculations'!C29</f>
        <v>10977</v>
      </c>
      <c r="C26" s="19">
        <f>'4th Q Co Share Calculations'!D29</f>
        <v>224</v>
      </c>
      <c r="D26" s="243">
        <f>'4th Q Co Share Calculations'!F29</f>
        <v>269</v>
      </c>
      <c r="E26" s="160">
        <f>'4th Q Co Share Calculations'!T29</f>
        <v>830</v>
      </c>
      <c r="F26" s="325"/>
      <c r="G26" s="288"/>
      <c r="H26" s="326"/>
      <c r="I26" s="288"/>
      <c r="J26" s="288"/>
      <c r="K26" s="288"/>
      <c r="L26" s="327">
        <f>'4th Q Co Share Calculations'!X29</f>
        <v>397</v>
      </c>
      <c r="M26" s="327">
        <f>'4th Q Co Share Calculations'!Y29</f>
        <v>355</v>
      </c>
      <c r="N26" s="327">
        <f>'4th Q Co Share Calculations'!Z29</f>
        <v>3</v>
      </c>
      <c r="O26" s="327">
        <f>'4th Q Co Share Calculations'!AA29</f>
        <v>371</v>
      </c>
      <c r="P26" s="327">
        <f>'4th Q Co Share Calculations'!AB29</f>
        <v>43</v>
      </c>
      <c r="Q26" s="327">
        <f>'4th Q Co Share Calculations'!AC29</f>
        <v>0</v>
      </c>
      <c r="R26" s="327">
        <f>'4th Q Co Share Calculations'!AD29</f>
        <v>1</v>
      </c>
      <c r="S26" s="327">
        <f>'4th Q Co Share Calculations'!AE29</f>
        <v>2</v>
      </c>
      <c r="T26" s="327">
        <f>'4th Q Co Share Calculations'!AF29</f>
        <v>1232</v>
      </c>
      <c r="U26" s="324">
        <f t="shared" si="4"/>
        <v>397</v>
      </c>
      <c r="V26" s="19">
        <f t="shared" si="0"/>
        <v>12162</v>
      </c>
      <c r="W26" s="163">
        <f t="shared" si="5"/>
        <v>3</v>
      </c>
      <c r="X26" s="163">
        <f t="shared" si="6"/>
        <v>371</v>
      </c>
      <c r="Y26" s="163">
        <f t="shared" si="1"/>
        <v>267</v>
      </c>
      <c r="Z26" s="163">
        <f t="shared" si="7"/>
        <v>0</v>
      </c>
      <c r="AA26" s="163">
        <f t="shared" si="8"/>
        <v>1</v>
      </c>
      <c r="AB26" s="163">
        <f t="shared" si="9"/>
        <v>2</v>
      </c>
      <c r="AC26" s="163">
        <f t="shared" si="2"/>
        <v>1501</v>
      </c>
      <c r="AD26" s="163">
        <f t="shared" si="3"/>
        <v>14704</v>
      </c>
      <c r="AE26" s="329">
        <f>AD26-'4th Q Co Share Calculations'!BR29</f>
        <v>0</v>
      </c>
    </row>
    <row r="27" spans="1:31">
      <c r="A27" s="317" t="s">
        <v>20</v>
      </c>
      <c r="B27" s="324">
        <f>'4th Q Co Share Calculations'!C30</f>
        <v>38630</v>
      </c>
      <c r="C27" s="19">
        <f>'4th Q Co Share Calculations'!D30</f>
        <v>787</v>
      </c>
      <c r="D27" s="243">
        <f>'4th Q Co Share Calculations'!F30</f>
        <v>451</v>
      </c>
      <c r="E27" s="160">
        <f>'4th Q Co Share Calculations'!T30</f>
        <v>3866</v>
      </c>
      <c r="F27" s="325"/>
      <c r="G27" s="288"/>
      <c r="H27" s="326"/>
      <c r="I27" s="288"/>
      <c r="J27" s="288"/>
      <c r="K27" s="288"/>
      <c r="L27" s="327">
        <f>'4th Q Co Share Calculations'!X30</f>
        <v>1378</v>
      </c>
      <c r="M27" s="327">
        <f>'4th Q Co Share Calculations'!Y30</f>
        <v>1230</v>
      </c>
      <c r="N27" s="327">
        <f>'4th Q Co Share Calculations'!Z30</f>
        <v>12</v>
      </c>
      <c r="O27" s="327">
        <f>'4th Q Co Share Calculations'!AA30</f>
        <v>1287</v>
      </c>
      <c r="P27" s="327">
        <f>'4th Q Co Share Calculations'!AB30</f>
        <v>151</v>
      </c>
      <c r="Q27" s="327">
        <f>'4th Q Co Share Calculations'!AC30</f>
        <v>0</v>
      </c>
      <c r="R27" s="327">
        <f>'4th Q Co Share Calculations'!AD30</f>
        <v>4</v>
      </c>
      <c r="S27" s="327">
        <f>'4th Q Co Share Calculations'!AE30</f>
        <v>5</v>
      </c>
      <c r="T27" s="327">
        <f>'4th Q Co Share Calculations'!AF30</f>
        <v>4275</v>
      </c>
      <c r="U27" s="324">
        <f t="shared" si="4"/>
        <v>1378</v>
      </c>
      <c r="V27" s="19">
        <f t="shared" si="0"/>
        <v>43726</v>
      </c>
      <c r="W27" s="163">
        <f t="shared" si="5"/>
        <v>12</v>
      </c>
      <c r="X27" s="163">
        <f t="shared" si="6"/>
        <v>1287</v>
      </c>
      <c r="Y27" s="163">
        <f t="shared" si="1"/>
        <v>938</v>
      </c>
      <c r="Z27" s="163">
        <f t="shared" si="7"/>
        <v>0</v>
      </c>
      <c r="AA27" s="163">
        <f t="shared" si="8"/>
        <v>4</v>
      </c>
      <c r="AB27" s="163">
        <f t="shared" si="9"/>
        <v>5</v>
      </c>
      <c r="AC27" s="163">
        <f t="shared" si="2"/>
        <v>4726</v>
      </c>
      <c r="AD27" s="163">
        <f t="shared" si="3"/>
        <v>52076</v>
      </c>
      <c r="AE27" s="329">
        <f>AD27-'4th Q Co Share Calculations'!BR30</f>
        <v>0</v>
      </c>
    </row>
    <row r="28" spans="1:31">
      <c r="A28" s="317" t="s">
        <v>19</v>
      </c>
      <c r="B28" s="324">
        <f>'4th Q Co Share Calculations'!C31</f>
        <v>844</v>
      </c>
      <c r="C28" s="19">
        <f>'4th Q Co Share Calculations'!D31</f>
        <v>17</v>
      </c>
      <c r="D28" s="243">
        <f>'4th Q Co Share Calculations'!F31</f>
        <v>155</v>
      </c>
      <c r="E28" s="160">
        <f>'4th Q Co Share Calculations'!T31</f>
        <v>88</v>
      </c>
      <c r="F28" s="325"/>
      <c r="G28" s="288"/>
      <c r="H28" s="326"/>
      <c r="I28" s="288"/>
      <c r="J28" s="288"/>
      <c r="K28" s="288"/>
      <c r="L28" s="327">
        <f>'4th Q Co Share Calculations'!X31</f>
        <v>25</v>
      </c>
      <c r="M28" s="327">
        <f>'4th Q Co Share Calculations'!Y31</f>
        <v>22</v>
      </c>
      <c r="N28" s="327">
        <f>'4th Q Co Share Calculations'!Z31</f>
        <v>0</v>
      </c>
      <c r="O28" s="327">
        <f>'4th Q Co Share Calculations'!AA31</f>
        <v>23</v>
      </c>
      <c r="P28" s="327">
        <f>'4th Q Co Share Calculations'!AB31</f>
        <v>3</v>
      </c>
      <c r="Q28" s="327">
        <f>'4th Q Co Share Calculations'!AC31</f>
        <v>0</v>
      </c>
      <c r="R28" s="327">
        <f>'4th Q Co Share Calculations'!AD31</f>
        <v>0</v>
      </c>
      <c r="S28" s="327">
        <f>'4th Q Co Share Calculations'!AE31</f>
        <v>0</v>
      </c>
      <c r="T28" s="327">
        <f>'4th Q Co Share Calculations'!AF31</f>
        <v>77</v>
      </c>
      <c r="U28" s="324">
        <f t="shared" si="4"/>
        <v>25</v>
      </c>
      <c r="V28" s="19">
        <f t="shared" si="0"/>
        <v>954</v>
      </c>
      <c r="W28" s="163">
        <f t="shared" si="5"/>
        <v>0</v>
      </c>
      <c r="X28" s="163">
        <f t="shared" si="6"/>
        <v>23</v>
      </c>
      <c r="Y28" s="163">
        <f t="shared" si="1"/>
        <v>20</v>
      </c>
      <c r="Z28" s="163">
        <f t="shared" si="7"/>
        <v>0</v>
      </c>
      <c r="AA28" s="163">
        <f t="shared" si="8"/>
        <v>0</v>
      </c>
      <c r="AB28" s="163">
        <f t="shared" si="9"/>
        <v>0</v>
      </c>
      <c r="AC28" s="163">
        <f t="shared" si="2"/>
        <v>232</v>
      </c>
      <c r="AD28" s="163">
        <f t="shared" si="3"/>
        <v>1254</v>
      </c>
      <c r="AE28" s="329">
        <f>AD28-'4th Q Co Share Calculations'!BR31</f>
        <v>0</v>
      </c>
    </row>
    <row r="29" spans="1:31">
      <c r="A29" s="317" t="s">
        <v>18</v>
      </c>
      <c r="B29" s="324">
        <f>'4th Q Co Share Calculations'!C32</f>
        <v>950</v>
      </c>
      <c r="C29" s="19">
        <f>'4th Q Co Share Calculations'!D32</f>
        <v>19</v>
      </c>
      <c r="D29" s="243">
        <f>'4th Q Co Share Calculations'!F32</f>
        <v>11</v>
      </c>
      <c r="E29" s="160">
        <f>'4th Q Co Share Calculations'!T32</f>
        <v>53</v>
      </c>
      <c r="F29" s="325"/>
      <c r="G29" s="288"/>
      <c r="H29" s="326"/>
      <c r="I29" s="288"/>
      <c r="J29" s="288"/>
      <c r="K29" s="288"/>
      <c r="L29" s="327">
        <f>'4th Q Co Share Calculations'!X32</f>
        <v>37</v>
      </c>
      <c r="M29" s="327">
        <f>'4th Q Co Share Calculations'!Y32</f>
        <v>33</v>
      </c>
      <c r="N29" s="327">
        <f>'4th Q Co Share Calculations'!Z32</f>
        <v>0</v>
      </c>
      <c r="O29" s="327">
        <f>'4th Q Co Share Calculations'!AA32</f>
        <v>35</v>
      </c>
      <c r="P29" s="327">
        <f>'4th Q Co Share Calculations'!AB32</f>
        <v>4</v>
      </c>
      <c r="Q29" s="327">
        <f>'4th Q Co Share Calculations'!AC32</f>
        <v>0</v>
      </c>
      <c r="R29" s="327">
        <f>'4th Q Co Share Calculations'!AD32</f>
        <v>0</v>
      </c>
      <c r="S29" s="327">
        <f>'4th Q Co Share Calculations'!AE32</f>
        <v>0</v>
      </c>
      <c r="T29" s="327">
        <f>'4th Q Co Share Calculations'!AF32</f>
        <v>116</v>
      </c>
      <c r="U29" s="324">
        <f t="shared" si="4"/>
        <v>37</v>
      </c>
      <c r="V29" s="19">
        <f t="shared" si="0"/>
        <v>1036</v>
      </c>
      <c r="W29" s="163">
        <f t="shared" si="5"/>
        <v>0</v>
      </c>
      <c r="X29" s="163">
        <f t="shared" si="6"/>
        <v>35</v>
      </c>
      <c r="Y29" s="163">
        <f t="shared" si="1"/>
        <v>23</v>
      </c>
      <c r="Z29" s="163">
        <f t="shared" si="7"/>
        <v>0</v>
      </c>
      <c r="AA29" s="163">
        <f t="shared" si="8"/>
        <v>0</v>
      </c>
      <c r="AB29" s="163">
        <f t="shared" si="9"/>
        <v>0</v>
      </c>
      <c r="AC29" s="163">
        <f t="shared" si="2"/>
        <v>127</v>
      </c>
      <c r="AD29" s="163">
        <f t="shared" si="3"/>
        <v>1258</v>
      </c>
      <c r="AE29" s="329">
        <f>AD29-'4th Q Co Share Calculations'!BR32</f>
        <v>0</v>
      </c>
    </row>
    <row r="30" spans="1:31">
      <c r="A30" s="317" t="s">
        <v>17</v>
      </c>
      <c r="B30" s="324">
        <f>'4th Q Co Share Calculations'!C33</f>
        <v>48446</v>
      </c>
      <c r="C30" s="19">
        <f>'4th Q Co Share Calculations'!D33</f>
        <v>987</v>
      </c>
      <c r="D30" s="243">
        <f>'4th Q Co Share Calculations'!F33</f>
        <v>2231</v>
      </c>
      <c r="E30" s="160">
        <f>'4th Q Co Share Calculations'!T33</f>
        <v>3231</v>
      </c>
      <c r="F30" s="325"/>
      <c r="G30" s="288"/>
      <c r="H30" s="326"/>
      <c r="I30" s="288"/>
      <c r="J30" s="288"/>
      <c r="K30" s="288"/>
      <c r="L30" s="327">
        <f>'4th Q Co Share Calculations'!X33</f>
        <v>1726</v>
      </c>
      <c r="M30" s="327">
        <f>'4th Q Co Share Calculations'!Y33</f>
        <v>1540</v>
      </c>
      <c r="N30" s="327">
        <f>'4th Q Co Share Calculations'!Z33</f>
        <v>14</v>
      </c>
      <c r="O30" s="327">
        <f>'4th Q Co Share Calculations'!AA33</f>
        <v>1611</v>
      </c>
      <c r="P30" s="327">
        <f>'4th Q Co Share Calculations'!AB33</f>
        <v>189</v>
      </c>
      <c r="Q30" s="327">
        <f>'4th Q Co Share Calculations'!AC33</f>
        <v>1</v>
      </c>
      <c r="R30" s="327">
        <f>'4th Q Co Share Calculations'!AD33</f>
        <v>5</v>
      </c>
      <c r="S30" s="327">
        <f>'4th Q Co Share Calculations'!AE33</f>
        <v>7</v>
      </c>
      <c r="T30" s="327">
        <f>'4th Q Co Share Calculations'!AF33</f>
        <v>5353</v>
      </c>
      <c r="U30" s="324">
        <f t="shared" si="4"/>
        <v>1726</v>
      </c>
      <c r="V30" s="19">
        <f t="shared" si="0"/>
        <v>53217</v>
      </c>
      <c r="W30" s="163">
        <f t="shared" si="5"/>
        <v>14</v>
      </c>
      <c r="X30" s="163">
        <f t="shared" si="6"/>
        <v>1611</v>
      </c>
      <c r="Y30" s="163">
        <f t="shared" si="1"/>
        <v>1176</v>
      </c>
      <c r="Z30" s="163">
        <f t="shared" si="7"/>
        <v>1</v>
      </c>
      <c r="AA30" s="163">
        <f t="shared" si="8"/>
        <v>5</v>
      </c>
      <c r="AB30" s="163">
        <f t="shared" si="9"/>
        <v>7</v>
      </c>
      <c r="AC30" s="163">
        <f t="shared" si="2"/>
        <v>7584</v>
      </c>
      <c r="AD30" s="163">
        <f t="shared" si="3"/>
        <v>65341</v>
      </c>
      <c r="AE30" s="329">
        <f>AD30-'4th Q Co Share Calculations'!BR33</f>
        <v>0</v>
      </c>
    </row>
    <row r="31" spans="1:31">
      <c r="A31" s="317" t="s">
        <v>16</v>
      </c>
      <c r="B31" s="324">
        <f>'4th Q Co Share Calculations'!C34</f>
        <v>7810</v>
      </c>
      <c r="C31" s="19">
        <f>'4th Q Co Share Calculations'!D34</f>
        <v>159</v>
      </c>
      <c r="D31" s="243">
        <f>'4th Q Co Share Calculations'!F34</f>
        <v>98</v>
      </c>
      <c r="E31" s="160">
        <f>'4th Q Co Share Calculations'!T34</f>
        <v>441</v>
      </c>
      <c r="F31" s="325"/>
      <c r="G31" s="288"/>
      <c r="H31" s="326"/>
      <c r="I31" s="288"/>
      <c r="J31" s="288"/>
      <c r="K31" s="288"/>
      <c r="L31" s="327">
        <f>'4th Q Co Share Calculations'!X34</f>
        <v>273</v>
      </c>
      <c r="M31" s="327">
        <f>'4th Q Co Share Calculations'!Y34</f>
        <v>244</v>
      </c>
      <c r="N31" s="327">
        <f>'4th Q Co Share Calculations'!Z34</f>
        <v>2</v>
      </c>
      <c r="O31" s="327">
        <f>'4th Q Co Share Calculations'!AA34</f>
        <v>255</v>
      </c>
      <c r="P31" s="327">
        <f>'4th Q Co Share Calculations'!AB34</f>
        <v>30</v>
      </c>
      <c r="Q31" s="327">
        <f>'4th Q Co Share Calculations'!AC34</f>
        <v>0</v>
      </c>
      <c r="R31" s="327">
        <f>'4th Q Co Share Calculations'!AD34</f>
        <v>1</v>
      </c>
      <c r="S31" s="327">
        <f>'4th Q Co Share Calculations'!AE34</f>
        <v>1</v>
      </c>
      <c r="T31" s="327">
        <f>'4th Q Co Share Calculations'!AF34</f>
        <v>847</v>
      </c>
      <c r="U31" s="324">
        <f t="shared" si="4"/>
        <v>273</v>
      </c>
      <c r="V31" s="19">
        <f t="shared" si="0"/>
        <v>8495</v>
      </c>
      <c r="W31" s="163">
        <f t="shared" si="5"/>
        <v>2</v>
      </c>
      <c r="X31" s="163">
        <f t="shared" si="6"/>
        <v>255</v>
      </c>
      <c r="Y31" s="163">
        <f t="shared" si="1"/>
        <v>189</v>
      </c>
      <c r="Z31" s="163">
        <f t="shared" si="7"/>
        <v>0</v>
      </c>
      <c r="AA31" s="163">
        <f t="shared" si="8"/>
        <v>1</v>
      </c>
      <c r="AB31" s="163">
        <f t="shared" si="9"/>
        <v>1</v>
      </c>
      <c r="AC31" s="163">
        <f t="shared" si="2"/>
        <v>945</v>
      </c>
      <c r="AD31" s="163">
        <f t="shared" si="3"/>
        <v>10161</v>
      </c>
      <c r="AE31" s="329">
        <f>AD31-'4th Q Co Share Calculations'!BR34</f>
        <v>0</v>
      </c>
    </row>
    <row r="32" spans="1:31">
      <c r="A32" s="317" t="s">
        <v>15</v>
      </c>
      <c r="B32" s="324">
        <f>'4th Q Co Share Calculations'!C35</f>
        <v>6649</v>
      </c>
      <c r="C32" s="19">
        <f>'4th Q Co Share Calculations'!D35</f>
        <v>135</v>
      </c>
      <c r="D32" s="243">
        <f>'4th Q Co Share Calculations'!F35</f>
        <v>386</v>
      </c>
      <c r="E32" s="160">
        <f>'4th Q Co Share Calculations'!T35</f>
        <v>512</v>
      </c>
      <c r="F32" s="325"/>
      <c r="G32" s="288"/>
      <c r="H32" s="326"/>
      <c r="I32" s="288"/>
      <c r="J32" s="288"/>
      <c r="K32" s="288"/>
      <c r="L32" s="327">
        <f>'4th Q Co Share Calculations'!X35</f>
        <v>236</v>
      </c>
      <c r="M32" s="327">
        <f>'4th Q Co Share Calculations'!Y35</f>
        <v>211</v>
      </c>
      <c r="N32" s="327">
        <f>'4th Q Co Share Calculations'!Z35</f>
        <v>2</v>
      </c>
      <c r="O32" s="327">
        <f>'4th Q Co Share Calculations'!AA35</f>
        <v>220</v>
      </c>
      <c r="P32" s="327">
        <f>'4th Q Co Share Calculations'!AB35</f>
        <v>26</v>
      </c>
      <c r="Q32" s="327">
        <f>'4th Q Co Share Calculations'!AC35</f>
        <v>0</v>
      </c>
      <c r="R32" s="327">
        <f>'4th Q Co Share Calculations'!AD35</f>
        <v>1</v>
      </c>
      <c r="S32" s="327">
        <f>'4th Q Co Share Calculations'!AE35</f>
        <v>1</v>
      </c>
      <c r="T32" s="327">
        <f>'4th Q Co Share Calculations'!AF35</f>
        <v>732</v>
      </c>
      <c r="U32" s="324">
        <f t="shared" si="4"/>
        <v>236</v>
      </c>
      <c r="V32" s="19">
        <f t="shared" si="0"/>
        <v>7372</v>
      </c>
      <c r="W32" s="163">
        <f t="shared" si="5"/>
        <v>2</v>
      </c>
      <c r="X32" s="163">
        <f t="shared" si="6"/>
        <v>220</v>
      </c>
      <c r="Y32" s="163">
        <f t="shared" si="1"/>
        <v>161</v>
      </c>
      <c r="Z32" s="163">
        <f t="shared" si="7"/>
        <v>0</v>
      </c>
      <c r="AA32" s="163">
        <f t="shared" si="8"/>
        <v>1</v>
      </c>
      <c r="AB32" s="163">
        <f t="shared" si="9"/>
        <v>1</v>
      </c>
      <c r="AC32" s="163">
        <f t="shared" si="2"/>
        <v>1118</v>
      </c>
      <c r="AD32" s="163">
        <f t="shared" si="3"/>
        <v>9111</v>
      </c>
      <c r="AE32" s="329">
        <f>AD32-'4th Q Co Share Calculations'!BR35</f>
        <v>0</v>
      </c>
    </row>
    <row r="33" spans="1:31">
      <c r="A33" s="318" t="s">
        <v>168</v>
      </c>
      <c r="B33" s="324">
        <f>'4th Q Co Share Calculations'!C36</f>
        <v>0</v>
      </c>
      <c r="C33" s="19">
        <f>'4th Q Co Share Calculations'!D36</f>
        <v>0</v>
      </c>
      <c r="D33" s="243">
        <f>'4th Q Co Share Calculations'!F36</f>
        <v>0</v>
      </c>
      <c r="E33" s="160">
        <f>'4th Q Co Share Calculations'!T36</f>
        <v>0</v>
      </c>
      <c r="F33" s="325"/>
      <c r="G33" s="288"/>
      <c r="H33" s="326"/>
      <c r="I33" s="19">
        <f>'4th Q Co Share Calculations'!AL36+'4th Q Co Share Calculations'!AS36+'4th Q Co Share Calculations'!BG36+'4th Q Co Share Calculations'!AZ36</f>
        <v>114414</v>
      </c>
      <c r="J33" s="19">
        <f>'4th Q Co Share Calculations'!AM36+'4th Q Co Share Calculations'!AT36+'4th Q Co Share Calculations'!BA36</f>
        <v>1671</v>
      </c>
      <c r="K33" s="19">
        <f>'4th Q Co Share Calculations'!AN36+'4th Q Co Share Calculations'!AU36+'4th Q Co Share Calculations'!BB36</f>
        <v>16999</v>
      </c>
      <c r="L33" s="327">
        <f>'4th Q Co Share Calculations'!X36</f>
        <v>8181</v>
      </c>
      <c r="M33" s="327">
        <f>'4th Q Co Share Calculations'!Y36</f>
        <v>7303</v>
      </c>
      <c r="N33" s="327">
        <f>'4th Q Co Share Calculations'!Z36</f>
        <v>66</v>
      </c>
      <c r="O33" s="327">
        <f>'4th Q Co Share Calculations'!AA36</f>
        <v>7639</v>
      </c>
      <c r="P33" s="327">
        <f>'4th Q Co Share Calculations'!AB36</f>
        <v>896</v>
      </c>
      <c r="Q33" s="327">
        <f>'4th Q Co Share Calculations'!AC36</f>
        <v>2</v>
      </c>
      <c r="R33" s="327">
        <f>'4th Q Co Share Calculations'!AD36</f>
        <v>22</v>
      </c>
      <c r="S33" s="327">
        <f>'4th Q Co Share Calculations'!AE36</f>
        <v>32</v>
      </c>
      <c r="T33" s="327">
        <f>'4th Q Co Share Calculations'!AF36</f>
        <v>25378</v>
      </c>
      <c r="U33" s="324">
        <f t="shared" si="4"/>
        <v>8181</v>
      </c>
      <c r="V33" s="19">
        <f t="shared" si="0"/>
        <v>121717</v>
      </c>
      <c r="W33" s="163">
        <f t="shared" si="5"/>
        <v>66</v>
      </c>
      <c r="X33" s="163">
        <f t="shared" si="6"/>
        <v>7639</v>
      </c>
      <c r="Y33" s="163">
        <f t="shared" si="1"/>
        <v>2567</v>
      </c>
      <c r="Z33" s="163">
        <f t="shared" si="7"/>
        <v>2</v>
      </c>
      <c r="AA33" s="163">
        <f t="shared" si="8"/>
        <v>22</v>
      </c>
      <c r="AB33" s="163">
        <f t="shared" si="9"/>
        <v>32</v>
      </c>
      <c r="AC33" s="163">
        <f t="shared" si="2"/>
        <v>42377</v>
      </c>
      <c r="AD33" s="163">
        <f t="shared" si="3"/>
        <v>182603</v>
      </c>
      <c r="AE33" s="329">
        <f>AD33-'4th Q Co Share Calculations'!BR36</f>
        <v>0</v>
      </c>
    </row>
    <row r="34" spans="1:31">
      <c r="A34" s="318" t="s">
        <v>167</v>
      </c>
      <c r="B34" s="324">
        <f>'4th Q Co Share Calculations'!C37</f>
        <v>0</v>
      </c>
      <c r="C34" s="19">
        <f>'4th Q Co Share Calculations'!D37</f>
        <v>0</v>
      </c>
      <c r="D34" s="243">
        <f>'4th Q Co Share Calculations'!F37</f>
        <v>0</v>
      </c>
      <c r="E34" s="160">
        <f>'4th Q Co Share Calculations'!T37</f>
        <v>0</v>
      </c>
      <c r="F34" s="325"/>
      <c r="G34" s="288"/>
      <c r="H34" s="326"/>
      <c r="I34" s="19">
        <f>'4th Q Co Share Calculations'!AL37+'4th Q Co Share Calculations'!AS37+'4th Q Co Share Calculations'!BG37+'4th Q Co Share Calculations'!AZ37</f>
        <v>11109</v>
      </c>
      <c r="J34" s="19">
        <f>'4th Q Co Share Calculations'!AM37+'4th Q Co Share Calculations'!AT37+'4th Q Co Share Calculations'!BA37</f>
        <v>165</v>
      </c>
      <c r="K34" s="19">
        <f>'4th Q Co Share Calculations'!AN37+'4th Q Co Share Calculations'!AU37+'4th Q Co Share Calculations'!BB37</f>
        <v>1674</v>
      </c>
      <c r="L34" s="327">
        <f>'4th Q Co Share Calculations'!X37</f>
        <v>559</v>
      </c>
      <c r="M34" s="327">
        <f>'4th Q Co Share Calculations'!Y37</f>
        <v>499</v>
      </c>
      <c r="N34" s="327">
        <f>'4th Q Co Share Calculations'!Z37</f>
        <v>4</v>
      </c>
      <c r="O34" s="327">
        <f>'4th Q Co Share Calculations'!AA37</f>
        <v>522</v>
      </c>
      <c r="P34" s="327">
        <f>'4th Q Co Share Calculations'!AB37</f>
        <v>61</v>
      </c>
      <c r="Q34" s="327">
        <f>'4th Q Co Share Calculations'!AC37</f>
        <v>1</v>
      </c>
      <c r="R34" s="327">
        <f>'4th Q Co Share Calculations'!AD37</f>
        <v>1</v>
      </c>
      <c r="S34" s="327">
        <f>'4th Q Co Share Calculations'!AE37</f>
        <v>2</v>
      </c>
      <c r="T34" s="327">
        <f>'4th Q Co Share Calculations'!AF37</f>
        <v>1733</v>
      </c>
      <c r="U34" s="324">
        <f t="shared" si="4"/>
        <v>559</v>
      </c>
      <c r="V34" s="19">
        <f t="shared" si="0"/>
        <v>11608</v>
      </c>
      <c r="W34" s="163">
        <f t="shared" si="5"/>
        <v>4</v>
      </c>
      <c r="X34" s="163">
        <f t="shared" si="6"/>
        <v>522</v>
      </c>
      <c r="Y34" s="163">
        <f t="shared" si="1"/>
        <v>226</v>
      </c>
      <c r="Z34" s="163">
        <f t="shared" si="7"/>
        <v>1</v>
      </c>
      <c r="AA34" s="163">
        <f t="shared" si="8"/>
        <v>1</v>
      </c>
      <c r="AB34" s="163">
        <f t="shared" si="9"/>
        <v>2</v>
      </c>
      <c r="AC34" s="163">
        <f t="shared" si="2"/>
        <v>3407</v>
      </c>
      <c r="AD34" s="163">
        <f t="shared" si="3"/>
        <v>16330</v>
      </c>
      <c r="AE34" s="329">
        <f>AD34-'4th Q Co Share Calculations'!BR37</f>
        <v>0</v>
      </c>
    </row>
    <row r="35" spans="1:31">
      <c r="A35" s="317" t="s">
        <v>14</v>
      </c>
      <c r="B35" s="324">
        <f>'4th Q Co Share Calculations'!C38</f>
        <v>1689</v>
      </c>
      <c r="C35" s="19">
        <f>'4th Q Co Share Calculations'!D38</f>
        <v>34</v>
      </c>
      <c r="D35" s="243">
        <f>'4th Q Co Share Calculations'!F38</f>
        <v>139</v>
      </c>
      <c r="E35" s="160">
        <f>'4th Q Co Share Calculations'!T38</f>
        <v>159</v>
      </c>
      <c r="F35" s="325"/>
      <c r="G35" s="288"/>
      <c r="H35" s="326"/>
      <c r="I35" s="288"/>
      <c r="J35" s="288"/>
      <c r="K35" s="288"/>
      <c r="L35" s="327">
        <f>'4th Q Co Share Calculations'!X38</f>
        <v>62</v>
      </c>
      <c r="M35" s="327">
        <f>'4th Q Co Share Calculations'!Y38</f>
        <v>55</v>
      </c>
      <c r="N35" s="327">
        <f>'4th Q Co Share Calculations'!Z38</f>
        <v>0</v>
      </c>
      <c r="O35" s="327">
        <f>'4th Q Co Share Calculations'!AA38</f>
        <v>58</v>
      </c>
      <c r="P35" s="327">
        <f>'4th Q Co Share Calculations'!AB38</f>
        <v>7</v>
      </c>
      <c r="Q35" s="327">
        <f>'4th Q Co Share Calculations'!AC38</f>
        <v>0</v>
      </c>
      <c r="R35" s="327">
        <f>'4th Q Co Share Calculations'!AD38</f>
        <v>0</v>
      </c>
      <c r="S35" s="327">
        <f>'4th Q Co Share Calculations'!AE38</f>
        <v>0</v>
      </c>
      <c r="T35" s="327">
        <f>'4th Q Co Share Calculations'!AF38</f>
        <v>193</v>
      </c>
      <c r="U35" s="324">
        <f t="shared" si="4"/>
        <v>62</v>
      </c>
      <c r="V35" s="19">
        <f t="shared" si="0"/>
        <v>1903</v>
      </c>
      <c r="W35" s="163">
        <f t="shared" si="5"/>
        <v>0</v>
      </c>
      <c r="X35" s="163">
        <f t="shared" si="6"/>
        <v>58</v>
      </c>
      <c r="Y35" s="163">
        <f t="shared" si="1"/>
        <v>41</v>
      </c>
      <c r="Z35" s="163">
        <f t="shared" si="7"/>
        <v>0</v>
      </c>
      <c r="AA35" s="163">
        <f t="shared" si="8"/>
        <v>0</v>
      </c>
      <c r="AB35" s="163">
        <f t="shared" si="9"/>
        <v>0</v>
      </c>
      <c r="AC35" s="163">
        <f t="shared" si="2"/>
        <v>332</v>
      </c>
      <c r="AD35" s="163">
        <f t="shared" si="3"/>
        <v>2396</v>
      </c>
      <c r="AE35" s="329">
        <f>AD35-'4th Q Co Share Calculations'!BR38</f>
        <v>0</v>
      </c>
    </row>
    <row r="36" spans="1:31">
      <c r="A36" s="317" t="s">
        <v>13</v>
      </c>
      <c r="B36" s="324">
        <f>'4th Q Co Share Calculations'!C39</f>
        <v>222807</v>
      </c>
      <c r="C36" s="19">
        <f>'4th Q Co Share Calculations'!D39</f>
        <v>4537</v>
      </c>
      <c r="D36" s="243">
        <f>'4th Q Co Share Calculations'!F39</f>
        <v>590</v>
      </c>
      <c r="E36" s="160">
        <f>'4th Q Co Share Calculations'!T39</f>
        <v>19102</v>
      </c>
      <c r="F36" s="325"/>
      <c r="G36" s="288"/>
      <c r="H36" s="326"/>
      <c r="I36" s="288"/>
      <c r="J36" s="288"/>
      <c r="K36" s="288"/>
      <c r="L36" s="327">
        <f>'4th Q Co Share Calculations'!X39</f>
        <v>7921</v>
      </c>
      <c r="M36" s="327">
        <f>'4th Q Co Share Calculations'!Y39</f>
        <v>7070</v>
      </c>
      <c r="N36" s="327">
        <f>'4th Q Co Share Calculations'!Z39</f>
        <v>64</v>
      </c>
      <c r="O36" s="327">
        <f>'4th Q Co Share Calculations'!AA39</f>
        <v>7395</v>
      </c>
      <c r="P36" s="327">
        <f>'4th Q Co Share Calculations'!AB39</f>
        <v>867</v>
      </c>
      <c r="Q36" s="327">
        <f>'4th Q Co Share Calculations'!AC39</f>
        <v>2</v>
      </c>
      <c r="R36" s="327">
        <f>'4th Q Co Share Calculations'!AD39</f>
        <v>21</v>
      </c>
      <c r="S36" s="327">
        <f>'4th Q Co Share Calculations'!AE39</f>
        <v>31</v>
      </c>
      <c r="T36" s="327">
        <f>'4th Q Co Share Calculations'!AF39</f>
        <v>24570</v>
      </c>
      <c r="U36" s="324">
        <f t="shared" si="4"/>
        <v>7921</v>
      </c>
      <c r="V36" s="19">
        <f t="shared" ref="V36:V61" si="10">B36+E36+F36+I36+M36</f>
        <v>248979</v>
      </c>
      <c r="W36" s="163">
        <f t="shared" si="5"/>
        <v>64</v>
      </c>
      <c r="X36" s="163">
        <f t="shared" si="6"/>
        <v>7395</v>
      </c>
      <c r="Y36" s="163">
        <f t="shared" ref="Y36:Y61" si="11">C36+G36+J36+P36</f>
        <v>5404</v>
      </c>
      <c r="Z36" s="163">
        <f t="shared" si="7"/>
        <v>2</v>
      </c>
      <c r="AA36" s="163">
        <f t="shared" si="8"/>
        <v>21</v>
      </c>
      <c r="AB36" s="163">
        <f t="shared" si="9"/>
        <v>31</v>
      </c>
      <c r="AC36" s="163">
        <f t="shared" ref="AC36:AC61" si="12">D36+H36+K36+T36</f>
        <v>25160</v>
      </c>
      <c r="AD36" s="163">
        <f t="shared" ref="AD36:AD61" si="13">SUM(U36:AC36)</f>
        <v>294977</v>
      </c>
      <c r="AE36" s="329">
        <f>AD36-'4th Q Co Share Calculations'!BR39</f>
        <v>0</v>
      </c>
    </row>
    <row r="37" spans="1:31">
      <c r="A37" s="318" t="s">
        <v>166</v>
      </c>
      <c r="B37" s="324">
        <f>'4th Q Co Share Calculations'!C40</f>
        <v>0</v>
      </c>
      <c r="C37" s="19">
        <f>'4th Q Co Share Calculations'!D40</f>
        <v>0</v>
      </c>
      <c r="D37" s="243">
        <f>'4th Q Co Share Calculations'!F40</f>
        <v>0</v>
      </c>
      <c r="E37" s="160">
        <f>'4th Q Co Share Calculations'!T40</f>
        <v>0</v>
      </c>
      <c r="F37" s="325"/>
      <c r="G37" s="288"/>
      <c r="H37" s="326"/>
      <c r="I37" s="19">
        <f>'4th Q Co Share Calculations'!AL40+'4th Q Co Share Calculations'!AS40+'4th Q Co Share Calculations'!BG40+'4th Q Co Share Calculations'!AZ40</f>
        <v>99777</v>
      </c>
      <c r="J37" s="19">
        <f>'4th Q Co Share Calculations'!AM40+'4th Q Co Share Calculations'!AT40+'4th Q Co Share Calculations'!BA40</f>
        <v>1454</v>
      </c>
      <c r="K37" s="19">
        <f>'4th Q Co Share Calculations'!AN40+'4th Q Co Share Calculations'!AU40+'4th Q Co Share Calculations'!BB40</f>
        <v>14809</v>
      </c>
      <c r="L37" s="327">
        <f>'4th Q Co Share Calculations'!X40</f>
        <v>5202</v>
      </c>
      <c r="M37" s="327">
        <f>'4th Q Co Share Calculations'!Y40</f>
        <v>4643</v>
      </c>
      <c r="N37" s="327">
        <f>'4th Q Co Share Calculations'!Z40</f>
        <v>42</v>
      </c>
      <c r="O37" s="327">
        <f>'4th Q Co Share Calculations'!AA40</f>
        <v>4857</v>
      </c>
      <c r="P37" s="327">
        <f>'4th Q Co Share Calculations'!AB40</f>
        <v>569</v>
      </c>
      <c r="Q37" s="327">
        <f>'4th Q Co Share Calculations'!AC40</f>
        <v>2</v>
      </c>
      <c r="R37" s="327">
        <f>'4th Q Co Share Calculations'!AD40</f>
        <v>14</v>
      </c>
      <c r="S37" s="327">
        <f>'4th Q Co Share Calculations'!AE40</f>
        <v>21</v>
      </c>
      <c r="T37" s="327">
        <f>'4th Q Co Share Calculations'!AF40</f>
        <v>16136</v>
      </c>
      <c r="U37" s="324">
        <f t="shared" si="4"/>
        <v>5202</v>
      </c>
      <c r="V37" s="19">
        <f t="shared" si="10"/>
        <v>104420</v>
      </c>
      <c r="W37" s="163">
        <f t="shared" si="5"/>
        <v>42</v>
      </c>
      <c r="X37" s="163">
        <f t="shared" si="6"/>
        <v>4857</v>
      </c>
      <c r="Y37" s="163">
        <f t="shared" si="11"/>
        <v>2023</v>
      </c>
      <c r="Z37" s="163">
        <f t="shared" si="7"/>
        <v>2</v>
      </c>
      <c r="AA37" s="163">
        <f t="shared" si="8"/>
        <v>14</v>
      </c>
      <c r="AB37" s="163">
        <f t="shared" si="9"/>
        <v>21</v>
      </c>
      <c r="AC37" s="163">
        <f t="shared" si="12"/>
        <v>30945</v>
      </c>
      <c r="AD37" s="163">
        <f t="shared" si="13"/>
        <v>147526</v>
      </c>
      <c r="AE37" s="329">
        <f>AD37-'4th Q Co Share Calculations'!BR40</f>
        <v>0</v>
      </c>
    </row>
    <row r="38" spans="1:31">
      <c r="A38" s="317" t="s">
        <v>12</v>
      </c>
      <c r="B38" s="324">
        <f>'4th Q Co Share Calculations'!C41</f>
        <v>4855</v>
      </c>
      <c r="C38" s="19">
        <f>'4th Q Co Share Calculations'!D41</f>
        <v>99</v>
      </c>
      <c r="D38" s="243">
        <f>'4th Q Co Share Calculations'!F41</f>
        <v>457</v>
      </c>
      <c r="E38" s="160">
        <f>'4th Q Co Share Calculations'!T41</f>
        <v>335</v>
      </c>
      <c r="F38" s="325"/>
      <c r="G38" s="288"/>
      <c r="H38" s="326"/>
      <c r="I38" s="288"/>
      <c r="J38" s="288"/>
      <c r="K38" s="288"/>
      <c r="L38" s="327">
        <f>'4th Q Co Share Calculations'!X41</f>
        <v>174</v>
      </c>
      <c r="M38" s="327">
        <f>'4th Q Co Share Calculations'!Y41</f>
        <v>155</v>
      </c>
      <c r="N38" s="327">
        <f>'4th Q Co Share Calculations'!Z41</f>
        <v>1</v>
      </c>
      <c r="O38" s="327">
        <f>'4th Q Co Share Calculations'!AA41</f>
        <v>162</v>
      </c>
      <c r="P38" s="327">
        <f>'4th Q Co Share Calculations'!AB41</f>
        <v>19</v>
      </c>
      <c r="Q38" s="327">
        <f>'4th Q Co Share Calculations'!AC41</f>
        <v>0</v>
      </c>
      <c r="R38" s="327">
        <f>'4th Q Co Share Calculations'!AD41</f>
        <v>0</v>
      </c>
      <c r="S38" s="327">
        <f>'4th Q Co Share Calculations'!AE41</f>
        <v>1</v>
      </c>
      <c r="T38" s="327">
        <f>'4th Q Co Share Calculations'!AF41</f>
        <v>539</v>
      </c>
      <c r="U38" s="324">
        <f t="shared" si="4"/>
        <v>174</v>
      </c>
      <c r="V38" s="19">
        <f t="shared" si="10"/>
        <v>5345</v>
      </c>
      <c r="W38" s="163">
        <f t="shared" si="5"/>
        <v>1</v>
      </c>
      <c r="X38" s="163">
        <f t="shared" si="6"/>
        <v>162</v>
      </c>
      <c r="Y38" s="163">
        <f t="shared" si="11"/>
        <v>118</v>
      </c>
      <c r="Z38" s="163">
        <f t="shared" si="7"/>
        <v>0</v>
      </c>
      <c r="AA38" s="163">
        <f t="shared" si="8"/>
        <v>0</v>
      </c>
      <c r="AB38" s="163">
        <f t="shared" si="9"/>
        <v>1</v>
      </c>
      <c r="AC38" s="163">
        <f t="shared" si="12"/>
        <v>996</v>
      </c>
      <c r="AD38" s="163">
        <f t="shared" si="13"/>
        <v>6797</v>
      </c>
      <c r="AE38" s="329">
        <f>AD38-'4th Q Co Share Calculations'!BR41</f>
        <v>0</v>
      </c>
    </row>
    <row r="39" spans="1:31">
      <c r="A39" s="317" t="s">
        <v>11</v>
      </c>
      <c r="B39" s="324">
        <f>'4th Q Co Share Calculations'!C42</f>
        <v>245394</v>
      </c>
      <c r="C39" s="19">
        <f>'4th Q Co Share Calculations'!D42</f>
        <v>4997</v>
      </c>
      <c r="D39" s="243">
        <f>'4th Q Co Share Calculations'!F42</f>
        <v>0</v>
      </c>
      <c r="E39" s="160">
        <f>'4th Q Co Share Calculations'!T42</f>
        <v>25457</v>
      </c>
      <c r="F39" s="325"/>
      <c r="G39" s="288"/>
      <c r="H39" s="326"/>
      <c r="I39" s="288"/>
      <c r="J39" s="288"/>
      <c r="K39" s="288"/>
      <c r="L39" s="327">
        <f>'4th Q Co Share Calculations'!X42</f>
        <v>8728</v>
      </c>
      <c r="M39" s="327">
        <f>'4th Q Co Share Calculations'!Y42</f>
        <v>7790</v>
      </c>
      <c r="N39" s="327">
        <f>'4th Q Co Share Calculations'!Z42</f>
        <v>70</v>
      </c>
      <c r="O39" s="327">
        <f>'4th Q Co Share Calculations'!AA42</f>
        <v>8149</v>
      </c>
      <c r="P39" s="327">
        <f>'4th Q Co Share Calculations'!AB42</f>
        <v>956</v>
      </c>
      <c r="Q39" s="327">
        <f>'4th Q Co Share Calculations'!AC42</f>
        <v>3</v>
      </c>
      <c r="R39" s="327">
        <f>'4th Q Co Share Calculations'!AD42</f>
        <v>23</v>
      </c>
      <c r="S39" s="327">
        <f>'4th Q Co Share Calculations'!AE42</f>
        <v>34</v>
      </c>
      <c r="T39" s="327">
        <f>'4th Q Co Share Calculations'!AF42</f>
        <v>27073</v>
      </c>
      <c r="U39" s="324">
        <f t="shared" si="4"/>
        <v>8728</v>
      </c>
      <c r="V39" s="19">
        <f t="shared" si="10"/>
        <v>278641</v>
      </c>
      <c r="W39" s="163">
        <f t="shared" si="5"/>
        <v>70</v>
      </c>
      <c r="X39" s="163">
        <f t="shared" si="6"/>
        <v>8149</v>
      </c>
      <c r="Y39" s="163">
        <f t="shared" si="11"/>
        <v>5953</v>
      </c>
      <c r="Z39" s="163">
        <f t="shared" si="7"/>
        <v>3</v>
      </c>
      <c r="AA39" s="163">
        <f t="shared" si="8"/>
        <v>23</v>
      </c>
      <c r="AB39" s="163">
        <f t="shared" si="9"/>
        <v>34</v>
      </c>
      <c r="AC39" s="163">
        <f t="shared" si="12"/>
        <v>27073</v>
      </c>
      <c r="AD39" s="163">
        <f t="shared" si="13"/>
        <v>328674</v>
      </c>
      <c r="AE39" s="329">
        <f>AD39-'4th Q Co Share Calculations'!BR42</f>
        <v>0</v>
      </c>
    </row>
    <row r="40" spans="1:31">
      <c r="A40" s="318" t="s">
        <v>165</v>
      </c>
      <c r="B40" s="324">
        <f>'4th Q Co Share Calculations'!C43</f>
        <v>0</v>
      </c>
      <c r="C40" s="19">
        <f>'4th Q Co Share Calculations'!D43</f>
        <v>0</v>
      </c>
      <c r="D40" s="243">
        <f>'4th Q Co Share Calculations'!F43</f>
        <v>0</v>
      </c>
      <c r="E40" s="160">
        <f>'4th Q Co Share Calculations'!T43</f>
        <v>0</v>
      </c>
      <c r="F40" s="325"/>
      <c r="G40" s="288"/>
      <c r="H40" s="326"/>
      <c r="I40" s="19">
        <f>'4th Q Co Share Calculations'!AL43+'4th Q Co Share Calculations'!AS43+'4th Q Co Share Calculations'!BG43+'4th Q Co Share Calculations'!AZ43</f>
        <v>138558</v>
      </c>
      <c r="J40" s="19">
        <f>'4th Q Co Share Calculations'!AM43+'4th Q Co Share Calculations'!AT43+'4th Q Co Share Calculations'!BA43</f>
        <v>2027</v>
      </c>
      <c r="K40" s="19">
        <f>'4th Q Co Share Calculations'!AN43+'4th Q Co Share Calculations'!AU43+'4th Q Co Share Calculations'!BB43</f>
        <v>20622</v>
      </c>
      <c r="L40" s="327">
        <f>'4th Q Co Share Calculations'!X43</f>
        <v>8281</v>
      </c>
      <c r="M40" s="327">
        <f>'4th Q Co Share Calculations'!Y43</f>
        <v>7391</v>
      </c>
      <c r="N40" s="327">
        <f>'4th Q Co Share Calculations'!Z43</f>
        <v>66</v>
      </c>
      <c r="O40" s="327">
        <f>'4th Q Co Share Calculations'!AA43</f>
        <v>7731</v>
      </c>
      <c r="P40" s="327">
        <f>'4th Q Co Share Calculations'!AB43</f>
        <v>906</v>
      </c>
      <c r="Q40" s="327">
        <f>'4th Q Co Share Calculations'!AC43</f>
        <v>2</v>
      </c>
      <c r="R40" s="327">
        <f>'4th Q Co Share Calculations'!AD43</f>
        <v>23</v>
      </c>
      <c r="S40" s="327">
        <f>'4th Q Co Share Calculations'!AE43</f>
        <v>32</v>
      </c>
      <c r="T40" s="327">
        <f>'4th Q Co Share Calculations'!AF43</f>
        <v>25686</v>
      </c>
      <c r="U40" s="324">
        <f t="shared" si="4"/>
        <v>8281</v>
      </c>
      <c r="V40" s="19">
        <f t="shared" si="10"/>
        <v>145949</v>
      </c>
      <c r="W40" s="163">
        <f t="shared" si="5"/>
        <v>66</v>
      </c>
      <c r="X40" s="163">
        <f t="shared" si="6"/>
        <v>7731</v>
      </c>
      <c r="Y40" s="163">
        <f t="shared" si="11"/>
        <v>2933</v>
      </c>
      <c r="Z40" s="163">
        <f t="shared" si="7"/>
        <v>2</v>
      </c>
      <c r="AA40" s="163">
        <f t="shared" si="8"/>
        <v>23</v>
      </c>
      <c r="AB40" s="163">
        <f t="shared" si="9"/>
        <v>32</v>
      </c>
      <c r="AC40" s="163">
        <f t="shared" si="12"/>
        <v>46308</v>
      </c>
      <c r="AD40" s="163">
        <f t="shared" si="13"/>
        <v>211325</v>
      </c>
      <c r="AE40" s="329">
        <f>AD40-'4th Q Co Share Calculations'!BR43</f>
        <v>0</v>
      </c>
    </row>
    <row r="41" spans="1:31">
      <c r="A41" s="318" t="s">
        <v>164</v>
      </c>
      <c r="B41" s="324">
        <f>'4th Q Co Share Calculations'!C44</f>
        <v>0</v>
      </c>
      <c r="C41" s="19">
        <f>'4th Q Co Share Calculations'!D44</f>
        <v>0</v>
      </c>
      <c r="D41" s="243">
        <f>'4th Q Co Share Calculations'!F44</f>
        <v>0</v>
      </c>
      <c r="E41" s="160">
        <f>'4th Q Co Share Calculations'!T44</f>
        <v>0</v>
      </c>
      <c r="F41" s="325"/>
      <c r="G41" s="288"/>
      <c r="H41" s="326"/>
      <c r="I41" s="19">
        <f>'4th Q Co Share Calculations'!AL44+'4th Q Co Share Calculations'!AS44+'4th Q Co Share Calculations'!BG44+'4th Q Co Share Calculations'!AZ44</f>
        <v>57554</v>
      </c>
      <c r="J41" s="19">
        <f>'4th Q Co Share Calculations'!AM44+'4th Q Co Share Calculations'!AT44+'4th Q Co Share Calculations'!BA44</f>
        <v>866</v>
      </c>
      <c r="K41" s="19">
        <f>'4th Q Co Share Calculations'!AN44+'4th Q Co Share Calculations'!AU44+'4th Q Co Share Calculations'!BB44</f>
        <v>8800</v>
      </c>
      <c r="L41" s="327">
        <f>'4th Q Co Share Calculations'!X44</f>
        <v>1775</v>
      </c>
      <c r="M41" s="327">
        <f>'4th Q Co Share Calculations'!Y44</f>
        <v>1585</v>
      </c>
      <c r="N41" s="327">
        <f>'4th Q Co Share Calculations'!Z44</f>
        <v>14</v>
      </c>
      <c r="O41" s="327">
        <f>'4th Q Co Share Calculations'!AA44</f>
        <v>1658</v>
      </c>
      <c r="P41" s="327">
        <f>'4th Q Co Share Calculations'!AB44</f>
        <v>194</v>
      </c>
      <c r="Q41" s="327">
        <f>'4th Q Co Share Calculations'!AC44</f>
        <v>1</v>
      </c>
      <c r="R41" s="327">
        <f>'4th Q Co Share Calculations'!AD44</f>
        <v>5</v>
      </c>
      <c r="S41" s="327">
        <f>'4th Q Co Share Calculations'!AE44</f>
        <v>7</v>
      </c>
      <c r="T41" s="327">
        <f>'4th Q Co Share Calculations'!AF44</f>
        <v>5507</v>
      </c>
      <c r="U41" s="324">
        <f t="shared" si="4"/>
        <v>1775</v>
      </c>
      <c r="V41" s="19">
        <f t="shared" si="10"/>
        <v>59139</v>
      </c>
      <c r="W41" s="163">
        <f t="shared" si="5"/>
        <v>14</v>
      </c>
      <c r="X41" s="163">
        <f t="shared" si="6"/>
        <v>1658</v>
      </c>
      <c r="Y41" s="163">
        <f t="shared" si="11"/>
        <v>1060</v>
      </c>
      <c r="Z41" s="163">
        <f t="shared" si="7"/>
        <v>1</v>
      </c>
      <c r="AA41" s="163">
        <f t="shared" si="8"/>
        <v>5</v>
      </c>
      <c r="AB41" s="163">
        <f t="shared" si="9"/>
        <v>7</v>
      </c>
      <c r="AC41" s="163">
        <f t="shared" si="12"/>
        <v>14307</v>
      </c>
      <c r="AD41" s="163">
        <f t="shared" si="13"/>
        <v>77966</v>
      </c>
      <c r="AE41" s="329">
        <f>AD41-'4th Q Co Share Calculations'!BR44</f>
        <v>0</v>
      </c>
    </row>
    <row r="42" spans="1:31">
      <c r="A42" s="319" t="s">
        <v>10</v>
      </c>
      <c r="B42" s="324">
        <f>'4th Q Co Share Calculations'!C45</f>
        <v>79687</v>
      </c>
      <c r="C42" s="19">
        <f>'4th Q Co Share Calculations'!D45</f>
        <v>1623</v>
      </c>
      <c r="D42" s="243">
        <f>'4th Q Co Share Calculations'!F45</f>
        <v>4689</v>
      </c>
      <c r="E42" s="160">
        <f>'4th Q Co Share Calculations'!T45</f>
        <v>7468</v>
      </c>
      <c r="F42" s="325"/>
      <c r="G42" s="288"/>
      <c r="H42" s="326"/>
      <c r="I42" s="288"/>
      <c r="J42" s="288"/>
      <c r="K42" s="288"/>
      <c r="L42" s="327">
        <f>'4th Q Co Share Calculations'!X45</f>
        <v>2842</v>
      </c>
      <c r="M42" s="327">
        <f>'4th Q Co Share Calculations'!Y45</f>
        <v>2538</v>
      </c>
      <c r="N42" s="327">
        <f>'4th Q Co Share Calculations'!Z45</f>
        <v>23</v>
      </c>
      <c r="O42" s="327">
        <f>'4th Q Co Share Calculations'!AA45</f>
        <v>2654</v>
      </c>
      <c r="P42" s="327">
        <f>'4th Q Co Share Calculations'!AB45</f>
        <v>311</v>
      </c>
      <c r="Q42" s="327">
        <f>'4th Q Co Share Calculations'!AC45</f>
        <v>1</v>
      </c>
      <c r="R42" s="327">
        <f>'4th Q Co Share Calculations'!AD45</f>
        <v>8</v>
      </c>
      <c r="S42" s="327">
        <f>'4th Q Co Share Calculations'!AE45</f>
        <v>11</v>
      </c>
      <c r="T42" s="327">
        <f>'4th Q Co Share Calculations'!AF45</f>
        <v>8819</v>
      </c>
      <c r="U42" s="324">
        <f t="shared" si="4"/>
        <v>2842</v>
      </c>
      <c r="V42" s="19">
        <f t="shared" si="10"/>
        <v>89693</v>
      </c>
      <c r="W42" s="163">
        <f t="shared" si="5"/>
        <v>23</v>
      </c>
      <c r="X42" s="163">
        <f t="shared" si="6"/>
        <v>2654</v>
      </c>
      <c r="Y42" s="163">
        <f t="shared" si="11"/>
        <v>1934</v>
      </c>
      <c r="Z42" s="163">
        <f t="shared" si="7"/>
        <v>1</v>
      </c>
      <c r="AA42" s="163">
        <f t="shared" si="8"/>
        <v>8</v>
      </c>
      <c r="AB42" s="163">
        <f t="shared" si="9"/>
        <v>11</v>
      </c>
      <c r="AC42" s="163">
        <f t="shared" si="12"/>
        <v>13508</v>
      </c>
      <c r="AD42" s="163">
        <f t="shared" si="13"/>
        <v>110674</v>
      </c>
      <c r="AE42" s="329">
        <f>AD42-'4th Q Co Share Calculations'!BR45</f>
        <v>0</v>
      </c>
    </row>
    <row r="43" spans="1:31">
      <c r="A43" s="319" t="s">
        <v>163</v>
      </c>
      <c r="B43" s="324">
        <f>'4th Q Co Share Calculations'!C46</f>
        <v>0</v>
      </c>
      <c r="C43" s="19">
        <f>'4th Q Co Share Calculations'!D46</f>
        <v>0</v>
      </c>
      <c r="D43" s="243">
        <f>'4th Q Co Share Calculations'!F46</f>
        <v>0</v>
      </c>
      <c r="E43" s="160">
        <f>'4th Q Co Share Calculations'!T46</f>
        <v>0</v>
      </c>
      <c r="F43" s="325"/>
      <c r="G43" s="288"/>
      <c r="H43" s="326"/>
      <c r="I43" s="19">
        <f>'4th Q Co Share Calculations'!AL46+'4th Q Co Share Calculations'!AS46+'4th Q Co Share Calculations'!BG46+'4th Q Co Share Calculations'!AZ46</f>
        <v>18007</v>
      </c>
      <c r="J43" s="19">
        <f>'4th Q Co Share Calculations'!AM46+'4th Q Co Share Calculations'!AT46+'4th Q Co Share Calculations'!BA46</f>
        <v>270</v>
      </c>
      <c r="K43" s="19">
        <f>'4th Q Co Share Calculations'!AN46+'4th Q Co Share Calculations'!AU46+'4th Q Co Share Calculations'!BB46</f>
        <v>2747</v>
      </c>
      <c r="L43" s="327">
        <f>'4th Q Co Share Calculations'!X46</f>
        <v>559</v>
      </c>
      <c r="M43" s="327">
        <f>'4th Q Co Share Calculations'!Y46</f>
        <v>499</v>
      </c>
      <c r="N43" s="327">
        <f>'4th Q Co Share Calculations'!Z46</f>
        <v>4</v>
      </c>
      <c r="O43" s="327">
        <f>'4th Q Co Share Calculations'!AA46</f>
        <v>522</v>
      </c>
      <c r="P43" s="327">
        <f>'4th Q Co Share Calculations'!AB46</f>
        <v>61</v>
      </c>
      <c r="Q43" s="327">
        <f>'4th Q Co Share Calculations'!AC46</f>
        <v>0</v>
      </c>
      <c r="R43" s="327">
        <f>'4th Q Co Share Calculations'!AD46</f>
        <v>1</v>
      </c>
      <c r="S43" s="327">
        <f>'4th Q Co Share Calculations'!AE46</f>
        <v>2</v>
      </c>
      <c r="T43" s="327">
        <f>'4th Q Co Share Calculations'!AF46</f>
        <v>1733</v>
      </c>
      <c r="U43" s="324">
        <f t="shared" si="4"/>
        <v>559</v>
      </c>
      <c r="V43" s="19">
        <f t="shared" si="10"/>
        <v>18506</v>
      </c>
      <c r="W43" s="163">
        <f t="shared" si="5"/>
        <v>4</v>
      </c>
      <c r="X43" s="163">
        <f t="shared" si="6"/>
        <v>522</v>
      </c>
      <c r="Y43" s="163">
        <f t="shared" si="11"/>
        <v>331</v>
      </c>
      <c r="Z43" s="163">
        <f t="shared" si="7"/>
        <v>0</v>
      </c>
      <c r="AA43" s="163">
        <f t="shared" si="8"/>
        <v>1</v>
      </c>
      <c r="AB43" s="163">
        <f t="shared" si="9"/>
        <v>2</v>
      </c>
      <c r="AC43" s="163">
        <f t="shared" si="12"/>
        <v>4480</v>
      </c>
      <c r="AD43" s="163">
        <f t="shared" si="13"/>
        <v>24405</v>
      </c>
      <c r="AE43" s="329">
        <f>AD43-'4th Q Co Share Calculations'!BR46</f>
        <v>0</v>
      </c>
    </row>
    <row r="44" spans="1:31">
      <c r="A44" s="320" t="s">
        <v>162</v>
      </c>
      <c r="B44" s="324">
        <f>'4th Q Co Share Calculations'!C47</f>
        <v>0</v>
      </c>
      <c r="C44" s="19">
        <f>'4th Q Co Share Calculations'!D47</f>
        <v>0</v>
      </c>
      <c r="D44" s="243">
        <f>'4th Q Co Share Calculations'!F47</f>
        <v>0</v>
      </c>
      <c r="E44" s="160">
        <f>'4th Q Co Share Calculations'!T47</f>
        <v>0</v>
      </c>
      <c r="F44" s="325"/>
      <c r="G44" s="288"/>
      <c r="H44" s="326"/>
      <c r="I44" s="19">
        <f>'4th Q Co Share Calculations'!AL47+'4th Q Co Share Calculations'!AS47+'4th Q Co Share Calculations'!BG47+'4th Q Co Share Calculations'!AZ47</f>
        <v>19440</v>
      </c>
      <c r="J44" s="19">
        <f>'4th Q Co Share Calculations'!AM47+'4th Q Co Share Calculations'!AT47+'4th Q Co Share Calculations'!BA47</f>
        <v>289</v>
      </c>
      <c r="K44" s="19">
        <f>'4th Q Co Share Calculations'!AN47+'4th Q Co Share Calculations'!AU47+'4th Q Co Share Calculations'!BB47</f>
        <v>2941</v>
      </c>
      <c r="L44" s="327">
        <f>'4th Q Co Share Calculations'!X47</f>
        <v>1279</v>
      </c>
      <c r="M44" s="327">
        <f>'4th Q Co Share Calculations'!Y47</f>
        <v>1141</v>
      </c>
      <c r="N44" s="327">
        <f>'4th Q Co Share Calculations'!Z47</f>
        <v>10</v>
      </c>
      <c r="O44" s="327">
        <f>'4th Q Co Share Calculations'!AA47</f>
        <v>1194</v>
      </c>
      <c r="P44" s="327">
        <f>'4th Q Co Share Calculations'!AB47</f>
        <v>140</v>
      </c>
      <c r="Q44" s="327">
        <f>'4th Q Co Share Calculations'!AC47</f>
        <v>0</v>
      </c>
      <c r="R44" s="327">
        <f>'4th Q Co Share Calculations'!AD47</f>
        <v>3</v>
      </c>
      <c r="S44" s="327">
        <f>'4th Q Co Share Calculations'!AE47</f>
        <v>5</v>
      </c>
      <c r="T44" s="327">
        <f>'4th Q Co Share Calculations'!AF47</f>
        <v>3967</v>
      </c>
      <c r="U44" s="324">
        <f t="shared" si="4"/>
        <v>1279</v>
      </c>
      <c r="V44" s="19">
        <f t="shared" si="10"/>
        <v>20581</v>
      </c>
      <c r="W44" s="163">
        <f t="shared" si="5"/>
        <v>10</v>
      </c>
      <c r="X44" s="163">
        <f t="shared" si="6"/>
        <v>1194</v>
      </c>
      <c r="Y44" s="163">
        <f t="shared" si="11"/>
        <v>429</v>
      </c>
      <c r="Z44" s="163">
        <f t="shared" si="7"/>
        <v>0</v>
      </c>
      <c r="AA44" s="163">
        <f t="shared" si="8"/>
        <v>3</v>
      </c>
      <c r="AB44" s="163">
        <f t="shared" si="9"/>
        <v>5</v>
      </c>
      <c r="AC44" s="163">
        <f t="shared" si="12"/>
        <v>6908</v>
      </c>
      <c r="AD44" s="163">
        <f t="shared" si="13"/>
        <v>30409</v>
      </c>
      <c r="AE44" s="329">
        <f>AD44-'4th Q Co Share Calculations'!BR47</f>
        <v>0</v>
      </c>
    </row>
    <row r="45" spans="1:31">
      <c r="A45" s="319" t="s">
        <v>161</v>
      </c>
      <c r="B45" s="324">
        <f>'4th Q Co Share Calculations'!C48</f>
        <v>0</v>
      </c>
      <c r="C45" s="19">
        <f>'4th Q Co Share Calculations'!D48</f>
        <v>0</v>
      </c>
      <c r="D45" s="243">
        <f>'4th Q Co Share Calculations'!F48</f>
        <v>0</v>
      </c>
      <c r="E45" s="160">
        <f>'4th Q Co Share Calculations'!T48</f>
        <v>0</v>
      </c>
      <c r="F45" s="325"/>
      <c r="G45" s="288"/>
      <c r="H45" s="326"/>
      <c r="I45" s="19">
        <f>'4th Q Co Share Calculations'!AL48+'4th Q Co Share Calculations'!AS48+'4th Q Co Share Calculations'!BG48+'4th Q Co Share Calculations'!AZ48</f>
        <v>29186</v>
      </c>
      <c r="J45" s="19">
        <f>'4th Q Co Share Calculations'!AM48+'4th Q Co Share Calculations'!AT48+'4th Q Co Share Calculations'!BA48</f>
        <v>433</v>
      </c>
      <c r="K45" s="19">
        <f>'4th Q Co Share Calculations'!AN48+'4th Q Co Share Calculations'!AU48+'4th Q Co Share Calculations'!BB48</f>
        <v>4409</v>
      </c>
      <c r="L45" s="327">
        <f>'4th Q Co Share Calculations'!X48</f>
        <v>1390</v>
      </c>
      <c r="M45" s="327">
        <f>'4th Q Co Share Calculations'!Y48</f>
        <v>1241</v>
      </c>
      <c r="N45" s="327">
        <f>'4th Q Co Share Calculations'!Z48</f>
        <v>11</v>
      </c>
      <c r="O45" s="327">
        <f>'4th Q Co Share Calculations'!AA48</f>
        <v>1298</v>
      </c>
      <c r="P45" s="327">
        <f>'4th Q Co Share Calculations'!AB48</f>
        <v>152</v>
      </c>
      <c r="Q45" s="327">
        <f>'4th Q Co Share Calculations'!AC48</f>
        <v>0</v>
      </c>
      <c r="R45" s="327">
        <f>'4th Q Co Share Calculations'!AD48</f>
        <v>4</v>
      </c>
      <c r="S45" s="327">
        <f>'4th Q Co Share Calculations'!AE48</f>
        <v>5</v>
      </c>
      <c r="T45" s="327">
        <f>'4th Q Co Share Calculations'!AF48</f>
        <v>4313</v>
      </c>
      <c r="U45" s="324">
        <f t="shared" si="4"/>
        <v>1390</v>
      </c>
      <c r="V45" s="19">
        <f t="shared" si="10"/>
        <v>30427</v>
      </c>
      <c r="W45" s="163">
        <f t="shared" si="5"/>
        <v>11</v>
      </c>
      <c r="X45" s="163">
        <f t="shared" si="6"/>
        <v>1298</v>
      </c>
      <c r="Y45" s="163">
        <f t="shared" si="11"/>
        <v>585</v>
      </c>
      <c r="Z45" s="163">
        <f t="shared" si="7"/>
        <v>0</v>
      </c>
      <c r="AA45" s="163">
        <f t="shared" si="8"/>
        <v>4</v>
      </c>
      <c r="AB45" s="163">
        <f t="shared" si="9"/>
        <v>5</v>
      </c>
      <c r="AC45" s="163">
        <f t="shared" si="12"/>
        <v>8722</v>
      </c>
      <c r="AD45" s="163">
        <f t="shared" si="13"/>
        <v>42442</v>
      </c>
      <c r="AE45" s="329">
        <f>AD45-'4th Q Co Share Calculations'!BR48</f>
        <v>0</v>
      </c>
    </row>
    <row r="46" spans="1:31">
      <c r="A46" s="319" t="s">
        <v>160</v>
      </c>
      <c r="B46" s="324">
        <f>'4th Q Co Share Calculations'!C49</f>
        <v>0</v>
      </c>
      <c r="C46" s="19">
        <f>'4th Q Co Share Calculations'!D49</f>
        <v>0</v>
      </c>
      <c r="D46" s="243">
        <f>'4th Q Co Share Calculations'!F49</f>
        <v>0</v>
      </c>
      <c r="E46" s="160">
        <f>'4th Q Co Share Calculations'!T49</f>
        <v>0</v>
      </c>
      <c r="F46" s="325"/>
      <c r="G46" s="288"/>
      <c r="H46" s="326"/>
      <c r="I46" s="19">
        <f>'4th Q Co Share Calculations'!AL49+'4th Q Co Share Calculations'!AS49+'4th Q Co Share Calculations'!BG49+'4th Q Co Share Calculations'!AZ49</f>
        <v>92917</v>
      </c>
      <c r="J46" s="19">
        <f>'4th Q Co Share Calculations'!AM49+'4th Q Co Share Calculations'!AT49+'4th Q Co Share Calculations'!BA49</f>
        <v>1392</v>
      </c>
      <c r="K46" s="19">
        <f>'4th Q Co Share Calculations'!AN49+'4th Q Co Share Calculations'!AU49+'4th Q Co Share Calculations'!BB49</f>
        <v>14177</v>
      </c>
      <c r="L46" s="327">
        <f>'4th Q Co Share Calculations'!X49</f>
        <v>3625</v>
      </c>
      <c r="M46" s="327">
        <f>'4th Q Co Share Calculations'!Y49</f>
        <v>3236</v>
      </c>
      <c r="N46" s="327">
        <f>'4th Q Co Share Calculations'!Z49</f>
        <v>29</v>
      </c>
      <c r="O46" s="327">
        <f>'4th Q Co Share Calculations'!AA49</f>
        <v>3385</v>
      </c>
      <c r="P46" s="327">
        <f>'4th Q Co Share Calculations'!AB49</f>
        <v>397</v>
      </c>
      <c r="Q46" s="327">
        <f>'4th Q Co Share Calculations'!AC49</f>
        <v>1</v>
      </c>
      <c r="R46" s="327">
        <f>'4th Q Co Share Calculations'!AD49</f>
        <v>10</v>
      </c>
      <c r="S46" s="327">
        <f>'4th Q Co Share Calculations'!AE49</f>
        <v>14</v>
      </c>
      <c r="T46" s="327">
        <f>'4th Q Co Share Calculations'!AF49</f>
        <v>11245</v>
      </c>
      <c r="U46" s="324">
        <f t="shared" si="4"/>
        <v>3625</v>
      </c>
      <c r="V46" s="19">
        <f t="shared" si="10"/>
        <v>96153</v>
      </c>
      <c r="W46" s="163">
        <f t="shared" si="5"/>
        <v>29</v>
      </c>
      <c r="X46" s="163">
        <f t="shared" si="6"/>
        <v>3385</v>
      </c>
      <c r="Y46" s="163">
        <f t="shared" si="11"/>
        <v>1789</v>
      </c>
      <c r="Z46" s="163">
        <f t="shared" si="7"/>
        <v>1</v>
      </c>
      <c r="AA46" s="163">
        <f t="shared" si="8"/>
        <v>10</v>
      </c>
      <c r="AB46" s="163">
        <f t="shared" si="9"/>
        <v>14</v>
      </c>
      <c r="AC46" s="163">
        <f t="shared" si="12"/>
        <v>25422</v>
      </c>
      <c r="AD46" s="163">
        <f t="shared" si="13"/>
        <v>130428</v>
      </c>
      <c r="AE46" s="329">
        <f>AD46-'4th Q Co Share Calculations'!BR49</f>
        <v>0</v>
      </c>
    </row>
    <row r="47" spans="1:31">
      <c r="A47" s="319" t="s">
        <v>159</v>
      </c>
      <c r="B47" s="324">
        <f>'4th Q Co Share Calculations'!C50</f>
        <v>0</v>
      </c>
      <c r="C47" s="19">
        <f>'4th Q Co Share Calculations'!D50</f>
        <v>0</v>
      </c>
      <c r="D47" s="243">
        <f>'4th Q Co Share Calculations'!F50</f>
        <v>0</v>
      </c>
      <c r="E47" s="160">
        <f>'4th Q Co Share Calculations'!T50</f>
        <v>0</v>
      </c>
      <c r="F47" s="325"/>
      <c r="G47" s="288"/>
      <c r="H47" s="326"/>
      <c r="I47" s="19">
        <f>'4th Q Co Share Calculations'!AL50+'4th Q Co Share Calculations'!AS50+'4th Q Co Share Calculations'!BG50+'4th Q Co Share Calculations'!AZ50</f>
        <v>17851</v>
      </c>
      <c r="J47" s="19">
        <f>'4th Q Co Share Calculations'!AM50+'4th Q Co Share Calculations'!AT50+'4th Q Co Share Calculations'!BA50</f>
        <v>264</v>
      </c>
      <c r="K47" s="19">
        <f>'4th Q Co Share Calculations'!AN50+'4th Q Co Share Calculations'!AU50+'4th Q Co Share Calculations'!BB50</f>
        <v>2688</v>
      </c>
      <c r="L47" s="327">
        <f>'4th Q Co Share Calculations'!X50</f>
        <v>757</v>
      </c>
      <c r="M47" s="327">
        <f>'4th Q Co Share Calculations'!Y50</f>
        <v>676</v>
      </c>
      <c r="N47" s="327">
        <f>'4th Q Co Share Calculations'!Z50</f>
        <v>6</v>
      </c>
      <c r="O47" s="327">
        <f>'4th Q Co Share Calculations'!AA50</f>
        <v>707</v>
      </c>
      <c r="P47" s="327">
        <f>'4th Q Co Share Calculations'!AB50</f>
        <v>83</v>
      </c>
      <c r="Q47" s="327">
        <f>'4th Q Co Share Calculations'!AC50</f>
        <v>0</v>
      </c>
      <c r="R47" s="327">
        <f>'4th Q Co Share Calculations'!AD50</f>
        <v>2</v>
      </c>
      <c r="S47" s="327">
        <f>'4th Q Co Share Calculations'!AE50</f>
        <v>3</v>
      </c>
      <c r="T47" s="327">
        <f>'4th Q Co Share Calculations'!AF50</f>
        <v>2349</v>
      </c>
      <c r="U47" s="324">
        <f t="shared" si="4"/>
        <v>757</v>
      </c>
      <c r="V47" s="19">
        <f t="shared" si="10"/>
        <v>18527</v>
      </c>
      <c r="W47" s="163">
        <f t="shared" si="5"/>
        <v>6</v>
      </c>
      <c r="X47" s="163">
        <f t="shared" si="6"/>
        <v>707</v>
      </c>
      <c r="Y47" s="163">
        <f t="shared" si="11"/>
        <v>347</v>
      </c>
      <c r="Z47" s="163">
        <f t="shared" si="7"/>
        <v>0</v>
      </c>
      <c r="AA47" s="163">
        <f t="shared" si="8"/>
        <v>2</v>
      </c>
      <c r="AB47" s="163">
        <f t="shared" si="9"/>
        <v>3</v>
      </c>
      <c r="AC47" s="163">
        <f t="shared" si="12"/>
        <v>5037</v>
      </c>
      <c r="AD47" s="163">
        <f t="shared" si="13"/>
        <v>25386</v>
      </c>
      <c r="AE47" s="329">
        <f>AD47-'4th Q Co Share Calculations'!BR50</f>
        <v>0</v>
      </c>
    </row>
    <row r="48" spans="1:31">
      <c r="A48" s="321" t="s">
        <v>9</v>
      </c>
      <c r="B48" s="324">
        <f>'4th Q Co Share Calculations'!C51</f>
        <v>16360</v>
      </c>
      <c r="C48" s="19">
        <f>'4th Q Co Share Calculations'!D51</f>
        <v>333</v>
      </c>
      <c r="D48" s="243">
        <f>'4th Q Co Share Calculations'!F51</f>
        <v>1582</v>
      </c>
      <c r="E48" s="160">
        <f>'4th Q Co Share Calculations'!T51</f>
        <v>1677</v>
      </c>
      <c r="F48" s="325"/>
      <c r="G48" s="288"/>
      <c r="H48" s="326"/>
      <c r="I48" s="288"/>
      <c r="J48" s="288"/>
      <c r="K48" s="288"/>
      <c r="L48" s="327">
        <f>'4th Q Co Share Calculations'!X51</f>
        <v>583</v>
      </c>
      <c r="M48" s="327">
        <f>'4th Q Co Share Calculations'!Y51</f>
        <v>521</v>
      </c>
      <c r="N48" s="327">
        <f>'4th Q Co Share Calculations'!Z51</f>
        <v>5</v>
      </c>
      <c r="O48" s="327">
        <f>'4th Q Co Share Calculations'!AA51</f>
        <v>545</v>
      </c>
      <c r="P48" s="327">
        <f>'4th Q Co Share Calculations'!AB51</f>
        <v>64</v>
      </c>
      <c r="Q48" s="327">
        <f>'4th Q Co Share Calculations'!AC51</f>
        <v>0</v>
      </c>
      <c r="R48" s="327">
        <f>'4th Q Co Share Calculations'!AD51</f>
        <v>2</v>
      </c>
      <c r="S48" s="327">
        <f>'4th Q Co Share Calculations'!AE51</f>
        <v>2</v>
      </c>
      <c r="T48" s="327">
        <f>'4th Q Co Share Calculations'!AF51</f>
        <v>1810</v>
      </c>
      <c r="U48" s="324">
        <f t="shared" si="4"/>
        <v>583</v>
      </c>
      <c r="V48" s="19">
        <f t="shared" si="10"/>
        <v>18558</v>
      </c>
      <c r="W48" s="163">
        <f t="shared" si="5"/>
        <v>5</v>
      </c>
      <c r="X48" s="163">
        <f t="shared" si="6"/>
        <v>545</v>
      </c>
      <c r="Y48" s="163">
        <f t="shared" si="11"/>
        <v>397</v>
      </c>
      <c r="Z48" s="163">
        <f t="shared" si="7"/>
        <v>0</v>
      </c>
      <c r="AA48" s="163">
        <f t="shared" si="8"/>
        <v>2</v>
      </c>
      <c r="AB48" s="163">
        <f t="shared" si="9"/>
        <v>2</v>
      </c>
      <c r="AC48" s="163">
        <f t="shared" si="12"/>
        <v>3392</v>
      </c>
      <c r="AD48" s="163">
        <f t="shared" si="13"/>
        <v>23484</v>
      </c>
      <c r="AE48" s="329">
        <f>AD48-'4th Q Co Share Calculations'!BR51</f>
        <v>0</v>
      </c>
    </row>
    <row r="49" spans="1:31">
      <c r="A49" s="321" t="s">
        <v>8</v>
      </c>
      <c r="B49" s="324">
        <f>'4th Q Co Share Calculations'!C52</f>
        <v>211</v>
      </c>
      <c r="C49" s="19">
        <f>'4th Q Co Share Calculations'!D52</f>
        <v>4</v>
      </c>
      <c r="D49" s="243">
        <f>'4th Q Co Share Calculations'!F52</f>
        <v>16</v>
      </c>
      <c r="E49" s="160">
        <f>'4th Q Co Share Calculations'!T52</f>
        <v>18</v>
      </c>
      <c r="F49" s="325"/>
      <c r="G49" s="288"/>
      <c r="H49" s="326"/>
      <c r="I49" s="288"/>
      <c r="J49" s="288"/>
      <c r="K49" s="288"/>
      <c r="L49" s="327">
        <f>'4th Q Co Share Calculations'!X52</f>
        <v>12</v>
      </c>
      <c r="M49" s="327">
        <f>'4th Q Co Share Calculations'!Y52</f>
        <v>11</v>
      </c>
      <c r="N49" s="327">
        <f>'4th Q Co Share Calculations'!Z52</f>
        <v>0</v>
      </c>
      <c r="O49" s="327">
        <f>'4th Q Co Share Calculations'!AA52</f>
        <v>12</v>
      </c>
      <c r="P49" s="327">
        <f>'4th Q Co Share Calculations'!AB52</f>
        <v>1</v>
      </c>
      <c r="Q49" s="327">
        <f>'4th Q Co Share Calculations'!AC52</f>
        <v>0</v>
      </c>
      <c r="R49" s="327">
        <f>'4th Q Co Share Calculations'!AD52</f>
        <v>0</v>
      </c>
      <c r="S49" s="327">
        <f>'4th Q Co Share Calculations'!AE52</f>
        <v>0</v>
      </c>
      <c r="T49" s="327">
        <f>'4th Q Co Share Calculations'!AF52</f>
        <v>39</v>
      </c>
      <c r="U49" s="324">
        <f t="shared" si="4"/>
        <v>12</v>
      </c>
      <c r="V49" s="19">
        <f t="shared" si="10"/>
        <v>240</v>
      </c>
      <c r="W49" s="163">
        <f t="shared" si="5"/>
        <v>0</v>
      </c>
      <c r="X49" s="163">
        <f t="shared" si="6"/>
        <v>12</v>
      </c>
      <c r="Y49" s="163">
        <f t="shared" si="11"/>
        <v>5</v>
      </c>
      <c r="Z49" s="163">
        <f t="shared" si="7"/>
        <v>0</v>
      </c>
      <c r="AA49" s="163">
        <f t="shared" si="8"/>
        <v>0</v>
      </c>
      <c r="AB49" s="163">
        <f t="shared" si="9"/>
        <v>0</v>
      </c>
      <c r="AC49" s="163">
        <f t="shared" si="12"/>
        <v>55</v>
      </c>
      <c r="AD49" s="163">
        <f t="shared" si="13"/>
        <v>324</v>
      </c>
      <c r="AE49" s="329">
        <f>AD49-'4th Q Co Share Calculations'!BR52</f>
        <v>0</v>
      </c>
    </row>
    <row r="50" spans="1:31">
      <c r="A50" s="321" t="s">
        <v>7</v>
      </c>
      <c r="B50" s="324">
        <f>'4th Q Co Share Calculations'!C53</f>
        <v>4855</v>
      </c>
      <c r="C50" s="19">
        <f>'4th Q Co Share Calculations'!D53</f>
        <v>99</v>
      </c>
      <c r="D50" s="243">
        <f>'4th Q Co Share Calculations'!F53</f>
        <v>198</v>
      </c>
      <c r="E50" s="160">
        <f>'4th Q Co Share Calculations'!T53</f>
        <v>459</v>
      </c>
      <c r="F50" s="325"/>
      <c r="G50" s="288"/>
      <c r="H50" s="326"/>
      <c r="I50" s="288"/>
      <c r="J50" s="288"/>
      <c r="K50" s="288"/>
      <c r="L50" s="327">
        <f>'4th Q Co Share Calculations'!X53</f>
        <v>174</v>
      </c>
      <c r="M50" s="327">
        <f>'4th Q Co Share Calculations'!Y53</f>
        <v>155</v>
      </c>
      <c r="N50" s="327">
        <f>'4th Q Co Share Calculations'!Z53</f>
        <v>1</v>
      </c>
      <c r="O50" s="327">
        <f>'4th Q Co Share Calculations'!AA53</f>
        <v>162</v>
      </c>
      <c r="P50" s="327">
        <f>'4th Q Co Share Calculations'!AB53</f>
        <v>19</v>
      </c>
      <c r="Q50" s="327">
        <f>'4th Q Co Share Calculations'!AC53</f>
        <v>0</v>
      </c>
      <c r="R50" s="327">
        <f>'4th Q Co Share Calculations'!AD53</f>
        <v>0</v>
      </c>
      <c r="S50" s="327">
        <f>'4th Q Co Share Calculations'!AE53</f>
        <v>1</v>
      </c>
      <c r="T50" s="327">
        <f>'4th Q Co Share Calculations'!AF53</f>
        <v>539</v>
      </c>
      <c r="U50" s="324">
        <f t="shared" si="4"/>
        <v>174</v>
      </c>
      <c r="V50" s="19">
        <f t="shared" si="10"/>
        <v>5469</v>
      </c>
      <c r="W50" s="163">
        <f t="shared" si="5"/>
        <v>1</v>
      </c>
      <c r="X50" s="163">
        <f t="shared" si="6"/>
        <v>162</v>
      </c>
      <c r="Y50" s="163">
        <f t="shared" si="11"/>
        <v>118</v>
      </c>
      <c r="Z50" s="163">
        <f t="shared" si="7"/>
        <v>0</v>
      </c>
      <c r="AA50" s="163">
        <f t="shared" si="8"/>
        <v>0</v>
      </c>
      <c r="AB50" s="163">
        <f t="shared" si="9"/>
        <v>1</v>
      </c>
      <c r="AC50" s="163">
        <f t="shared" si="12"/>
        <v>737</v>
      </c>
      <c r="AD50" s="163">
        <f t="shared" si="13"/>
        <v>6662</v>
      </c>
      <c r="AE50" s="329">
        <f>AD50-'4th Q Co Share Calculations'!BR53</f>
        <v>0</v>
      </c>
    </row>
    <row r="51" spans="1:31">
      <c r="A51" s="322" t="s">
        <v>158</v>
      </c>
      <c r="B51" s="324">
        <f>'4th Q Co Share Calculations'!C54</f>
        <v>0</v>
      </c>
      <c r="C51" s="19">
        <f>'4th Q Co Share Calculations'!D54</f>
        <v>0</v>
      </c>
      <c r="D51" s="243">
        <f>'4th Q Co Share Calculations'!F54</f>
        <v>0</v>
      </c>
      <c r="E51" s="160">
        <f>'4th Q Co Share Calculations'!T54</f>
        <v>0</v>
      </c>
      <c r="F51" s="325"/>
      <c r="G51" s="288"/>
      <c r="H51" s="326"/>
      <c r="I51" s="19">
        <f>'4th Q Co Share Calculations'!AL54+'4th Q Co Share Calculations'!AS54+'4th Q Co Share Calculations'!BG54+'4th Q Co Share Calculations'!AZ54</f>
        <v>24953</v>
      </c>
      <c r="J51" s="19">
        <f>'4th Q Co Share Calculations'!AM54+'4th Q Co Share Calculations'!AT54+'4th Q Co Share Calculations'!BA54</f>
        <v>368</v>
      </c>
      <c r="K51" s="19">
        <f>'4th Q Co Share Calculations'!AN54+'4th Q Co Share Calculations'!AU54+'4th Q Co Share Calculations'!BB54</f>
        <v>3748</v>
      </c>
      <c r="L51" s="327">
        <f>'4th Q Co Share Calculations'!X54</f>
        <v>1130</v>
      </c>
      <c r="M51" s="327">
        <f>'4th Q Co Share Calculations'!Y54</f>
        <v>1008</v>
      </c>
      <c r="N51" s="327">
        <f>'4th Q Co Share Calculations'!Z54</f>
        <v>10</v>
      </c>
      <c r="O51" s="327">
        <f>'4th Q Co Share Calculations'!AA54</f>
        <v>1055</v>
      </c>
      <c r="P51" s="327">
        <f>'4th Q Co Share Calculations'!AB54</f>
        <v>124</v>
      </c>
      <c r="Q51" s="327">
        <f>'4th Q Co Share Calculations'!AC54</f>
        <v>0</v>
      </c>
      <c r="R51" s="327">
        <f>'4th Q Co Share Calculations'!AD54</f>
        <v>3</v>
      </c>
      <c r="S51" s="327">
        <f>'4th Q Co Share Calculations'!AE54</f>
        <v>4</v>
      </c>
      <c r="T51" s="327">
        <f>'4th Q Co Share Calculations'!AF54</f>
        <v>3504</v>
      </c>
      <c r="U51" s="324">
        <f t="shared" si="4"/>
        <v>1130</v>
      </c>
      <c r="V51" s="19">
        <f t="shared" si="10"/>
        <v>25961</v>
      </c>
      <c r="W51" s="163">
        <f t="shared" si="5"/>
        <v>10</v>
      </c>
      <c r="X51" s="163">
        <f t="shared" si="6"/>
        <v>1055</v>
      </c>
      <c r="Y51" s="163">
        <f t="shared" si="11"/>
        <v>492</v>
      </c>
      <c r="Z51" s="163">
        <f t="shared" si="7"/>
        <v>0</v>
      </c>
      <c r="AA51" s="163">
        <f t="shared" si="8"/>
        <v>3</v>
      </c>
      <c r="AB51" s="163">
        <f t="shared" si="9"/>
        <v>4</v>
      </c>
      <c r="AC51" s="163">
        <f t="shared" si="12"/>
        <v>7252</v>
      </c>
      <c r="AD51" s="163">
        <f t="shared" si="13"/>
        <v>35907</v>
      </c>
      <c r="AE51" s="329">
        <f>AD51-'4th Q Co Share Calculations'!BR54</f>
        <v>0</v>
      </c>
    </row>
    <row r="52" spans="1:31">
      <c r="A52" s="322" t="s">
        <v>157</v>
      </c>
      <c r="B52" s="324">
        <f>'4th Q Co Share Calculations'!C55</f>
        <v>0</v>
      </c>
      <c r="C52" s="19">
        <f>'4th Q Co Share Calculations'!D55</f>
        <v>0</v>
      </c>
      <c r="D52" s="243">
        <f>'4th Q Co Share Calculations'!F55</f>
        <v>0</v>
      </c>
      <c r="E52" s="160">
        <f>'4th Q Co Share Calculations'!T55</f>
        <v>0</v>
      </c>
      <c r="F52" s="325"/>
      <c r="G52" s="288"/>
      <c r="H52" s="326"/>
      <c r="I52" s="19">
        <f>'4th Q Co Share Calculations'!AL55+'4th Q Co Share Calculations'!AS55+'4th Q Co Share Calculations'!BG55+'4th Q Co Share Calculations'!AZ55</f>
        <v>19903</v>
      </c>
      <c r="J52" s="19">
        <f>'4th Q Co Share Calculations'!AM55+'4th Q Co Share Calculations'!AT55+'4th Q Co Share Calculations'!BA55</f>
        <v>295</v>
      </c>
      <c r="K52" s="19">
        <f>'4th Q Co Share Calculations'!AN55+'4th Q Co Share Calculations'!AU55+'4th Q Co Share Calculations'!BB55</f>
        <v>2995</v>
      </c>
      <c r="L52" s="327">
        <f>'4th Q Co Share Calculations'!X55</f>
        <v>1142</v>
      </c>
      <c r="M52" s="327">
        <f>'4th Q Co Share Calculations'!Y55</f>
        <v>1020</v>
      </c>
      <c r="N52" s="327">
        <f>'4th Q Co Share Calculations'!Z55</f>
        <v>9</v>
      </c>
      <c r="O52" s="327">
        <f>'4th Q Co Share Calculations'!AA55</f>
        <v>1066</v>
      </c>
      <c r="P52" s="327">
        <f>'4th Q Co Share Calculations'!AB55</f>
        <v>125</v>
      </c>
      <c r="Q52" s="327">
        <f>'4th Q Co Share Calculations'!AC55</f>
        <v>0</v>
      </c>
      <c r="R52" s="327">
        <f>'4th Q Co Share Calculations'!AD55</f>
        <v>3</v>
      </c>
      <c r="S52" s="327">
        <f>'4th Q Co Share Calculations'!AE55</f>
        <v>5</v>
      </c>
      <c r="T52" s="327">
        <f>'4th Q Co Share Calculations'!AF55</f>
        <v>3543</v>
      </c>
      <c r="U52" s="324">
        <f t="shared" si="4"/>
        <v>1142</v>
      </c>
      <c r="V52" s="19">
        <f t="shared" si="10"/>
        <v>20923</v>
      </c>
      <c r="W52" s="163">
        <f t="shared" si="5"/>
        <v>9</v>
      </c>
      <c r="X52" s="163">
        <f t="shared" si="6"/>
        <v>1066</v>
      </c>
      <c r="Y52" s="163">
        <f t="shared" si="11"/>
        <v>420</v>
      </c>
      <c r="Z52" s="163">
        <f t="shared" si="7"/>
        <v>0</v>
      </c>
      <c r="AA52" s="163">
        <f t="shared" si="8"/>
        <v>3</v>
      </c>
      <c r="AB52" s="163">
        <f t="shared" si="9"/>
        <v>5</v>
      </c>
      <c r="AC52" s="163">
        <f t="shared" si="12"/>
        <v>6538</v>
      </c>
      <c r="AD52" s="163">
        <f t="shared" si="13"/>
        <v>30106</v>
      </c>
      <c r="AE52" s="329">
        <f>AD52-'4th Q Co Share Calculations'!BR55</f>
        <v>0</v>
      </c>
    </row>
    <row r="53" spans="1:31">
      <c r="A53" s="314" t="s">
        <v>6</v>
      </c>
      <c r="B53" s="324">
        <f>'4th Q Co Share Calculations'!C56</f>
        <v>65966</v>
      </c>
      <c r="C53" s="19">
        <f>'4th Q Co Share Calculations'!D56</f>
        <v>1344</v>
      </c>
      <c r="D53" s="243">
        <f>'4th Q Co Share Calculations'!F56</f>
        <v>859</v>
      </c>
      <c r="E53" s="160">
        <f>'4th Q Co Share Calculations'!T56</f>
        <v>5826</v>
      </c>
      <c r="F53" s="325"/>
      <c r="G53" s="288"/>
      <c r="H53" s="326"/>
      <c r="I53" s="288"/>
      <c r="J53" s="288"/>
      <c r="K53" s="288"/>
      <c r="L53" s="327">
        <f>'4th Q Co Share Calculations'!X56</f>
        <v>2346</v>
      </c>
      <c r="M53" s="327">
        <f>'4th Q Co Share Calculations'!Y56</f>
        <v>2094</v>
      </c>
      <c r="N53" s="327">
        <f>'4th Q Co Share Calculations'!Z56</f>
        <v>19</v>
      </c>
      <c r="O53" s="327">
        <f>'4th Q Co Share Calculations'!AA56</f>
        <v>2191</v>
      </c>
      <c r="P53" s="327">
        <f>'4th Q Co Share Calculations'!AB56</f>
        <v>257</v>
      </c>
      <c r="Q53" s="327">
        <f>'4th Q Co Share Calculations'!AC56</f>
        <v>1</v>
      </c>
      <c r="R53" s="327">
        <f>'4th Q Co Share Calculations'!AD56</f>
        <v>7</v>
      </c>
      <c r="S53" s="327">
        <f>'4th Q Co Share Calculations'!AE56</f>
        <v>9</v>
      </c>
      <c r="T53" s="327">
        <f>'4th Q Co Share Calculations'!AF56</f>
        <v>7278</v>
      </c>
      <c r="U53" s="324">
        <f t="shared" si="4"/>
        <v>2346</v>
      </c>
      <c r="V53" s="19">
        <f t="shared" si="10"/>
        <v>73886</v>
      </c>
      <c r="W53" s="163">
        <f t="shared" si="5"/>
        <v>19</v>
      </c>
      <c r="X53" s="163">
        <f t="shared" si="6"/>
        <v>2191</v>
      </c>
      <c r="Y53" s="163">
        <f t="shared" si="11"/>
        <v>1601</v>
      </c>
      <c r="Z53" s="163">
        <f t="shared" si="7"/>
        <v>1</v>
      </c>
      <c r="AA53" s="163">
        <f t="shared" si="8"/>
        <v>7</v>
      </c>
      <c r="AB53" s="163">
        <f t="shared" si="9"/>
        <v>9</v>
      </c>
      <c r="AC53" s="163">
        <f t="shared" si="12"/>
        <v>8137</v>
      </c>
      <c r="AD53" s="163">
        <f t="shared" si="13"/>
        <v>88197</v>
      </c>
      <c r="AE53" s="329">
        <f>AD53-'4th Q Co Share Calculations'!BR56</f>
        <v>0</v>
      </c>
    </row>
    <row r="54" spans="1:31">
      <c r="A54" s="321" t="s">
        <v>5</v>
      </c>
      <c r="B54" s="324">
        <f>'4th Q Co Share Calculations'!C57</f>
        <v>10766</v>
      </c>
      <c r="C54" s="19">
        <f>'4th Q Co Share Calculations'!D57</f>
        <v>219</v>
      </c>
      <c r="D54" s="243">
        <f>'4th Q Co Share Calculations'!F57</f>
        <v>65</v>
      </c>
      <c r="E54" s="160">
        <f>'4th Q Co Share Calculations'!T57</f>
        <v>883</v>
      </c>
      <c r="F54" s="325"/>
      <c r="G54" s="288"/>
      <c r="H54" s="326"/>
      <c r="I54" s="288"/>
      <c r="J54" s="288"/>
      <c r="K54" s="288"/>
      <c r="L54" s="327">
        <f>'4th Q Co Share Calculations'!X57</f>
        <v>385</v>
      </c>
      <c r="M54" s="327">
        <f>'4th Q Co Share Calculations'!Y57</f>
        <v>344</v>
      </c>
      <c r="N54" s="327">
        <f>'4th Q Co Share Calculations'!Z57</f>
        <v>3</v>
      </c>
      <c r="O54" s="327">
        <f>'4th Q Co Share Calculations'!AA57</f>
        <v>359</v>
      </c>
      <c r="P54" s="327">
        <f>'4th Q Co Share Calculations'!AB57</f>
        <v>42</v>
      </c>
      <c r="Q54" s="327">
        <f>'4th Q Co Share Calculations'!AC57</f>
        <v>0</v>
      </c>
      <c r="R54" s="327">
        <f>'4th Q Co Share Calculations'!AD57</f>
        <v>1</v>
      </c>
      <c r="S54" s="327">
        <f>'4th Q Co Share Calculations'!AE57</f>
        <v>1</v>
      </c>
      <c r="T54" s="327">
        <f>'4th Q Co Share Calculations'!AF57</f>
        <v>1194</v>
      </c>
      <c r="U54" s="324">
        <f t="shared" si="4"/>
        <v>385</v>
      </c>
      <c r="V54" s="19">
        <f t="shared" si="10"/>
        <v>11993</v>
      </c>
      <c r="W54" s="163">
        <f t="shared" si="5"/>
        <v>3</v>
      </c>
      <c r="X54" s="163">
        <f t="shared" si="6"/>
        <v>359</v>
      </c>
      <c r="Y54" s="163">
        <f t="shared" si="11"/>
        <v>261</v>
      </c>
      <c r="Z54" s="163">
        <f t="shared" si="7"/>
        <v>0</v>
      </c>
      <c r="AA54" s="163">
        <f t="shared" si="8"/>
        <v>1</v>
      </c>
      <c r="AB54" s="163">
        <f t="shared" si="9"/>
        <v>1</v>
      </c>
      <c r="AC54" s="163">
        <f t="shared" si="12"/>
        <v>1259</v>
      </c>
      <c r="AD54" s="163">
        <f t="shared" si="13"/>
        <v>14262</v>
      </c>
      <c r="AE54" s="329">
        <f>AD54-'4th Q Co Share Calculations'!BR57</f>
        <v>0</v>
      </c>
    </row>
    <row r="55" spans="1:31">
      <c r="A55" s="321" t="s">
        <v>4</v>
      </c>
      <c r="B55" s="324">
        <f>'4th Q Co Share Calculations'!C58</f>
        <v>7177</v>
      </c>
      <c r="C55" s="19">
        <f>'4th Q Co Share Calculations'!D58</f>
        <v>146</v>
      </c>
      <c r="D55" s="243">
        <f>'4th Q Co Share Calculations'!F58</f>
        <v>139</v>
      </c>
      <c r="E55" s="160">
        <f>'4th Q Co Share Calculations'!T58</f>
        <v>653</v>
      </c>
      <c r="F55" s="325"/>
      <c r="G55" s="288"/>
      <c r="H55" s="326"/>
      <c r="I55" s="288"/>
      <c r="J55" s="288"/>
      <c r="K55" s="288"/>
      <c r="L55" s="327">
        <f>'4th Q Co Share Calculations'!X58</f>
        <v>248</v>
      </c>
      <c r="M55" s="327">
        <f>'4th Q Co Share Calculations'!Y58</f>
        <v>222</v>
      </c>
      <c r="N55" s="327">
        <f>'4th Q Co Share Calculations'!Z58</f>
        <v>2</v>
      </c>
      <c r="O55" s="327">
        <f>'4th Q Co Share Calculations'!AA58</f>
        <v>232</v>
      </c>
      <c r="P55" s="327">
        <f>'4th Q Co Share Calculations'!AB58</f>
        <v>27</v>
      </c>
      <c r="Q55" s="327">
        <f>'4th Q Co Share Calculations'!AC58</f>
        <v>0</v>
      </c>
      <c r="R55" s="327">
        <f>'4th Q Co Share Calculations'!AD58</f>
        <v>1</v>
      </c>
      <c r="S55" s="327">
        <f>'4th Q Co Share Calculations'!AE58</f>
        <v>1</v>
      </c>
      <c r="T55" s="327">
        <f>'4th Q Co Share Calculations'!AF58</f>
        <v>770</v>
      </c>
      <c r="U55" s="324">
        <f t="shared" si="4"/>
        <v>248</v>
      </c>
      <c r="V55" s="19">
        <f t="shared" si="10"/>
        <v>8052</v>
      </c>
      <c r="W55" s="163">
        <f t="shared" si="5"/>
        <v>2</v>
      </c>
      <c r="X55" s="163">
        <f t="shared" si="6"/>
        <v>232</v>
      </c>
      <c r="Y55" s="163">
        <f t="shared" si="11"/>
        <v>173</v>
      </c>
      <c r="Z55" s="163">
        <f t="shared" si="7"/>
        <v>0</v>
      </c>
      <c r="AA55" s="163">
        <f t="shared" si="8"/>
        <v>1</v>
      </c>
      <c r="AB55" s="163">
        <f t="shared" si="9"/>
        <v>1</v>
      </c>
      <c r="AC55" s="163">
        <f t="shared" si="12"/>
        <v>909</v>
      </c>
      <c r="AD55" s="163">
        <f t="shared" si="13"/>
        <v>9618</v>
      </c>
      <c r="AE55" s="329">
        <f>AD55-'4th Q Co Share Calculations'!BR58</f>
        <v>0</v>
      </c>
    </row>
    <row r="56" spans="1:31">
      <c r="A56" s="321" t="s">
        <v>3</v>
      </c>
      <c r="B56" s="324">
        <f>'4th Q Co Share Calculations'!C59</f>
        <v>1267</v>
      </c>
      <c r="C56" s="19">
        <f>'4th Q Co Share Calculations'!D59</f>
        <v>26</v>
      </c>
      <c r="D56" s="243">
        <f>'4th Q Co Share Calculations'!F59</f>
        <v>43</v>
      </c>
      <c r="E56" s="160">
        <f>'4th Q Co Share Calculations'!T59</f>
        <v>124</v>
      </c>
      <c r="F56" s="325"/>
      <c r="G56" s="288"/>
      <c r="H56" s="326"/>
      <c r="I56" s="288"/>
      <c r="J56" s="288"/>
      <c r="K56" s="288"/>
      <c r="L56" s="327">
        <f>'4th Q Co Share Calculations'!X59</f>
        <v>50</v>
      </c>
      <c r="M56" s="327">
        <f>'4th Q Co Share Calculations'!Y59</f>
        <v>45</v>
      </c>
      <c r="N56" s="327">
        <f>'4th Q Co Share Calculations'!Z59</f>
        <v>0</v>
      </c>
      <c r="O56" s="327">
        <f>'4th Q Co Share Calculations'!AA59</f>
        <v>46</v>
      </c>
      <c r="P56" s="327">
        <f>'4th Q Co Share Calculations'!AB59</f>
        <v>5</v>
      </c>
      <c r="Q56" s="327">
        <f>'4th Q Co Share Calculations'!AC59</f>
        <v>0</v>
      </c>
      <c r="R56" s="327">
        <f>'4th Q Co Share Calculations'!AD59</f>
        <v>0</v>
      </c>
      <c r="S56" s="327">
        <f>'4th Q Co Share Calculations'!AE59</f>
        <v>0</v>
      </c>
      <c r="T56" s="327">
        <f>'4th Q Co Share Calculations'!AF59</f>
        <v>154</v>
      </c>
      <c r="U56" s="324">
        <f t="shared" si="4"/>
        <v>50</v>
      </c>
      <c r="V56" s="19">
        <f t="shared" si="10"/>
        <v>1436</v>
      </c>
      <c r="W56" s="163">
        <f t="shared" si="5"/>
        <v>0</v>
      </c>
      <c r="X56" s="163">
        <f t="shared" si="6"/>
        <v>46</v>
      </c>
      <c r="Y56" s="163">
        <f t="shared" si="11"/>
        <v>31</v>
      </c>
      <c r="Z56" s="163">
        <f t="shared" si="7"/>
        <v>0</v>
      </c>
      <c r="AA56" s="163">
        <f t="shared" si="8"/>
        <v>0</v>
      </c>
      <c r="AB56" s="163">
        <f t="shared" si="9"/>
        <v>0</v>
      </c>
      <c r="AC56" s="163">
        <f t="shared" si="12"/>
        <v>197</v>
      </c>
      <c r="AD56" s="163">
        <f t="shared" si="13"/>
        <v>1760</v>
      </c>
      <c r="AE56" s="329">
        <f>AD56-'4th Q Co Share Calculations'!BR59</f>
        <v>0</v>
      </c>
    </row>
    <row r="57" spans="1:31">
      <c r="A57" s="321" t="s">
        <v>156</v>
      </c>
      <c r="B57" s="324">
        <f>'4th Q Co Share Calculations'!C60</f>
        <v>0</v>
      </c>
      <c r="C57" s="19">
        <f>'4th Q Co Share Calculations'!D60</f>
        <v>0</v>
      </c>
      <c r="D57" s="243">
        <f>'4th Q Co Share Calculations'!F60</f>
        <v>0</v>
      </c>
      <c r="E57" s="160">
        <f>'4th Q Co Share Calculations'!T60</f>
        <v>0</v>
      </c>
      <c r="F57" s="325"/>
      <c r="G57" s="288"/>
      <c r="H57" s="326"/>
      <c r="I57" s="19">
        <f>'4th Q Co Share Calculations'!AL60+'4th Q Co Share Calculations'!AS60+'4th Q Co Share Calculations'!BG60+'4th Q Co Share Calculations'!AZ60</f>
        <v>37232</v>
      </c>
      <c r="J57" s="19">
        <f>'4th Q Co Share Calculations'!AM60+'4th Q Co Share Calculations'!AT60+'4th Q Co Share Calculations'!BA60</f>
        <v>527</v>
      </c>
      <c r="K57" s="19">
        <f>'4th Q Co Share Calculations'!AN60+'4th Q Co Share Calculations'!AU60+'4th Q Co Share Calculations'!BB60</f>
        <v>5364</v>
      </c>
      <c r="L57" s="327">
        <f>'4th Q Co Share Calculations'!X60</f>
        <v>2719</v>
      </c>
      <c r="M57" s="327">
        <f>'4th Q Co Share Calculations'!Y60</f>
        <v>2427</v>
      </c>
      <c r="N57" s="327">
        <f>'4th Q Co Share Calculations'!Z60</f>
        <v>22</v>
      </c>
      <c r="O57" s="327">
        <f>'4th Q Co Share Calculations'!AA60</f>
        <v>2538</v>
      </c>
      <c r="P57" s="327">
        <f>'4th Q Co Share Calculations'!AB60</f>
        <v>298</v>
      </c>
      <c r="Q57" s="327">
        <f>'4th Q Co Share Calculations'!AC60</f>
        <v>1</v>
      </c>
      <c r="R57" s="327">
        <f>'4th Q Co Share Calculations'!AD60</f>
        <v>8</v>
      </c>
      <c r="S57" s="327">
        <f>'4th Q Co Share Calculations'!AE60</f>
        <v>11</v>
      </c>
      <c r="T57" s="327">
        <f>'4th Q Co Share Calculations'!AF60</f>
        <v>8434</v>
      </c>
      <c r="U57" s="324">
        <f t="shared" si="4"/>
        <v>2719</v>
      </c>
      <c r="V57" s="19">
        <f t="shared" si="10"/>
        <v>39659</v>
      </c>
      <c r="W57" s="163">
        <f t="shared" si="5"/>
        <v>22</v>
      </c>
      <c r="X57" s="163">
        <f t="shared" si="6"/>
        <v>2538</v>
      </c>
      <c r="Y57" s="163">
        <f t="shared" si="11"/>
        <v>825</v>
      </c>
      <c r="Z57" s="163">
        <f t="shared" si="7"/>
        <v>1</v>
      </c>
      <c r="AA57" s="163">
        <f t="shared" si="8"/>
        <v>8</v>
      </c>
      <c r="AB57" s="163">
        <f t="shared" si="9"/>
        <v>11</v>
      </c>
      <c r="AC57" s="163">
        <f t="shared" si="12"/>
        <v>13798</v>
      </c>
      <c r="AD57" s="163">
        <f t="shared" si="13"/>
        <v>59581</v>
      </c>
      <c r="AE57" s="329">
        <f>AD57-'4th Q Co Share Calculations'!BR60</f>
        <v>0</v>
      </c>
    </row>
    <row r="58" spans="1:31">
      <c r="A58" s="321" t="s">
        <v>2</v>
      </c>
      <c r="B58" s="324">
        <f>'4th Q Co Share Calculations'!C61</f>
        <v>3589</v>
      </c>
      <c r="C58" s="19">
        <f>'4th Q Co Share Calculations'!D61</f>
        <v>73</v>
      </c>
      <c r="D58" s="243">
        <f>'4th Q Co Share Calculations'!F61</f>
        <v>22</v>
      </c>
      <c r="E58" s="160">
        <f>'4th Q Co Share Calculations'!T61</f>
        <v>353</v>
      </c>
      <c r="F58" s="325"/>
      <c r="G58" s="288"/>
      <c r="H58" s="326"/>
      <c r="I58" s="288"/>
      <c r="J58" s="288"/>
      <c r="K58" s="288"/>
      <c r="L58" s="327">
        <f>'4th Q Co Share Calculations'!X61</f>
        <v>124</v>
      </c>
      <c r="M58" s="327">
        <f>'4th Q Co Share Calculations'!Y61</f>
        <v>111</v>
      </c>
      <c r="N58" s="327">
        <f>'4th Q Co Share Calculations'!Z61</f>
        <v>1</v>
      </c>
      <c r="O58" s="327">
        <f>'4th Q Co Share Calculations'!AA61</f>
        <v>116</v>
      </c>
      <c r="P58" s="327">
        <f>'4th Q Co Share Calculations'!AB61</f>
        <v>14</v>
      </c>
      <c r="Q58" s="327">
        <f>'4th Q Co Share Calculations'!AC61</f>
        <v>0</v>
      </c>
      <c r="R58" s="327">
        <f>'4th Q Co Share Calculations'!AD61</f>
        <v>0</v>
      </c>
      <c r="S58" s="327">
        <f>'4th Q Co Share Calculations'!AE61</f>
        <v>0</v>
      </c>
      <c r="T58" s="327">
        <f>'4th Q Co Share Calculations'!AF61</f>
        <v>385</v>
      </c>
      <c r="U58" s="324">
        <f t="shared" si="4"/>
        <v>124</v>
      </c>
      <c r="V58" s="19">
        <f t="shared" si="10"/>
        <v>4053</v>
      </c>
      <c r="W58" s="163">
        <f t="shared" si="5"/>
        <v>1</v>
      </c>
      <c r="X58" s="163">
        <f t="shared" si="6"/>
        <v>116</v>
      </c>
      <c r="Y58" s="163">
        <f t="shared" si="11"/>
        <v>87</v>
      </c>
      <c r="Z58" s="163">
        <f t="shared" si="7"/>
        <v>0</v>
      </c>
      <c r="AA58" s="163">
        <f t="shared" si="8"/>
        <v>0</v>
      </c>
      <c r="AB58" s="163">
        <f t="shared" si="9"/>
        <v>0</v>
      </c>
      <c r="AC58" s="163">
        <f t="shared" si="12"/>
        <v>407</v>
      </c>
      <c r="AD58" s="163">
        <f t="shared" si="13"/>
        <v>4788</v>
      </c>
      <c r="AE58" s="329">
        <f>AD58-'4th Q Co Share Calculations'!BR61</f>
        <v>0</v>
      </c>
    </row>
    <row r="59" spans="1:31">
      <c r="A59" s="322" t="s">
        <v>155</v>
      </c>
      <c r="B59" s="324">
        <f>'4th Q Co Share Calculations'!C62</f>
        <v>0</v>
      </c>
      <c r="C59" s="19">
        <f>'4th Q Co Share Calculations'!D62</f>
        <v>0</v>
      </c>
      <c r="D59" s="243">
        <f>'4th Q Co Share Calculations'!F62</f>
        <v>0</v>
      </c>
      <c r="E59" s="160">
        <f>'4th Q Co Share Calculations'!T62</f>
        <v>0</v>
      </c>
      <c r="F59" s="325"/>
      <c r="G59" s="288"/>
      <c r="H59" s="326"/>
      <c r="I59" s="19">
        <f>'4th Q Co Share Calculations'!AL62+'4th Q Co Share Calculations'!AS62+'4th Q Co Share Calculations'!BG62+'4th Q Co Share Calculations'!AZ62</f>
        <v>38888</v>
      </c>
      <c r="J59" s="19">
        <f>'4th Q Co Share Calculations'!AM62+'4th Q Co Share Calculations'!AT62+'4th Q Co Share Calculations'!BA62</f>
        <v>571</v>
      </c>
      <c r="K59" s="19">
        <f>'4th Q Co Share Calculations'!AN62+'4th Q Co Share Calculations'!AU62+'4th Q Co Share Calculations'!BB62</f>
        <v>5812</v>
      </c>
      <c r="L59" s="327">
        <f>'4th Q Co Share Calculations'!X62</f>
        <v>2210</v>
      </c>
      <c r="M59" s="327">
        <f>'4th Q Co Share Calculations'!Y62</f>
        <v>1973</v>
      </c>
      <c r="N59" s="327">
        <f>'4th Q Co Share Calculations'!Z62</f>
        <v>18</v>
      </c>
      <c r="O59" s="327">
        <f>'4th Q Co Share Calculations'!AA62</f>
        <v>2063</v>
      </c>
      <c r="P59" s="327">
        <f>'4th Q Co Share Calculations'!AB62</f>
        <v>242</v>
      </c>
      <c r="Q59" s="327">
        <f>'4th Q Co Share Calculations'!AC62</f>
        <v>1</v>
      </c>
      <c r="R59" s="327">
        <f>'4th Q Co Share Calculations'!AD62</f>
        <v>6</v>
      </c>
      <c r="S59" s="327">
        <f>'4th Q Co Share Calculations'!AE62</f>
        <v>9</v>
      </c>
      <c r="T59" s="327">
        <f>'4th Q Co Share Calculations'!AF62</f>
        <v>6854</v>
      </c>
      <c r="U59" s="324">
        <f t="shared" si="4"/>
        <v>2210</v>
      </c>
      <c r="V59" s="19">
        <f t="shared" si="10"/>
        <v>40861</v>
      </c>
      <c r="W59" s="163">
        <f t="shared" si="5"/>
        <v>18</v>
      </c>
      <c r="X59" s="163">
        <f t="shared" si="6"/>
        <v>2063</v>
      </c>
      <c r="Y59" s="163">
        <f t="shared" si="11"/>
        <v>813</v>
      </c>
      <c r="Z59" s="163">
        <f t="shared" si="7"/>
        <v>1</v>
      </c>
      <c r="AA59" s="163">
        <f t="shared" si="8"/>
        <v>6</v>
      </c>
      <c r="AB59" s="163">
        <f t="shared" si="9"/>
        <v>9</v>
      </c>
      <c r="AC59" s="163">
        <f t="shared" si="12"/>
        <v>12666</v>
      </c>
      <c r="AD59" s="163">
        <f t="shared" si="13"/>
        <v>58647</v>
      </c>
      <c r="AE59" s="329">
        <f>AD59-'4th Q Co Share Calculations'!BR62</f>
        <v>0</v>
      </c>
    </row>
    <row r="60" spans="1:31">
      <c r="A60" s="322" t="s">
        <v>154</v>
      </c>
      <c r="B60" s="324">
        <f>'4th Q Co Share Calculations'!C63</f>
        <v>0</v>
      </c>
      <c r="C60" s="19">
        <f>'4th Q Co Share Calculations'!D63</f>
        <v>0</v>
      </c>
      <c r="D60" s="243">
        <f>'4th Q Co Share Calculations'!F63</f>
        <v>0</v>
      </c>
      <c r="E60" s="160">
        <f>'4th Q Co Share Calculations'!T63</f>
        <v>0</v>
      </c>
      <c r="F60" s="325"/>
      <c r="G60" s="288"/>
      <c r="H60" s="326"/>
      <c r="I60" s="19">
        <f>'4th Q Co Share Calculations'!AL63+'4th Q Co Share Calculations'!AS63+'4th Q Co Share Calculations'!BG63+'4th Q Co Share Calculations'!AZ63</f>
        <v>12592</v>
      </c>
      <c r="J60" s="19">
        <f>'4th Q Co Share Calculations'!AM63+'4th Q Co Share Calculations'!AT63+'4th Q Co Share Calculations'!BA63</f>
        <v>187</v>
      </c>
      <c r="K60" s="19">
        <f>'4th Q Co Share Calculations'!AN63+'4th Q Co Share Calculations'!AU63+'4th Q Co Share Calculations'!BB63</f>
        <v>1896</v>
      </c>
      <c r="L60" s="327">
        <f>'4th Q Co Share Calculations'!X63</f>
        <v>559</v>
      </c>
      <c r="M60" s="327">
        <f>'4th Q Co Share Calculations'!Y63</f>
        <v>499</v>
      </c>
      <c r="N60" s="327">
        <f>'4th Q Co Share Calculations'!Z63</f>
        <v>4</v>
      </c>
      <c r="O60" s="327">
        <f>'4th Q Co Share Calculations'!AA63</f>
        <v>522</v>
      </c>
      <c r="P60" s="327">
        <f>'4th Q Co Share Calculations'!AB63</f>
        <v>61</v>
      </c>
      <c r="Q60" s="327">
        <f>'4th Q Co Share Calculations'!AC63</f>
        <v>0</v>
      </c>
      <c r="R60" s="327">
        <f>'4th Q Co Share Calculations'!AD63</f>
        <v>1</v>
      </c>
      <c r="S60" s="327">
        <f>'4th Q Co Share Calculations'!AE63</f>
        <v>3</v>
      </c>
      <c r="T60" s="327">
        <f>'4th Q Co Share Calculations'!AF63</f>
        <v>1733</v>
      </c>
      <c r="U60" s="324">
        <f t="shared" si="4"/>
        <v>559</v>
      </c>
      <c r="V60" s="19">
        <f t="shared" si="10"/>
        <v>13091</v>
      </c>
      <c r="W60" s="163">
        <f t="shared" si="5"/>
        <v>4</v>
      </c>
      <c r="X60" s="163">
        <f t="shared" si="6"/>
        <v>522</v>
      </c>
      <c r="Y60" s="163">
        <f t="shared" si="11"/>
        <v>248</v>
      </c>
      <c r="Z60" s="163">
        <f t="shared" si="7"/>
        <v>0</v>
      </c>
      <c r="AA60" s="163">
        <f t="shared" si="8"/>
        <v>1</v>
      </c>
      <c r="AB60" s="163">
        <f t="shared" si="9"/>
        <v>3</v>
      </c>
      <c r="AC60" s="163">
        <f t="shared" si="12"/>
        <v>3629</v>
      </c>
      <c r="AD60" s="163">
        <f t="shared" si="13"/>
        <v>18057</v>
      </c>
      <c r="AE60" s="329">
        <f>AD60-'4th Q Co Share Calculations'!BR63</f>
        <v>0</v>
      </c>
    </row>
    <row r="61" spans="1:31">
      <c r="A61" s="321" t="s">
        <v>1</v>
      </c>
      <c r="B61" s="324">
        <f>'4th Q Co Share Calculations'!C64</f>
        <v>8866</v>
      </c>
      <c r="C61" s="19">
        <f>'4th Q Co Share Calculations'!D64</f>
        <v>180</v>
      </c>
      <c r="D61" s="243">
        <f>'4th Q Co Share Calculations'!F64</f>
        <v>117</v>
      </c>
      <c r="E61" s="160">
        <f>'4th Q Co Share Calculations'!T64</f>
        <v>935</v>
      </c>
      <c r="F61" s="325"/>
      <c r="G61" s="288"/>
      <c r="H61" s="326"/>
      <c r="I61" s="288"/>
      <c r="J61" s="288"/>
      <c r="K61" s="288"/>
      <c r="L61" s="327">
        <f>'4th Q Co Share Calculations'!X64</f>
        <v>323</v>
      </c>
      <c r="M61" s="327">
        <f>'4th Q Co Share Calculations'!Y64</f>
        <v>288</v>
      </c>
      <c r="N61" s="327">
        <f>'4th Q Co Share Calculations'!Z64</f>
        <v>3</v>
      </c>
      <c r="O61" s="327">
        <f>'4th Q Co Share Calculations'!AA64</f>
        <v>301</v>
      </c>
      <c r="P61" s="327">
        <f>'4th Q Co Share Calculations'!AB64</f>
        <v>35</v>
      </c>
      <c r="Q61" s="327">
        <f>'4th Q Co Share Calculations'!AC64</f>
        <v>0</v>
      </c>
      <c r="R61" s="327">
        <f>'4th Q Co Share Calculations'!AD64</f>
        <v>1</v>
      </c>
      <c r="S61" s="327">
        <f>'4th Q Co Share Calculations'!AE64</f>
        <v>1</v>
      </c>
      <c r="T61" s="327">
        <f>'4th Q Co Share Calculations'!AF64</f>
        <v>1001</v>
      </c>
      <c r="U61" s="324">
        <f t="shared" si="4"/>
        <v>323</v>
      </c>
      <c r="V61" s="19">
        <f t="shared" si="10"/>
        <v>10089</v>
      </c>
      <c r="W61" s="163">
        <f t="shared" si="5"/>
        <v>3</v>
      </c>
      <c r="X61" s="163">
        <f t="shared" si="6"/>
        <v>301</v>
      </c>
      <c r="Y61" s="163">
        <f t="shared" si="11"/>
        <v>215</v>
      </c>
      <c r="Z61" s="163">
        <f t="shared" si="7"/>
        <v>0</v>
      </c>
      <c r="AA61" s="163">
        <f t="shared" si="8"/>
        <v>1</v>
      </c>
      <c r="AB61" s="163">
        <f t="shared" si="9"/>
        <v>1</v>
      </c>
      <c r="AC61" s="163">
        <f t="shared" si="12"/>
        <v>1118</v>
      </c>
      <c r="AD61" s="163">
        <f t="shared" si="13"/>
        <v>12051</v>
      </c>
      <c r="AE61" s="329">
        <f>AD61-'4th Q Co Share Calculations'!BR64</f>
        <v>0</v>
      </c>
    </row>
    <row r="62" spans="1:31" ht="5.25" customHeight="1">
      <c r="A62" s="17"/>
      <c r="B62" s="182"/>
      <c r="C62" s="182"/>
      <c r="D62" s="182"/>
      <c r="E62" s="17"/>
      <c r="F62" s="182"/>
      <c r="G62" s="182"/>
      <c r="H62" s="182"/>
      <c r="I62" s="182"/>
      <c r="J62" s="182"/>
      <c r="K62" s="182"/>
      <c r="L62" s="182"/>
      <c r="M62" s="182"/>
      <c r="N62" s="182"/>
      <c r="O62" s="182"/>
      <c r="P62" s="182"/>
      <c r="Q62" s="182"/>
      <c r="R62" s="182"/>
      <c r="S62" s="182"/>
      <c r="T62" s="182"/>
      <c r="U62" s="182"/>
      <c r="V62" s="17"/>
      <c r="W62" s="17"/>
      <c r="X62" s="17"/>
      <c r="Y62" s="17"/>
      <c r="Z62" s="17"/>
      <c r="AA62" s="17"/>
      <c r="AB62" s="17"/>
      <c r="AC62" s="17"/>
      <c r="AD62" s="17"/>
      <c r="AE62" s="329"/>
    </row>
    <row r="63" spans="1:31" ht="13">
      <c r="A63" s="16" t="s">
        <v>0</v>
      </c>
      <c r="B63" s="15">
        <f t="shared" ref="B63:T63" si="14">SUM(B4:B62)</f>
        <v>1055458</v>
      </c>
      <c r="C63" s="15">
        <f t="shared" si="14"/>
        <v>21494</v>
      </c>
      <c r="D63" s="15">
        <f t="shared" si="14"/>
        <v>27177</v>
      </c>
      <c r="E63" s="15">
        <f>SUM(E4:E61)</f>
        <v>176540</v>
      </c>
      <c r="F63" s="15">
        <f t="shared" ca="1" si="14"/>
        <v>710129</v>
      </c>
      <c r="G63" s="15">
        <f t="shared" ca="1" si="14"/>
        <v>13234</v>
      </c>
      <c r="H63" s="15">
        <f t="shared" ca="1" si="14"/>
        <v>389002</v>
      </c>
      <c r="I63" s="15">
        <f t="shared" ref="I63:K63" si="15">SUM(I4:I62)</f>
        <v>938505</v>
      </c>
      <c r="J63" s="15">
        <f t="shared" si="15"/>
        <v>13797</v>
      </c>
      <c r="K63" s="15">
        <f t="shared" si="15"/>
        <v>140385</v>
      </c>
      <c r="L63" s="15">
        <f t="shared" si="14"/>
        <v>124147</v>
      </c>
      <c r="M63" s="15">
        <f t="shared" si="14"/>
        <v>110816</v>
      </c>
      <c r="N63" s="15">
        <f t="shared" si="14"/>
        <v>997</v>
      </c>
      <c r="O63" s="15">
        <f t="shared" si="14"/>
        <v>115912</v>
      </c>
      <c r="P63" s="15">
        <f t="shared" si="14"/>
        <v>13589</v>
      </c>
      <c r="Q63" s="15">
        <f t="shared" si="14"/>
        <v>37</v>
      </c>
      <c r="R63" s="15">
        <f t="shared" si="14"/>
        <v>332</v>
      </c>
      <c r="S63" s="15">
        <f t="shared" si="14"/>
        <v>480</v>
      </c>
      <c r="T63" s="15">
        <f t="shared" si="14"/>
        <v>385102</v>
      </c>
      <c r="U63" s="15">
        <f>SUM(U4:U62)</f>
        <v>124147</v>
      </c>
      <c r="V63" s="15">
        <f ca="1">SUM(V4:V62)</f>
        <v>2991448</v>
      </c>
      <c r="W63" s="15">
        <f t="shared" ref="W63:AD63" si="16">SUM(W4:W62)</f>
        <v>997</v>
      </c>
      <c r="X63" s="15">
        <f t="shared" si="16"/>
        <v>115912</v>
      </c>
      <c r="Y63" s="15">
        <f t="shared" ca="1" si="16"/>
        <v>62114</v>
      </c>
      <c r="Z63" s="15">
        <f t="shared" si="16"/>
        <v>37</v>
      </c>
      <c r="AA63" s="15">
        <f t="shared" si="16"/>
        <v>332</v>
      </c>
      <c r="AB63" s="15">
        <f t="shared" si="16"/>
        <v>480</v>
      </c>
      <c r="AC63" s="15">
        <f t="shared" ca="1" si="16"/>
        <v>941666</v>
      </c>
      <c r="AD63" s="15">
        <f t="shared" ca="1" si="16"/>
        <v>4237133</v>
      </c>
      <c r="AE63" s="329">
        <f ca="1">AD63-'4th Q Co Share Calculations'!BR66</f>
        <v>4237133</v>
      </c>
    </row>
    <row r="64" spans="1:31">
      <c r="B64" s="9"/>
      <c r="C64" s="9"/>
      <c r="D64" s="9"/>
      <c r="E64" s="9"/>
      <c r="F64" s="9"/>
      <c r="G64" s="9"/>
      <c r="H64" s="9"/>
      <c r="I64" s="9"/>
      <c r="J64" s="9"/>
      <c r="K64" s="9"/>
      <c r="L64" s="9"/>
      <c r="M64" s="9"/>
      <c r="N64" s="9"/>
      <c r="O64" s="9"/>
      <c r="P64" s="9"/>
      <c r="Q64" s="9"/>
      <c r="R64" s="9"/>
      <c r="S64" s="9"/>
      <c r="T64" s="9"/>
      <c r="U64" s="838">
        <f>'4th Q Co Share Calculations'!BI65</f>
        <v>124147</v>
      </c>
      <c r="V64" s="838">
        <f ca="1">'4th Q Co Share Calculations'!BJ65</f>
        <v>2991448</v>
      </c>
      <c r="W64" s="838">
        <f>'4th Q Co Share Calculations'!BK65</f>
        <v>997</v>
      </c>
      <c r="X64" s="838">
        <f>'4th Q Co Share Calculations'!BL65</f>
        <v>115912</v>
      </c>
      <c r="Y64" s="838">
        <f ca="1">'4th Q Co Share Calculations'!BM65</f>
        <v>62114</v>
      </c>
      <c r="Z64" s="838">
        <f>'4th Q Co Share Calculations'!BN65</f>
        <v>37</v>
      </c>
      <c r="AA64" s="838">
        <f>'4th Q Co Share Calculations'!BO65</f>
        <v>332</v>
      </c>
      <c r="AB64" s="838">
        <f>'4th Q Co Share Calculations'!BP65</f>
        <v>480</v>
      </c>
      <c r="AC64" s="838">
        <f ca="1">'4th Q Co Share Calculations'!BQ65</f>
        <v>941666</v>
      </c>
      <c r="AD64" s="838">
        <f ca="1">'4th Q Co Share Calculations'!BR65</f>
        <v>4237133</v>
      </c>
    </row>
    <row r="65" spans="1:30" hidden="1">
      <c r="A65" s="14"/>
      <c r="B65" s="14">
        <f>B63-'4th Q Co Share Calculations'!C65</f>
        <v>0</v>
      </c>
      <c r="C65" s="14">
        <f>C63-'4th Q Co Share Calculations'!D65</f>
        <v>0</v>
      </c>
      <c r="D65" s="14">
        <f>D63-'4th Q Co Share Calculations'!F65</f>
        <v>0</v>
      </c>
      <c r="E65" s="14" t="e">
        <f>E63-'4th Q Co Share Calculations'!#REF!-'4th Q Co Share Calculations'!T65</f>
        <v>#REF!</v>
      </c>
      <c r="F65" s="14">
        <f ca="1">F63-'4th Q Co Share Calculations'!L65</f>
        <v>0</v>
      </c>
      <c r="G65" s="14">
        <f ca="1">G63-'4th Q Co Share Calculations'!M65</f>
        <v>0</v>
      </c>
      <c r="H65" s="14">
        <f ca="1">H63-'4th Q Co Share Calculations'!N65</f>
        <v>0</v>
      </c>
      <c r="I65" s="14">
        <f ca="1">I63-'4th Q Co Share Calculations'!O65</f>
        <v>-173860</v>
      </c>
      <c r="J65" s="14">
        <f>J63-'4th Q Co Share Calculations'!P65</f>
        <v>13797</v>
      </c>
      <c r="K65" s="14" t="e">
        <f>K63-'4th Q Co Share Calculations'!#REF!</f>
        <v>#REF!</v>
      </c>
      <c r="L65" s="14"/>
      <c r="M65" s="14"/>
      <c r="N65" s="14"/>
      <c r="O65" s="14"/>
      <c r="P65" s="14"/>
      <c r="Q65" s="14"/>
      <c r="R65" s="14"/>
      <c r="S65" s="14"/>
      <c r="T65" s="14"/>
      <c r="U65" s="838"/>
      <c r="V65" s="838"/>
      <c r="W65" s="838"/>
      <c r="X65" s="838"/>
      <c r="Y65" s="838"/>
      <c r="Z65" s="838"/>
      <c r="AA65" s="838"/>
      <c r="AB65" s="838"/>
      <c r="AC65" s="838"/>
      <c r="AD65" s="838">
        <f ca="1">AD63-'4th Q Co Share Calculations'!BR65</f>
        <v>0</v>
      </c>
    </row>
    <row r="66" spans="1:30">
      <c r="B66" s="13"/>
      <c r="C66" s="13"/>
      <c r="D66" s="13"/>
      <c r="E66" s="13"/>
      <c r="F66" s="13"/>
      <c r="G66" s="13"/>
      <c r="H66" s="13"/>
      <c r="I66" s="13"/>
      <c r="J66" s="13"/>
      <c r="K66" s="13"/>
      <c r="L66" s="13"/>
      <c r="M66" s="13"/>
      <c r="N66" s="13"/>
      <c r="O66" s="13"/>
      <c r="P66" s="13"/>
      <c r="Q66" s="13"/>
      <c r="R66" s="13"/>
      <c r="S66" s="13"/>
      <c r="T66" s="13"/>
      <c r="U66" s="838"/>
      <c r="V66" s="838"/>
      <c r="W66" s="838"/>
      <c r="X66" s="838"/>
      <c r="Y66" s="838"/>
      <c r="Z66" s="838"/>
      <c r="AA66" s="838"/>
      <c r="AB66" s="838"/>
      <c r="AC66" s="838"/>
      <c r="AD66" s="838"/>
    </row>
    <row r="67" spans="1:30">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70" spans="1:30">
      <c r="AD70" s="12"/>
    </row>
    <row r="74" spans="1:30">
      <c r="B74" s="12"/>
      <c r="C74" s="12"/>
      <c r="D74" s="9"/>
      <c r="E74" s="9"/>
      <c r="F74" s="9"/>
      <c r="G74" s="9"/>
      <c r="H74" s="9"/>
      <c r="I74" s="9"/>
      <c r="J74" s="9"/>
      <c r="K74" s="9"/>
      <c r="L74" s="9"/>
      <c r="M74" s="9"/>
      <c r="N74" s="9"/>
      <c r="O74" s="9"/>
      <c r="P74" s="9"/>
      <c r="Q74" s="9"/>
      <c r="R74" s="9"/>
      <c r="S74" s="9"/>
      <c r="T74" s="9"/>
      <c r="U74" s="9"/>
      <c r="V74" s="9"/>
      <c r="W74" s="9"/>
      <c r="X74" s="9"/>
      <c r="Y74" s="9"/>
      <c r="Z74" s="9"/>
      <c r="AA74" s="9"/>
      <c r="AB74" s="9"/>
      <c r="AC74" s="9"/>
      <c r="AD74" s="12"/>
    </row>
    <row r="75" spans="1:30" ht="13">
      <c r="A75" s="11"/>
      <c r="D75" s="9"/>
      <c r="E75" s="9"/>
      <c r="F75" s="9"/>
      <c r="G75" s="9"/>
      <c r="H75" s="9"/>
      <c r="I75" s="9"/>
      <c r="J75" s="9"/>
      <c r="K75" s="9"/>
      <c r="L75" s="9"/>
      <c r="M75" s="9"/>
      <c r="N75" s="9"/>
      <c r="O75" s="9"/>
      <c r="P75" s="9"/>
      <c r="Q75" s="9"/>
      <c r="R75" s="9"/>
      <c r="S75" s="9"/>
      <c r="T75" s="9"/>
      <c r="U75" s="9"/>
      <c r="V75" s="9"/>
      <c r="W75" s="9"/>
      <c r="X75" s="9"/>
      <c r="Y75" s="9"/>
      <c r="Z75" s="9"/>
      <c r="AA75" s="9"/>
      <c r="AB75" s="9"/>
      <c r="AC75" s="9"/>
    </row>
    <row r="76" spans="1:30">
      <c r="A76" s="10"/>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1:30">
      <c r="A77" s="10"/>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30">
      <c r="A78" s="10"/>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ht="13">
      <c r="B79" s="8"/>
      <c r="C79" s="8"/>
      <c r="D79" s="9"/>
      <c r="E79" s="9"/>
      <c r="F79" s="9"/>
      <c r="G79" s="9"/>
      <c r="H79" s="9"/>
      <c r="I79" s="9"/>
      <c r="J79" s="9"/>
      <c r="K79" s="9"/>
      <c r="L79" s="9"/>
      <c r="M79" s="9"/>
      <c r="N79" s="9"/>
      <c r="O79" s="9"/>
      <c r="P79" s="9"/>
      <c r="Q79" s="9"/>
      <c r="R79" s="9"/>
      <c r="S79" s="9"/>
      <c r="T79" s="9"/>
      <c r="U79" s="9"/>
      <c r="V79" s="9"/>
      <c r="W79" s="9"/>
      <c r="X79" s="9"/>
      <c r="Y79" s="9"/>
      <c r="Z79" s="9"/>
      <c r="AA79" s="9"/>
      <c r="AB79" s="9"/>
      <c r="AC79" s="9"/>
      <c r="AD79" s="8"/>
    </row>
    <row r="80" spans="1:30">
      <c r="D80" s="9"/>
      <c r="E80" s="9"/>
      <c r="F80" s="9"/>
      <c r="G80" s="9"/>
      <c r="H80" s="9"/>
      <c r="I80" s="9"/>
      <c r="J80" s="9"/>
      <c r="K80" s="9"/>
      <c r="L80" s="9"/>
      <c r="M80" s="9"/>
      <c r="N80" s="9"/>
      <c r="O80" s="9"/>
      <c r="P80" s="9"/>
      <c r="Q80" s="9"/>
      <c r="R80" s="9"/>
      <c r="S80" s="9"/>
      <c r="T80" s="9"/>
      <c r="U80" s="9"/>
      <c r="V80" s="9"/>
      <c r="W80" s="9"/>
      <c r="X80" s="9"/>
      <c r="Y80" s="9"/>
      <c r="Z80" s="9"/>
      <c r="AA80" s="9"/>
      <c r="AB80" s="9"/>
      <c r="AC80" s="9"/>
    </row>
    <row r="81" spans="1:30" ht="13">
      <c r="A81" s="11"/>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30" ht="13">
      <c r="A82" s="10"/>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9"/>
    </row>
    <row r="83" spans="1:30" ht="13">
      <c r="A83" s="10"/>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9"/>
    </row>
    <row r="84" spans="1:30" ht="13">
      <c r="A84" s="10"/>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9"/>
    </row>
    <row r="85" spans="1:30" ht="13">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7" spans="1:30" ht="13">
      <c r="A87" s="7"/>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3">
      <c r="A88" s="6"/>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3">
      <c r="A89" s="6"/>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3">
      <c r="A90" s="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3">
      <c r="A91" s="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sheetData>
  <mergeCells count="6">
    <mergeCell ref="B2:D2"/>
    <mergeCell ref="F2:H2"/>
    <mergeCell ref="A1:AD1"/>
    <mergeCell ref="I2:K2"/>
    <mergeCell ref="L2:T2"/>
    <mergeCell ref="U2:AC2"/>
  </mergeCells>
  <conditionalFormatting sqref="A65:AD65">
    <cfRule type="cellIs" dxfId="35" priority="8" operator="lessThan">
      <formula>0</formula>
    </cfRule>
    <cfRule type="cellIs" dxfId="34" priority="9" operator="greaterThan">
      <formula>0</formula>
    </cfRule>
  </conditionalFormatting>
  <printOptions horizontalCentered="1"/>
  <pageMargins left="0.25" right="0.25" top="1.03" bottom="1" header="0.5" footer="0.5"/>
  <pageSetup scale="56" orientation="landscape" r:id="rId1"/>
  <headerFooter alignWithMargins="0">
    <oddHeader>&amp;C&amp;"Arial,Bold"&amp;12QUARTERLY COUNTY SHARE SUMMARY</oddHeader>
    <oddFooter>&amp;CPage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tint="0.59999389629810485"/>
    <pageSetUpPr fitToPage="1"/>
  </sheetPr>
  <dimension ref="A1:P104"/>
  <sheetViews>
    <sheetView zoomScaleNormal="100" workbookViewId="0">
      <pane xSplit="4" ySplit="3" topLeftCell="E73" activePane="bottomRight" state="frozen"/>
      <selection pane="topRight" activeCell="E1" sqref="E1"/>
      <selection pane="bottomLeft" activeCell="A4" sqref="A4"/>
      <selection pane="bottomRight"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11" width="12.7265625" style="1" customWidth="1"/>
    <col min="12" max="12" width="9.1796875" style="1"/>
    <col min="13" max="16" width="11.54296875" style="1" customWidth="1"/>
    <col min="17" max="16384" width="9.1796875" style="1"/>
  </cols>
  <sheetData>
    <row r="1" spans="1:16" ht="14">
      <c r="A1" s="999" t="s">
        <v>313</v>
      </c>
      <c r="B1" s="999"/>
      <c r="C1" s="999"/>
      <c r="D1" s="999"/>
      <c r="E1" s="999"/>
      <c r="F1" s="999"/>
      <c r="G1" s="999"/>
      <c r="H1" s="999"/>
      <c r="I1" s="999"/>
      <c r="J1" s="999"/>
      <c r="K1" s="999"/>
    </row>
    <row r="2" spans="1:16" ht="12.75" customHeight="1"/>
    <row r="3" spans="1:16" ht="42.75" customHeight="1">
      <c r="A3" s="848" t="s">
        <v>44</v>
      </c>
      <c r="B3" s="848" t="s">
        <v>68</v>
      </c>
      <c r="C3" s="848" t="s">
        <v>67</v>
      </c>
      <c r="D3" s="848" t="s">
        <v>66</v>
      </c>
      <c r="E3" s="848" t="s">
        <v>216</v>
      </c>
      <c r="F3" s="848" t="s">
        <v>48</v>
      </c>
      <c r="G3" s="848" t="s">
        <v>65</v>
      </c>
      <c r="H3" s="848" t="s">
        <v>64</v>
      </c>
      <c r="I3" s="848" t="s">
        <v>63</v>
      </c>
      <c r="J3" s="853" t="s">
        <v>62</v>
      </c>
      <c r="K3" s="848" t="s">
        <v>61</v>
      </c>
      <c r="M3" s="140" t="s">
        <v>43</v>
      </c>
      <c r="N3" s="24" t="s">
        <v>42</v>
      </c>
      <c r="O3" s="24" t="s">
        <v>138</v>
      </c>
      <c r="P3" s="24" t="s">
        <v>60</v>
      </c>
    </row>
    <row r="4" spans="1:16" ht="12.75" customHeight="1">
      <c r="A4" s="560" t="s">
        <v>171</v>
      </c>
      <c r="B4" s="655">
        <v>43922</v>
      </c>
      <c r="C4" s="656">
        <v>0</v>
      </c>
      <c r="D4" s="655">
        <v>43952</v>
      </c>
      <c r="E4" s="822">
        <v>0</v>
      </c>
      <c r="F4" s="797">
        <v>0</v>
      </c>
      <c r="G4" s="267">
        <v>0</v>
      </c>
      <c r="H4" s="267">
        <v>0</v>
      </c>
      <c r="I4" s="267">
        <v>0</v>
      </c>
      <c r="J4" s="267">
        <v>0</v>
      </c>
      <c r="K4" s="267">
        <v>0</v>
      </c>
      <c r="M4" s="65">
        <v>0</v>
      </c>
      <c r="N4" s="877">
        <v>0</v>
      </c>
      <c r="O4" s="777">
        <v>0</v>
      </c>
      <c r="P4" s="792">
        <v>0</v>
      </c>
    </row>
    <row r="5" spans="1:16" ht="12.75" customHeight="1">
      <c r="A5" s="560" t="s">
        <v>170</v>
      </c>
      <c r="B5" s="655">
        <v>43922</v>
      </c>
      <c r="C5" s="656">
        <v>0</v>
      </c>
      <c r="D5" s="655">
        <v>43952</v>
      </c>
      <c r="E5" s="822">
        <v>0</v>
      </c>
      <c r="F5" s="797">
        <v>0</v>
      </c>
      <c r="G5" s="267">
        <v>0</v>
      </c>
      <c r="H5" s="267">
        <v>0</v>
      </c>
      <c r="I5" s="267">
        <v>0</v>
      </c>
      <c r="J5" s="267">
        <v>0</v>
      </c>
      <c r="K5" s="267">
        <v>0</v>
      </c>
      <c r="M5" s="65">
        <v>0</v>
      </c>
      <c r="N5" s="877">
        <v>0</v>
      </c>
      <c r="O5" s="777">
        <v>0</v>
      </c>
      <c r="P5" s="792">
        <v>0</v>
      </c>
    </row>
    <row r="6" spans="1:16" ht="12.75" customHeight="1">
      <c r="A6" s="560" t="s">
        <v>169</v>
      </c>
      <c r="B6" s="655">
        <v>43922</v>
      </c>
      <c r="C6" s="656">
        <v>0</v>
      </c>
      <c r="D6" s="655">
        <v>43952</v>
      </c>
      <c r="E6" s="822">
        <v>0</v>
      </c>
      <c r="F6" s="797">
        <v>0</v>
      </c>
      <c r="G6" s="267">
        <v>0</v>
      </c>
      <c r="H6" s="267">
        <v>0</v>
      </c>
      <c r="I6" s="267">
        <v>0</v>
      </c>
      <c r="J6" s="267">
        <v>0</v>
      </c>
      <c r="K6" s="267">
        <v>0</v>
      </c>
      <c r="M6" s="65">
        <v>0</v>
      </c>
      <c r="N6" s="877">
        <v>0</v>
      </c>
      <c r="O6" s="777">
        <v>0</v>
      </c>
      <c r="P6" s="792">
        <v>0</v>
      </c>
    </row>
    <row r="7" spans="1:16" ht="12.75" customHeight="1">
      <c r="A7" s="560" t="s">
        <v>168</v>
      </c>
      <c r="B7" s="655">
        <v>43922</v>
      </c>
      <c r="C7" s="656">
        <v>0</v>
      </c>
      <c r="D7" s="655">
        <v>43952</v>
      </c>
      <c r="E7" s="822">
        <v>0</v>
      </c>
      <c r="F7" s="797">
        <v>0</v>
      </c>
      <c r="G7" s="267">
        <v>0</v>
      </c>
      <c r="H7" s="267">
        <v>0</v>
      </c>
      <c r="I7" s="267">
        <v>0</v>
      </c>
      <c r="J7" s="267">
        <v>0</v>
      </c>
      <c r="K7" s="267">
        <v>0</v>
      </c>
      <c r="M7" s="65">
        <v>0</v>
      </c>
      <c r="N7" s="877">
        <v>0</v>
      </c>
      <c r="O7" s="777">
        <v>0</v>
      </c>
      <c r="P7" s="792">
        <v>0</v>
      </c>
    </row>
    <row r="8" spans="1:16" ht="12.75" customHeight="1">
      <c r="A8" s="560" t="s">
        <v>167</v>
      </c>
      <c r="B8" s="655">
        <v>43922</v>
      </c>
      <c r="C8" s="656">
        <v>0</v>
      </c>
      <c r="D8" s="655">
        <v>43952</v>
      </c>
      <c r="E8" s="822">
        <v>0</v>
      </c>
      <c r="F8" s="797">
        <v>0</v>
      </c>
      <c r="G8" s="267">
        <v>0</v>
      </c>
      <c r="H8" s="267">
        <v>0</v>
      </c>
      <c r="I8" s="267">
        <v>0</v>
      </c>
      <c r="J8" s="267">
        <v>0</v>
      </c>
      <c r="K8" s="267">
        <v>0</v>
      </c>
      <c r="M8" s="65">
        <v>0</v>
      </c>
      <c r="N8" s="877">
        <v>0</v>
      </c>
      <c r="O8" s="777">
        <v>0</v>
      </c>
      <c r="P8" s="792">
        <v>0</v>
      </c>
    </row>
    <row r="9" spans="1:16" ht="12.75" customHeight="1">
      <c r="A9" s="560" t="s">
        <v>166</v>
      </c>
      <c r="B9" s="655">
        <v>43922</v>
      </c>
      <c r="C9" s="656">
        <v>0</v>
      </c>
      <c r="D9" s="655">
        <v>43952</v>
      </c>
      <c r="E9" s="822">
        <v>0</v>
      </c>
      <c r="F9" s="797">
        <v>0</v>
      </c>
      <c r="G9" s="267">
        <v>0</v>
      </c>
      <c r="H9" s="267">
        <v>0</v>
      </c>
      <c r="I9" s="267">
        <v>0</v>
      </c>
      <c r="J9" s="267">
        <v>0</v>
      </c>
      <c r="K9" s="267">
        <v>0</v>
      </c>
      <c r="M9" s="65">
        <v>0</v>
      </c>
      <c r="N9" s="877">
        <v>0</v>
      </c>
      <c r="O9" s="777">
        <v>0</v>
      </c>
      <c r="P9" s="792">
        <v>0</v>
      </c>
    </row>
    <row r="10" spans="1:16" ht="12.75" customHeight="1">
      <c r="A10" s="560" t="s">
        <v>11</v>
      </c>
      <c r="B10" s="655">
        <v>43922</v>
      </c>
      <c r="C10" s="656">
        <v>0</v>
      </c>
      <c r="D10" s="655">
        <v>43952</v>
      </c>
      <c r="E10" s="822">
        <v>385239</v>
      </c>
      <c r="F10" s="797">
        <v>385239</v>
      </c>
      <c r="G10" s="267">
        <v>288929</v>
      </c>
      <c r="H10" s="267">
        <v>0</v>
      </c>
      <c r="I10" s="267">
        <v>96310</v>
      </c>
      <c r="J10" s="267">
        <v>0</v>
      </c>
      <c r="K10" s="267">
        <v>0</v>
      </c>
      <c r="M10" s="65">
        <v>0</v>
      </c>
      <c r="N10" s="877">
        <v>0</v>
      </c>
      <c r="O10" s="777">
        <v>0</v>
      </c>
      <c r="P10" s="792">
        <v>0</v>
      </c>
    </row>
    <row r="11" spans="1:16" ht="12.75" customHeight="1">
      <c r="A11" s="560" t="s">
        <v>165</v>
      </c>
      <c r="B11" s="655">
        <v>43922</v>
      </c>
      <c r="C11" s="656">
        <v>0</v>
      </c>
      <c r="D11" s="655">
        <v>43952</v>
      </c>
      <c r="E11" s="822">
        <v>0</v>
      </c>
      <c r="F11" s="797">
        <v>0</v>
      </c>
      <c r="G11" s="267">
        <v>0</v>
      </c>
      <c r="H11" s="267">
        <v>0</v>
      </c>
      <c r="I11" s="267">
        <v>0</v>
      </c>
      <c r="J11" s="267">
        <v>0</v>
      </c>
      <c r="K11" s="267">
        <v>0</v>
      </c>
      <c r="M11" s="65">
        <v>0</v>
      </c>
      <c r="N11" s="877">
        <v>0</v>
      </c>
      <c r="O11" s="777">
        <v>0</v>
      </c>
      <c r="P11" s="792">
        <v>0</v>
      </c>
    </row>
    <row r="12" spans="1:16" ht="12.75" customHeight="1">
      <c r="A12" s="560" t="s">
        <v>164</v>
      </c>
      <c r="B12" s="655">
        <v>43739</v>
      </c>
      <c r="C12" s="656">
        <v>1</v>
      </c>
      <c r="D12" s="655">
        <v>43952</v>
      </c>
      <c r="E12" s="822">
        <v>0</v>
      </c>
      <c r="F12" s="797">
        <v>0</v>
      </c>
      <c r="G12" s="267">
        <v>0</v>
      </c>
      <c r="H12" s="267">
        <v>0</v>
      </c>
      <c r="I12" s="267">
        <v>0</v>
      </c>
      <c r="J12" s="267">
        <v>0</v>
      </c>
      <c r="K12" s="267">
        <v>0</v>
      </c>
      <c r="M12" s="65">
        <v>0</v>
      </c>
      <c r="N12" s="877">
        <v>0</v>
      </c>
      <c r="O12" s="777">
        <v>0</v>
      </c>
      <c r="P12" s="792">
        <v>0</v>
      </c>
    </row>
    <row r="13" spans="1:16" ht="12.75" customHeight="1">
      <c r="A13" s="560" t="s">
        <v>164</v>
      </c>
      <c r="B13" s="655">
        <v>43922</v>
      </c>
      <c r="C13" s="656">
        <v>0</v>
      </c>
      <c r="D13" s="655">
        <v>43952</v>
      </c>
      <c r="E13" s="822">
        <v>0</v>
      </c>
      <c r="F13" s="797">
        <v>0</v>
      </c>
      <c r="G13" s="267">
        <v>0</v>
      </c>
      <c r="H13" s="267">
        <v>0</v>
      </c>
      <c r="I13" s="267">
        <v>0</v>
      </c>
      <c r="J13" s="267">
        <v>0</v>
      </c>
      <c r="K13" s="267">
        <v>0</v>
      </c>
      <c r="M13" s="65">
        <v>0</v>
      </c>
      <c r="N13" s="877">
        <v>0</v>
      </c>
      <c r="O13" s="777">
        <v>0</v>
      </c>
      <c r="P13" s="792">
        <v>0</v>
      </c>
    </row>
    <row r="14" spans="1:16" ht="12.75" customHeight="1">
      <c r="A14" s="560" t="s">
        <v>163</v>
      </c>
      <c r="B14" s="655">
        <v>43922</v>
      </c>
      <c r="C14" s="345">
        <v>0</v>
      </c>
      <c r="D14" s="655">
        <v>43952</v>
      </c>
      <c r="E14" s="822">
        <v>0</v>
      </c>
      <c r="F14" s="797">
        <v>0</v>
      </c>
      <c r="G14" s="267">
        <v>0</v>
      </c>
      <c r="H14" s="267">
        <v>0</v>
      </c>
      <c r="I14" s="267">
        <v>0</v>
      </c>
      <c r="J14" s="267">
        <v>0</v>
      </c>
      <c r="K14" s="267">
        <v>0</v>
      </c>
      <c r="M14" s="65">
        <v>0</v>
      </c>
      <c r="N14" s="877">
        <v>0</v>
      </c>
      <c r="O14" s="777">
        <v>0</v>
      </c>
      <c r="P14" s="792">
        <v>0</v>
      </c>
    </row>
    <row r="15" spans="1:16" ht="12.75" customHeight="1">
      <c r="A15" s="560" t="s">
        <v>162</v>
      </c>
      <c r="B15" s="655">
        <v>43922</v>
      </c>
      <c r="C15" s="345">
        <v>0</v>
      </c>
      <c r="D15" s="655">
        <v>43952</v>
      </c>
      <c r="E15" s="822">
        <v>0</v>
      </c>
      <c r="F15" s="797">
        <v>0</v>
      </c>
      <c r="G15" s="267">
        <v>0</v>
      </c>
      <c r="H15" s="267">
        <v>0</v>
      </c>
      <c r="I15" s="267">
        <v>0</v>
      </c>
      <c r="J15" s="267">
        <v>0</v>
      </c>
      <c r="K15" s="267">
        <v>0</v>
      </c>
      <c r="M15" s="65">
        <v>0</v>
      </c>
      <c r="N15" s="877">
        <v>0</v>
      </c>
      <c r="O15" s="777">
        <v>0</v>
      </c>
      <c r="P15" s="792">
        <v>0</v>
      </c>
    </row>
    <row r="16" spans="1:16" ht="12.75" customHeight="1">
      <c r="A16" s="560" t="s">
        <v>161</v>
      </c>
      <c r="B16" s="655">
        <v>43922</v>
      </c>
      <c r="C16" s="345">
        <v>0</v>
      </c>
      <c r="D16" s="655">
        <v>43952</v>
      </c>
      <c r="E16" s="822">
        <v>0</v>
      </c>
      <c r="F16" s="797">
        <v>0</v>
      </c>
      <c r="G16" s="267">
        <v>0</v>
      </c>
      <c r="H16" s="267">
        <v>0</v>
      </c>
      <c r="I16" s="267">
        <v>0</v>
      </c>
      <c r="J16" s="267">
        <v>0</v>
      </c>
      <c r="K16" s="267">
        <v>0</v>
      </c>
      <c r="M16" s="65">
        <v>0</v>
      </c>
      <c r="N16" s="877">
        <v>0</v>
      </c>
      <c r="O16" s="777">
        <v>0</v>
      </c>
      <c r="P16" s="792">
        <v>0</v>
      </c>
    </row>
    <row r="17" spans="1:16" ht="12.75" customHeight="1">
      <c r="A17" s="560" t="s">
        <v>160</v>
      </c>
      <c r="B17" s="655">
        <v>44105</v>
      </c>
      <c r="C17" s="345">
        <v>2</v>
      </c>
      <c r="D17" s="655">
        <v>43952</v>
      </c>
      <c r="E17" s="822">
        <v>0</v>
      </c>
      <c r="F17" s="797">
        <v>0</v>
      </c>
      <c r="G17" s="267">
        <v>0</v>
      </c>
      <c r="H17" s="267">
        <v>0</v>
      </c>
      <c r="I17" s="267">
        <v>0</v>
      </c>
      <c r="J17" s="267">
        <v>0</v>
      </c>
      <c r="K17" s="267">
        <v>0</v>
      </c>
      <c r="M17" s="65">
        <v>0</v>
      </c>
      <c r="N17" s="877">
        <v>0</v>
      </c>
      <c r="O17" s="777">
        <v>0</v>
      </c>
      <c r="P17" s="792">
        <v>0</v>
      </c>
    </row>
    <row r="18" spans="1:16" ht="12.75" customHeight="1">
      <c r="A18" s="560" t="s">
        <v>160</v>
      </c>
      <c r="B18" s="655">
        <v>44136</v>
      </c>
      <c r="C18" s="345">
        <v>2</v>
      </c>
      <c r="D18" s="655">
        <v>43952</v>
      </c>
      <c r="E18" s="822">
        <v>0</v>
      </c>
      <c r="F18" s="797">
        <v>0</v>
      </c>
      <c r="G18" s="267">
        <v>0</v>
      </c>
      <c r="H18" s="267">
        <v>0</v>
      </c>
      <c r="I18" s="267">
        <v>0</v>
      </c>
      <c r="J18" s="267">
        <v>0</v>
      </c>
      <c r="K18" s="267">
        <v>0</v>
      </c>
      <c r="M18" s="65">
        <v>0</v>
      </c>
      <c r="N18" s="877">
        <v>0</v>
      </c>
      <c r="O18" s="777">
        <v>0</v>
      </c>
      <c r="P18" s="792">
        <v>0</v>
      </c>
    </row>
    <row r="19" spans="1:16" ht="12.75" customHeight="1">
      <c r="A19" s="560" t="s">
        <v>160</v>
      </c>
      <c r="B19" s="655">
        <v>44166</v>
      </c>
      <c r="C19" s="345">
        <v>2</v>
      </c>
      <c r="D19" s="655">
        <v>43952</v>
      </c>
      <c r="E19" s="822">
        <v>0</v>
      </c>
      <c r="F19" s="797">
        <v>0</v>
      </c>
      <c r="G19" s="267">
        <v>0</v>
      </c>
      <c r="H19" s="267">
        <v>0</v>
      </c>
      <c r="I19" s="267">
        <v>0</v>
      </c>
      <c r="J19" s="267">
        <v>0</v>
      </c>
      <c r="K19" s="267">
        <v>0</v>
      </c>
      <c r="M19" s="65">
        <v>0</v>
      </c>
      <c r="N19" s="877">
        <v>0</v>
      </c>
      <c r="O19" s="777">
        <v>0</v>
      </c>
      <c r="P19" s="792">
        <v>0</v>
      </c>
    </row>
    <row r="20" spans="1:16" ht="12.75" customHeight="1">
      <c r="A20" s="560" t="s">
        <v>160</v>
      </c>
      <c r="B20" s="655">
        <v>43831</v>
      </c>
      <c r="C20" s="656">
        <v>2</v>
      </c>
      <c r="D20" s="655">
        <v>43952</v>
      </c>
      <c r="E20" s="822">
        <v>0</v>
      </c>
      <c r="F20" s="797">
        <v>0</v>
      </c>
      <c r="G20" s="267">
        <v>0</v>
      </c>
      <c r="H20" s="267">
        <v>0</v>
      </c>
      <c r="I20" s="267">
        <v>0</v>
      </c>
      <c r="J20" s="267">
        <v>0</v>
      </c>
      <c r="K20" s="267">
        <v>0</v>
      </c>
      <c r="M20" s="65">
        <v>0</v>
      </c>
      <c r="N20" s="877">
        <v>0</v>
      </c>
      <c r="O20" s="777">
        <v>0</v>
      </c>
      <c r="P20" s="792">
        <v>0</v>
      </c>
    </row>
    <row r="21" spans="1:16" ht="12.75" customHeight="1">
      <c r="A21" s="560" t="s">
        <v>160</v>
      </c>
      <c r="B21" s="655">
        <v>43862</v>
      </c>
      <c r="C21" s="656">
        <v>2</v>
      </c>
      <c r="D21" s="655">
        <v>43952</v>
      </c>
      <c r="E21" s="822">
        <v>0</v>
      </c>
      <c r="F21" s="797">
        <v>0</v>
      </c>
      <c r="G21" s="342">
        <v>0</v>
      </c>
      <c r="H21" s="342">
        <v>0</v>
      </c>
      <c r="I21" s="342">
        <v>0</v>
      </c>
      <c r="J21" s="342">
        <v>0</v>
      </c>
      <c r="K21" s="342">
        <v>0</v>
      </c>
      <c r="M21" s="65">
        <v>0</v>
      </c>
      <c r="N21" s="877">
        <v>0</v>
      </c>
      <c r="O21" s="777">
        <v>0</v>
      </c>
      <c r="P21" s="792">
        <v>0</v>
      </c>
    </row>
    <row r="22" spans="1:16" ht="12.75" customHeight="1">
      <c r="A22" s="560" t="s">
        <v>160</v>
      </c>
      <c r="B22" s="655">
        <v>43891</v>
      </c>
      <c r="C22" s="345">
        <v>1</v>
      </c>
      <c r="D22" s="655">
        <v>43952</v>
      </c>
      <c r="E22" s="822">
        <v>0</v>
      </c>
      <c r="F22" s="797">
        <v>0</v>
      </c>
      <c r="G22" s="267">
        <v>0</v>
      </c>
      <c r="H22" s="267">
        <v>0</v>
      </c>
      <c r="I22" s="267">
        <v>0</v>
      </c>
      <c r="J22" s="267">
        <v>0</v>
      </c>
      <c r="K22" s="267">
        <v>0</v>
      </c>
      <c r="M22" s="65">
        <v>0</v>
      </c>
      <c r="N22" s="877">
        <v>0</v>
      </c>
      <c r="O22" s="777">
        <v>0</v>
      </c>
      <c r="P22" s="792">
        <v>0</v>
      </c>
    </row>
    <row r="23" spans="1:16" ht="12.75" customHeight="1">
      <c r="A23" s="560" t="s">
        <v>160</v>
      </c>
      <c r="B23" s="655">
        <v>43922</v>
      </c>
      <c r="C23" s="656">
        <v>0</v>
      </c>
      <c r="D23" s="655">
        <v>43952</v>
      </c>
      <c r="E23" s="822">
        <v>0</v>
      </c>
      <c r="F23" s="797">
        <v>0</v>
      </c>
      <c r="G23" s="267">
        <v>0</v>
      </c>
      <c r="H23" s="267">
        <v>0</v>
      </c>
      <c r="I23" s="267">
        <v>0</v>
      </c>
      <c r="J23" s="267">
        <v>0</v>
      </c>
      <c r="K23" s="267">
        <v>0</v>
      </c>
      <c r="M23" s="65">
        <v>0</v>
      </c>
      <c r="N23" s="877">
        <v>0</v>
      </c>
      <c r="O23" s="777">
        <v>0</v>
      </c>
      <c r="P23" s="792">
        <v>0</v>
      </c>
    </row>
    <row r="24" spans="1:16" ht="12.75" customHeight="1">
      <c r="A24" s="560" t="s">
        <v>159</v>
      </c>
      <c r="B24" s="655">
        <v>43922</v>
      </c>
      <c r="C24" s="656">
        <v>0</v>
      </c>
      <c r="D24" s="655">
        <v>43952</v>
      </c>
      <c r="E24" s="822">
        <v>0</v>
      </c>
      <c r="F24" s="797">
        <v>0</v>
      </c>
      <c r="G24" s="267">
        <v>0</v>
      </c>
      <c r="H24" s="267">
        <v>0</v>
      </c>
      <c r="I24" s="267">
        <v>0</v>
      </c>
      <c r="J24" s="267">
        <v>0</v>
      </c>
      <c r="K24" s="267">
        <v>0</v>
      </c>
      <c r="M24" s="65">
        <v>0</v>
      </c>
      <c r="N24" s="877">
        <v>0</v>
      </c>
      <c r="O24" s="777">
        <v>0</v>
      </c>
      <c r="P24" s="792">
        <v>0</v>
      </c>
    </row>
    <row r="25" spans="1:16" ht="12.75" customHeight="1">
      <c r="A25" s="560" t="s">
        <v>158</v>
      </c>
      <c r="B25" s="655">
        <v>43922</v>
      </c>
      <c r="C25" s="656">
        <v>0</v>
      </c>
      <c r="D25" s="655">
        <v>43952</v>
      </c>
      <c r="E25" s="822">
        <v>0</v>
      </c>
      <c r="F25" s="797">
        <v>0</v>
      </c>
      <c r="G25" s="342">
        <v>0</v>
      </c>
      <c r="H25" s="342">
        <v>0</v>
      </c>
      <c r="I25" s="342">
        <v>0</v>
      </c>
      <c r="J25" s="342">
        <v>0</v>
      </c>
      <c r="K25" s="342">
        <v>0</v>
      </c>
      <c r="M25" s="65">
        <v>0</v>
      </c>
      <c r="N25" s="877">
        <v>0</v>
      </c>
      <c r="O25" s="777">
        <v>0</v>
      </c>
      <c r="P25" s="792">
        <v>0</v>
      </c>
    </row>
    <row r="26" spans="1:16" ht="12.75" customHeight="1">
      <c r="A26" s="560" t="s">
        <v>157</v>
      </c>
      <c r="B26" s="655">
        <v>43922</v>
      </c>
      <c r="C26" s="656">
        <v>0</v>
      </c>
      <c r="D26" s="655">
        <v>43952</v>
      </c>
      <c r="E26" s="822">
        <v>0</v>
      </c>
      <c r="F26" s="797">
        <v>0</v>
      </c>
      <c r="G26" s="267">
        <v>0</v>
      </c>
      <c r="H26" s="267">
        <v>0</v>
      </c>
      <c r="I26" s="267">
        <v>0</v>
      </c>
      <c r="J26" s="267">
        <v>0</v>
      </c>
      <c r="K26" s="267">
        <v>0</v>
      </c>
      <c r="M26" s="65">
        <v>0</v>
      </c>
      <c r="N26" s="877">
        <v>0</v>
      </c>
      <c r="O26" s="777">
        <v>0</v>
      </c>
      <c r="P26" s="792">
        <v>0</v>
      </c>
    </row>
    <row r="27" spans="1:16" ht="12.75" customHeight="1">
      <c r="A27" s="560" t="s">
        <v>156</v>
      </c>
      <c r="B27" s="655">
        <v>43922</v>
      </c>
      <c r="C27" s="656">
        <v>0</v>
      </c>
      <c r="D27" s="655">
        <v>43952</v>
      </c>
      <c r="E27" s="822">
        <v>0</v>
      </c>
      <c r="F27" s="797">
        <v>0</v>
      </c>
      <c r="G27" s="267">
        <v>0</v>
      </c>
      <c r="H27" s="267">
        <v>0</v>
      </c>
      <c r="I27" s="267">
        <v>0</v>
      </c>
      <c r="J27" s="267">
        <v>0</v>
      </c>
      <c r="K27" s="267">
        <v>0</v>
      </c>
      <c r="M27" s="65">
        <v>0</v>
      </c>
      <c r="N27" s="877">
        <v>0</v>
      </c>
      <c r="O27" s="777">
        <v>0</v>
      </c>
      <c r="P27" s="792">
        <v>0</v>
      </c>
    </row>
    <row r="28" spans="1:16" ht="12.75" customHeight="1">
      <c r="A28" s="560" t="s">
        <v>155</v>
      </c>
      <c r="B28" s="655">
        <v>43922</v>
      </c>
      <c r="C28" s="656">
        <v>0</v>
      </c>
      <c r="D28" s="655">
        <v>43952</v>
      </c>
      <c r="E28" s="822">
        <v>0</v>
      </c>
      <c r="F28" s="797">
        <v>0</v>
      </c>
      <c r="G28" s="267">
        <v>0</v>
      </c>
      <c r="H28" s="267">
        <v>0</v>
      </c>
      <c r="I28" s="267">
        <v>0</v>
      </c>
      <c r="J28" s="267">
        <v>0</v>
      </c>
      <c r="K28" s="267">
        <v>0</v>
      </c>
      <c r="M28" s="65">
        <v>0</v>
      </c>
      <c r="N28" s="877">
        <v>0</v>
      </c>
      <c r="O28" s="777">
        <v>0</v>
      </c>
      <c r="P28" s="792">
        <v>0</v>
      </c>
    </row>
    <row r="29" spans="1:16" ht="12.75" customHeight="1" thickBot="1">
      <c r="A29" s="657" t="s">
        <v>154</v>
      </c>
      <c r="B29" s="658">
        <v>43922</v>
      </c>
      <c r="C29" s="659">
        <v>0</v>
      </c>
      <c r="D29" s="658">
        <v>43952</v>
      </c>
      <c r="E29" s="823">
        <v>0</v>
      </c>
      <c r="F29" s="793">
        <v>0</v>
      </c>
      <c r="G29" s="340">
        <v>0</v>
      </c>
      <c r="H29" s="340">
        <v>0</v>
      </c>
      <c r="I29" s="340">
        <v>0</v>
      </c>
      <c r="J29" s="340">
        <v>0</v>
      </c>
      <c r="K29" s="340">
        <v>0</v>
      </c>
      <c r="M29" s="669">
        <v>0</v>
      </c>
      <c r="N29" s="801">
        <v>0</v>
      </c>
      <c r="O29" s="668">
        <v>0</v>
      </c>
      <c r="P29" s="802">
        <v>0</v>
      </c>
    </row>
    <row r="30" spans="1:16" ht="12.75" customHeight="1">
      <c r="A30" s="565" t="s">
        <v>171</v>
      </c>
      <c r="B30" s="660">
        <v>43800</v>
      </c>
      <c r="C30" s="756">
        <v>2</v>
      </c>
      <c r="D30" s="660">
        <v>43983</v>
      </c>
      <c r="E30" s="822">
        <v>0</v>
      </c>
      <c r="F30" s="797">
        <v>0</v>
      </c>
      <c r="G30" s="339">
        <v>0</v>
      </c>
      <c r="H30" s="339">
        <v>0</v>
      </c>
      <c r="I30" s="339">
        <v>0</v>
      </c>
      <c r="J30" s="339">
        <v>0</v>
      </c>
      <c r="K30" s="339">
        <v>0</v>
      </c>
      <c r="M30" s="781">
        <v>0</v>
      </c>
      <c r="N30" s="803">
        <v>0</v>
      </c>
      <c r="O30" s="781">
        <v>0</v>
      </c>
      <c r="P30" s="795">
        <v>0</v>
      </c>
    </row>
    <row r="31" spans="1:16" ht="12.75" customHeight="1">
      <c r="A31" s="565" t="s">
        <v>171</v>
      </c>
      <c r="B31" s="660">
        <v>43952</v>
      </c>
      <c r="C31" s="661">
        <v>0</v>
      </c>
      <c r="D31" s="660">
        <v>43983</v>
      </c>
      <c r="E31" s="822">
        <v>0</v>
      </c>
      <c r="F31" s="791">
        <v>0</v>
      </c>
      <c r="G31" s="776">
        <v>0</v>
      </c>
      <c r="H31" s="776">
        <v>0</v>
      </c>
      <c r="I31" s="776">
        <v>0</v>
      </c>
      <c r="J31" s="776">
        <v>0</v>
      </c>
      <c r="K31" s="776">
        <v>0</v>
      </c>
      <c r="M31" s="777">
        <v>0</v>
      </c>
      <c r="N31" s="777">
        <v>0</v>
      </c>
      <c r="O31" s="777">
        <v>0</v>
      </c>
      <c r="P31" s="792">
        <v>0</v>
      </c>
    </row>
    <row r="32" spans="1:16" ht="12.75" customHeight="1">
      <c r="A32" s="560" t="s">
        <v>170</v>
      </c>
      <c r="B32" s="660">
        <v>43800</v>
      </c>
      <c r="C32" s="661">
        <v>1</v>
      </c>
      <c r="D32" s="660">
        <v>43983</v>
      </c>
      <c r="E32" s="822">
        <v>0</v>
      </c>
      <c r="F32" s="791">
        <v>0</v>
      </c>
      <c r="G32" s="776">
        <v>0</v>
      </c>
      <c r="H32" s="776">
        <v>0</v>
      </c>
      <c r="I32" s="776">
        <v>0</v>
      </c>
      <c r="J32" s="776">
        <v>0</v>
      </c>
      <c r="K32" s="776">
        <v>0</v>
      </c>
      <c r="M32" s="777">
        <v>0</v>
      </c>
      <c r="N32" s="777">
        <v>0</v>
      </c>
      <c r="O32" s="777">
        <v>0</v>
      </c>
      <c r="P32" s="792">
        <v>0</v>
      </c>
    </row>
    <row r="33" spans="1:16" ht="12.75" customHeight="1">
      <c r="A33" s="560" t="s">
        <v>170</v>
      </c>
      <c r="B33" s="660">
        <v>43831</v>
      </c>
      <c r="C33" s="796">
        <v>1</v>
      </c>
      <c r="D33" s="660">
        <v>43983</v>
      </c>
      <c r="E33" s="822">
        <v>0</v>
      </c>
      <c r="F33" s="791">
        <v>0</v>
      </c>
      <c r="G33" s="776">
        <v>0</v>
      </c>
      <c r="H33" s="776">
        <v>0</v>
      </c>
      <c r="I33" s="776">
        <v>0</v>
      </c>
      <c r="J33" s="776">
        <v>0</v>
      </c>
      <c r="K33" s="776">
        <v>0</v>
      </c>
      <c r="M33" s="777">
        <v>0</v>
      </c>
      <c r="N33" s="777">
        <v>0</v>
      </c>
      <c r="O33" s="777">
        <v>0</v>
      </c>
      <c r="P33" s="792">
        <v>0</v>
      </c>
    </row>
    <row r="34" spans="1:16" ht="12.75" customHeight="1">
      <c r="A34" s="560" t="s">
        <v>170</v>
      </c>
      <c r="B34" s="660">
        <v>43862</v>
      </c>
      <c r="C34" s="656">
        <v>1</v>
      </c>
      <c r="D34" s="660">
        <v>43983</v>
      </c>
      <c r="E34" s="822">
        <v>0</v>
      </c>
      <c r="F34" s="791">
        <v>0</v>
      </c>
      <c r="G34" s="776">
        <v>0</v>
      </c>
      <c r="H34" s="776">
        <v>0</v>
      </c>
      <c r="I34" s="776">
        <v>0</v>
      </c>
      <c r="J34" s="776">
        <v>0</v>
      </c>
      <c r="K34" s="776">
        <v>0</v>
      </c>
      <c r="M34" s="777">
        <v>0</v>
      </c>
      <c r="N34" s="777">
        <v>0</v>
      </c>
      <c r="O34" s="777">
        <v>0</v>
      </c>
      <c r="P34" s="792">
        <v>0</v>
      </c>
    </row>
    <row r="35" spans="1:16" ht="12.75" customHeight="1">
      <c r="A35" s="560" t="s">
        <v>170</v>
      </c>
      <c r="B35" s="660">
        <v>43891</v>
      </c>
      <c r="C35" s="345">
        <v>1</v>
      </c>
      <c r="D35" s="660">
        <v>43983</v>
      </c>
      <c r="E35" s="822">
        <v>0</v>
      </c>
      <c r="F35" s="791">
        <v>0</v>
      </c>
      <c r="G35" s="776">
        <v>0</v>
      </c>
      <c r="H35" s="776">
        <v>0</v>
      </c>
      <c r="I35" s="776">
        <v>0</v>
      </c>
      <c r="J35" s="776">
        <v>0</v>
      </c>
      <c r="K35" s="776">
        <v>0</v>
      </c>
      <c r="M35" s="777">
        <v>0</v>
      </c>
      <c r="N35" s="777">
        <v>0</v>
      </c>
      <c r="O35" s="777">
        <v>0</v>
      </c>
      <c r="P35" s="792">
        <v>0</v>
      </c>
    </row>
    <row r="36" spans="1:16" ht="12.75" customHeight="1">
      <c r="A36" s="560" t="s">
        <v>170</v>
      </c>
      <c r="B36" s="660">
        <v>43922</v>
      </c>
      <c r="C36" s="656">
        <v>1</v>
      </c>
      <c r="D36" s="660">
        <v>43983</v>
      </c>
      <c r="E36" s="822">
        <v>0</v>
      </c>
      <c r="F36" s="791">
        <v>0</v>
      </c>
      <c r="G36" s="776">
        <v>0</v>
      </c>
      <c r="H36" s="776">
        <v>0</v>
      </c>
      <c r="I36" s="776">
        <v>0</v>
      </c>
      <c r="J36" s="776">
        <v>0</v>
      </c>
      <c r="K36" s="776">
        <v>0</v>
      </c>
      <c r="M36" s="777">
        <v>0</v>
      </c>
      <c r="N36" s="777">
        <v>0</v>
      </c>
      <c r="O36" s="777">
        <v>0</v>
      </c>
      <c r="P36" s="792">
        <v>0</v>
      </c>
    </row>
    <row r="37" spans="1:16" ht="12.75" customHeight="1">
      <c r="A37" s="560" t="s">
        <v>170</v>
      </c>
      <c r="B37" s="660">
        <v>43952</v>
      </c>
      <c r="C37" s="656">
        <v>0</v>
      </c>
      <c r="D37" s="660">
        <v>43983</v>
      </c>
      <c r="E37" s="822">
        <v>0</v>
      </c>
      <c r="F37" s="791">
        <v>0</v>
      </c>
      <c r="G37" s="776">
        <v>0</v>
      </c>
      <c r="H37" s="776">
        <v>0</v>
      </c>
      <c r="I37" s="776">
        <v>0</v>
      </c>
      <c r="J37" s="776">
        <v>0</v>
      </c>
      <c r="K37" s="776">
        <v>0</v>
      </c>
      <c r="M37" s="777">
        <v>0</v>
      </c>
      <c r="N37" s="777">
        <v>0</v>
      </c>
      <c r="O37" s="777">
        <v>0</v>
      </c>
      <c r="P37" s="792">
        <v>0</v>
      </c>
    </row>
    <row r="38" spans="1:16" ht="12.75" customHeight="1">
      <c r="A38" s="560" t="s">
        <v>169</v>
      </c>
      <c r="B38" s="660">
        <v>43952</v>
      </c>
      <c r="C38" s="656">
        <v>0</v>
      </c>
      <c r="D38" s="660">
        <v>43983</v>
      </c>
      <c r="E38" s="822">
        <v>0</v>
      </c>
      <c r="F38" s="791">
        <v>0</v>
      </c>
      <c r="G38" s="776">
        <v>0</v>
      </c>
      <c r="H38" s="776">
        <v>0</v>
      </c>
      <c r="I38" s="776">
        <v>0</v>
      </c>
      <c r="J38" s="776">
        <v>0</v>
      </c>
      <c r="K38" s="776">
        <v>0</v>
      </c>
      <c r="M38" s="777">
        <v>0</v>
      </c>
      <c r="N38" s="777">
        <v>0</v>
      </c>
      <c r="O38" s="777">
        <v>0</v>
      </c>
      <c r="P38" s="792">
        <v>0</v>
      </c>
    </row>
    <row r="39" spans="1:16" ht="12.75" customHeight="1">
      <c r="A39" s="560" t="s">
        <v>168</v>
      </c>
      <c r="B39" s="660">
        <v>43922</v>
      </c>
      <c r="C39" s="345">
        <v>1</v>
      </c>
      <c r="D39" s="660">
        <v>43983</v>
      </c>
      <c r="E39" s="822">
        <v>0</v>
      </c>
      <c r="F39" s="791">
        <v>0</v>
      </c>
      <c r="G39" s="776">
        <v>0</v>
      </c>
      <c r="H39" s="776">
        <v>0</v>
      </c>
      <c r="I39" s="776">
        <v>0</v>
      </c>
      <c r="J39" s="776">
        <v>0</v>
      </c>
      <c r="K39" s="776">
        <v>0</v>
      </c>
      <c r="M39" s="777">
        <v>0</v>
      </c>
      <c r="N39" s="777">
        <v>0</v>
      </c>
      <c r="O39" s="777">
        <v>0</v>
      </c>
      <c r="P39" s="792">
        <v>0</v>
      </c>
    </row>
    <row r="40" spans="1:16" ht="12.75" customHeight="1">
      <c r="A40" s="560" t="s">
        <v>168</v>
      </c>
      <c r="B40" s="660">
        <v>43952</v>
      </c>
      <c r="C40" s="656">
        <v>0</v>
      </c>
      <c r="D40" s="660">
        <v>43983</v>
      </c>
      <c r="E40" s="879">
        <v>0</v>
      </c>
      <c r="F40" s="791">
        <v>0</v>
      </c>
      <c r="G40" s="776">
        <v>0</v>
      </c>
      <c r="H40" s="776">
        <v>0</v>
      </c>
      <c r="I40" s="776">
        <v>0</v>
      </c>
      <c r="J40" s="776">
        <v>0</v>
      </c>
      <c r="K40" s="776">
        <v>0</v>
      </c>
      <c r="M40" s="777">
        <v>0</v>
      </c>
      <c r="N40" s="777">
        <v>0</v>
      </c>
      <c r="O40" s="777">
        <v>0</v>
      </c>
      <c r="P40" s="792">
        <v>0</v>
      </c>
    </row>
    <row r="41" spans="1:16" ht="12.75" customHeight="1">
      <c r="A41" s="560" t="s">
        <v>167</v>
      </c>
      <c r="B41" s="660">
        <v>43952</v>
      </c>
      <c r="C41" s="656">
        <v>0</v>
      </c>
      <c r="D41" s="660">
        <v>43983</v>
      </c>
      <c r="E41" s="822">
        <v>0</v>
      </c>
      <c r="F41" s="791">
        <v>0</v>
      </c>
      <c r="G41" s="776">
        <v>0</v>
      </c>
      <c r="H41" s="776">
        <v>0</v>
      </c>
      <c r="I41" s="776">
        <v>0</v>
      </c>
      <c r="J41" s="776">
        <v>0</v>
      </c>
      <c r="K41" s="776">
        <v>0</v>
      </c>
      <c r="M41" s="777">
        <v>0</v>
      </c>
      <c r="N41" s="777">
        <v>0</v>
      </c>
      <c r="O41" s="777">
        <v>0</v>
      </c>
      <c r="P41" s="792">
        <v>0</v>
      </c>
    </row>
    <row r="42" spans="1:16" ht="12.75" customHeight="1">
      <c r="A42" s="560" t="s">
        <v>166</v>
      </c>
      <c r="B42" s="660">
        <v>43952</v>
      </c>
      <c r="C42" s="345">
        <v>0</v>
      </c>
      <c r="D42" s="660">
        <v>43983</v>
      </c>
      <c r="E42" s="822">
        <v>0</v>
      </c>
      <c r="F42" s="791">
        <v>0</v>
      </c>
      <c r="G42" s="776">
        <v>0</v>
      </c>
      <c r="H42" s="776">
        <v>0</v>
      </c>
      <c r="I42" s="776">
        <v>0</v>
      </c>
      <c r="J42" s="776">
        <v>0</v>
      </c>
      <c r="K42" s="776">
        <v>0</v>
      </c>
      <c r="M42" s="777">
        <v>0</v>
      </c>
      <c r="N42" s="777">
        <v>0</v>
      </c>
      <c r="O42" s="777">
        <v>0</v>
      </c>
      <c r="P42" s="792">
        <v>0</v>
      </c>
    </row>
    <row r="43" spans="1:16" ht="12.75" customHeight="1">
      <c r="A43" s="560" t="s">
        <v>11</v>
      </c>
      <c r="B43" s="660">
        <v>43952</v>
      </c>
      <c r="C43" s="656">
        <v>0</v>
      </c>
      <c r="D43" s="660">
        <v>43983</v>
      </c>
      <c r="E43" s="871">
        <v>385754</v>
      </c>
      <c r="F43" s="791">
        <v>385754</v>
      </c>
      <c r="G43" s="776">
        <v>289315</v>
      </c>
      <c r="H43" s="776">
        <v>0</v>
      </c>
      <c r="I43" s="776">
        <v>96439</v>
      </c>
      <c r="J43" s="776">
        <v>0</v>
      </c>
      <c r="K43" s="776">
        <v>0</v>
      </c>
      <c r="M43" s="777">
        <v>0</v>
      </c>
      <c r="N43" s="777">
        <v>0</v>
      </c>
      <c r="O43" s="777">
        <v>0</v>
      </c>
      <c r="P43" s="792">
        <v>0</v>
      </c>
    </row>
    <row r="44" spans="1:16" ht="12.75" customHeight="1">
      <c r="A44" s="560" t="s">
        <v>165</v>
      </c>
      <c r="B44" s="660">
        <v>43952</v>
      </c>
      <c r="C44" s="656">
        <v>0</v>
      </c>
      <c r="D44" s="660">
        <v>43983</v>
      </c>
      <c r="E44" s="822">
        <v>0</v>
      </c>
      <c r="F44" s="791">
        <v>0</v>
      </c>
      <c r="G44" s="776">
        <v>0</v>
      </c>
      <c r="H44" s="776">
        <v>0</v>
      </c>
      <c r="I44" s="776">
        <v>0</v>
      </c>
      <c r="J44" s="776">
        <v>0</v>
      </c>
      <c r="K44" s="776">
        <v>0</v>
      </c>
      <c r="M44" s="777">
        <v>0</v>
      </c>
      <c r="N44" s="777">
        <v>0</v>
      </c>
      <c r="O44" s="777">
        <v>0</v>
      </c>
      <c r="P44" s="792">
        <v>0</v>
      </c>
    </row>
    <row r="45" spans="1:16" ht="12.75" customHeight="1">
      <c r="A45" s="560" t="s">
        <v>164</v>
      </c>
      <c r="B45" s="660">
        <v>43952</v>
      </c>
      <c r="C45" s="656">
        <v>0</v>
      </c>
      <c r="D45" s="660">
        <v>43983</v>
      </c>
      <c r="E45" s="822">
        <v>0</v>
      </c>
      <c r="F45" s="791">
        <v>0</v>
      </c>
      <c r="G45" s="776">
        <v>0</v>
      </c>
      <c r="H45" s="776">
        <v>0</v>
      </c>
      <c r="I45" s="776">
        <v>0</v>
      </c>
      <c r="J45" s="776">
        <v>0</v>
      </c>
      <c r="K45" s="776">
        <v>0</v>
      </c>
      <c r="M45" s="777">
        <v>0</v>
      </c>
      <c r="N45" s="777">
        <v>0</v>
      </c>
      <c r="O45" s="777">
        <v>0</v>
      </c>
      <c r="P45" s="792">
        <v>0</v>
      </c>
    </row>
    <row r="46" spans="1:16" ht="12.75" customHeight="1">
      <c r="A46" s="560" t="s">
        <v>163</v>
      </c>
      <c r="B46" s="660">
        <v>43952</v>
      </c>
      <c r="C46" s="656">
        <v>0</v>
      </c>
      <c r="D46" s="660">
        <v>43983</v>
      </c>
      <c r="E46" s="822">
        <v>0</v>
      </c>
      <c r="F46" s="791">
        <v>0</v>
      </c>
      <c r="G46" s="776">
        <v>0</v>
      </c>
      <c r="H46" s="776">
        <v>0</v>
      </c>
      <c r="I46" s="776">
        <v>0</v>
      </c>
      <c r="J46" s="776">
        <v>0</v>
      </c>
      <c r="K46" s="776">
        <v>0</v>
      </c>
      <c r="M46" s="777">
        <v>0</v>
      </c>
      <c r="N46" s="777">
        <v>0</v>
      </c>
      <c r="O46" s="777">
        <v>0</v>
      </c>
      <c r="P46" s="792">
        <v>0</v>
      </c>
    </row>
    <row r="47" spans="1:16" ht="12.75" customHeight="1">
      <c r="A47" s="560" t="s">
        <v>162</v>
      </c>
      <c r="B47" s="660">
        <v>43952</v>
      </c>
      <c r="C47" s="656">
        <v>0</v>
      </c>
      <c r="D47" s="660">
        <v>43983</v>
      </c>
      <c r="E47" s="822">
        <v>0</v>
      </c>
      <c r="F47" s="791">
        <v>0</v>
      </c>
      <c r="G47" s="776">
        <v>0</v>
      </c>
      <c r="H47" s="776">
        <v>0</v>
      </c>
      <c r="I47" s="776">
        <v>0</v>
      </c>
      <c r="J47" s="776">
        <v>0</v>
      </c>
      <c r="K47" s="776">
        <v>0</v>
      </c>
      <c r="M47" s="777">
        <v>0</v>
      </c>
      <c r="N47" s="777">
        <v>0</v>
      </c>
      <c r="O47" s="777">
        <v>0</v>
      </c>
      <c r="P47" s="792">
        <v>0</v>
      </c>
    </row>
    <row r="48" spans="1:16" ht="12.75" customHeight="1">
      <c r="A48" s="560" t="s">
        <v>161</v>
      </c>
      <c r="B48" s="660">
        <v>43952</v>
      </c>
      <c r="C48" s="656">
        <v>0</v>
      </c>
      <c r="D48" s="660">
        <v>43983</v>
      </c>
      <c r="E48" s="822">
        <v>0</v>
      </c>
      <c r="F48" s="791">
        <v>0</v>
      </c>
      <c r="G48" s="776">
        <v>0</v>
      </c>
      <c r="H48" s="776">
        <v>0</v>
      </c>
      <c r="I48" s="776">
        <v>0</v>
      </c>
      <c r="J48" s="776">
        <v>0</v>
      </c>
      <c r="K48" s="776">
        <v>0</v>
      </c>
      <c r="M48" s="777">
        <v>0</v>
      </c>
      <c r="N48" s="777">
        <v>0</v>
      </c>
      <c r="O48" s="777">
        <v>0</v>
      </c>
      <c r="P48" s="792">
        <v>0</v>
      </c>
    </row>
    <row r="49" spans="1:16" ht="12.75" customHeight="1">
      <c r="A49" s="560" t="s">
        <v>160</v>
      </c>
      <c r="B49" s="660">
        <v>43952</v>
      </c>
      <c r="C49" s="656">
        <v>0</v>
      </c>
      <c r="D49" s="660">
        <v>43983</v>
      </c>
      <c r="E49" s="822">
        <v>0</v>
      </c>
      <c r="F49" s="791">
        <v>0</v>
      </c>
      <c r="G49" s="776">
        <v>0</v>
      </c>
      <c r="H49" s="776">
        <v>0</v>
      </c>
      <c r="I49" s="776">
        <v>0</v>
      </c>
      <c r="J49" s="776">
        <v>0</v>
      </c>
      <c r="K49" s="776">
        <v>0</v>
      </c>
      <c r="M49" s="777">
        <v>0</v>
      </c>
      <c r="N49" s="777">
        <v>0</v>
      </c>
      <c r="O49" s="777">
        <v>0</v>
      </c>
      <c r="P49" s="792">
        <v>0</v>
      </c>
    </row>
    <row r="50" spans="1:16" ht="12.75" customHeight="1">
      <c r="A50" s="560" t="s">
        <v>159</v>
      </c>
      <c r="B50" s="660">
        <v>43952</v>
      </c>
      <c r="C50" s="345">
        <v>0</v>
      </c>
      <c r="D50" s="660">
        <v>43983</v>
      </c>
      <c r="E50" s="822">
        <v>0</v>
      </c>
      <c r="F50" s="791">
        <v>0</v>
      </c>
      <c r="G50" s="776">
        <v>0</v>
      </c>
      <c r="H50" s="776">
        <v>0</v>
      </c>
      <c r="I50" s="776">
        <v>0</v>
      </c>
      <c r="J50" s="776">
        <v>0</v>
      </c>
      <c r="K50" s="776">
        <v>0</v>
      </c>
      <c r="M50" s="777">
        <v>0</v>
      </c>
      <c r="N50" s="777">
        <v>0</v>
      </c>
      <c r="O50" s="777">
        <v>0</v>
      </c>
      <c r="P50" s="792">
        <v>0</v>
      </c>
    </row>
    <row r="51" spans="1:16" ht="12.75" customHeight="1">
      <c r="A51" s="560" t="s">
        <v>158</v>
      </c>
      <c r="B51" s="660">
        <v>43952</v>
      </c>
      <c r="C51" s="345">
        <v>0</v>
      </c>
      <c r="D51" s="660">
        <v>43983</v>
      </c>
      <c r="E51" s="822">
        <v>0</v>
      </c>
      <c r="F51" s="791">
        <v>0</v>
      </c>
      <c r="G51" s="776">
        <v>0</v>
      </c>
      <c r="H51" s="776">
        <v>0</v>
      </c>
      <c r="I51" s="776">
        <v>0</v>
      </c>
      <c r="J51" s="776">
        <v>0</v>
      </c>
      <c r="K51" s="776">
        <v>0</v>
      </c>
      <c r="M51" s="777">
        <v>0</v>
      </c>
      <c r="N51" s="777">
        <v>0</v>
      </c>
      <c r="O51" s="777">
        <v>0</v>
      </c>
      <c r="P51" s="792">
        <v>0</v>
      </c>
    </row>
    <row r="52" spans="1:16" ht="12.75" customHeight="1">
      <c r="A52" s="560" t="s">
        <v>157</v>
      </c>
      <c r="B52" s="660">
        <v>43952</v>
      </c>
      <c r="C52" s="345">
        <v>0</v>
      </c>
      <c r="D52" s="660">
        <v>43983</v>
      </c>
      <c r="E52" s="822">
        <v>0</v>
      </c>
      <c r="F52" s="791">
        <v>0</v>
      </c>
      <c r="G52" s="776">
        <v>0</v>
      </c>
      <c r="H52" s="776">
        <v>0</v>
      </c>
      <c r="I52" s="776">
        <v>0</v>
      </c>
      <c r="J52" s="776">
        <v>0</v>
      </c>
      <c r="K52" s="776">
        <v>0</v>
      </c>
      <c r="M52" s="777">
        <v>0</v>
      </c>
      <c r="N52" s="777">
        <v>0</v>
      </c>
      <c r="O52" s="777">
        <v>0</v>
      </c>
      <c r="P52" s="792">
        <v>0</v>
      </c>
    </row>
    <row r="53" spans="1:16" ht="12.75" customHeight="1">
      <c r="A53" s="560" t="s">
        <v>156</v>
      </c>
      <c r="B53" s="660">
        <v>43952</v>
      </c>
      <c r="C53" s="656">
        <v>0</v>
      </c>
      <c r="D53" s="660">
        <v>43983</v>
      </c>
      <c r="E53" s="822">
        <v>0</v>
      </c>
      <c r="F53" s="791">
        <v>0</v>
      </c>
      <c r="G53" s="776">
        <v>0</v>
      </c>
      <c r="H53" s="776">
        <v>0</v>
      </c>
      <c r="I53" s="776">
        <v>0</v>
      </c>
      <c r="J53" s="776">
        <v>0</v>
      </c>
      <c r="K53" s="776">
        <v>0</v>
      </c>
      <c r="M53" s="777">
        <v>0</v>
      </c>
      <c r="N53" s="777">
        <v>0</v>
      </c>
      <c r="O53" s="777">
        <v>0</v>
      </c>
      <c r="P53" s="792">
        <v>0</v>
      </c>
    </row>
    <row r="54" spans="1:16" ht="12.75" customHeight="1">
      <c r="A54" s="560" t="s">
        <v>155</v>
      </c>
      <c r="B54" s="660">
        <v>43952</v>
      </c>
      <c r="C54" s="345">
        <v>0</v>
      </c>
      <c r="D54" s="660">
        <v>43983</v>
      </c>
      <c r="E54" s="822">
        <v>0</v>
      </c>
      <c r="F54" s="791">
        <v>0</v>
      </c>
      <c r="G54" s="776">
        <v>0</v>
      </c>
      <c r="H54" s="776">
        <v>0</v>
      </c>
      <c r="I54" s="776">
        <v>0</v>
      </c>
      <c r="J54" s="776">
        <v>0</v>
      </c>
      <c r="K54" s="776">
        <v>0</v>
      </c>
      <c r="M54" s="777">
        <v>0</v>
      </c>
      <c r="N54" s="777">
        <v>0</v>
      </c>
      <c r="O54" s="777">
        <v>0</v>
      </c>
      <c r="P54" s="792">
        <v>0</v>
      </c>
    </row>
    <row r="55" spans="1:16" ht="12.75" customHeight="1" thickBot="1">
      <c r="A55" s="752" t="s">
        <v>154</v>
      </c>
      <c r="B55" s="863">
        <v>43952</v>
      </c>
      <c r="C55" s="860">
        <v>0</v>
      </c>
      <c r="D55" s="863">
        <v>43983</v>
      </c>
      <c r="E55" s="825">
        <v>0</v>
      </c>
      <c r="F55" s="870">
        <v>0</v>
      </c>
      <c r="G55" s="878">
        <v>0</v>
      </c>
      <c r="H55" s="878">
        <v>0</v>
      </c>
      <c r="I55" s="878">
        <v>0</v>
      </c>
      <c r="J55" s="878">
        <v>0</v>
      </c>
      <c r="K55" s="878">
        <v>0</v>
      </c>
      <c r="M55" s="798">
        <v>0</v>
      </c>
      <c r="N55" s="798">
        <v>0</v>
      </c>
      <c r="O55" s="798">
        <v>0</v>
      </c>
      <c r="P55" s="794">
        <v>0</v>
      </c>
    </row>
    <row r="56" spans="1:16" ht="12.75" customHeight="1">
      <c r="A56" s="892" t="s">
        <v>171</v>
      </c>
      <c r="B56" s="876">
        <v>43881</v>
      </c>
      <c r="C56" s="868">
        <v>1</v>
      </c>
      <c r="D56" s="876">
        <v>44013</v>
      </c>
      <c r="E56" s="826">
        <v>0</v>
      </c>
      <c r="F56" s="805">
        <f>SUM(G56:K56)</f>
        <v>0</v>
      </c>
      <c r="G56" s="592">
        <v>0</v>
      </c>
      <c r="H56" s="592">
        <v>0</v>
      </c>
      <c r="I56" s="592">
        <v>0</v>
      </c>
      <c r="J56" s="592">
        <v>0</v>
      </c>
      <c r="K56" s="592">
        <v>0</v>
      </c>
      <c r="M56" s="781">
        <v>0</v>
      </c>
      <c r="N56" s="781">
        <v>0</v>
      </c>
      <c r="O56" s="781">
        <v>0</v>
      </c>
      <c r="P56" s="795">
        <f>SUM(M56:O56)</f>
        <v>0</v>
      </c>
    </row>
    <row r="57" spans="1:16" ht="12.75" customHeight="1">
      <c r="A57" s="560" t="s">
        <v>171</v>
      </c>
      <c r="B57" s="655">
        <v>43910</v>
      </c>
      <c r="C57" s="345">
        <v>1</v>
      </c>
      <c r="D57" s="655">
        <v>44013</v>
      </c>
      <c r="E57" s="822">
        <v>0</v>
      </c>
      <c r="F57" s="797">
        <f t="shared" ref="F57:F82" si="0">SUM(G57:K57)</f>
        <v>0</v>
      </c>
      <c r="G57" s="267">
        <v>0</v>
      </c>
      <c r="H57" s="267">
        <v>0</v>
      </c>
      <c r="I57" s="267">
        <v>0</v>
      </c>
      <c r="J57" s="267">
        <v>0</v>
      </c>
      <c r="K57" s="267">
        <v>0</v>
      </c>
      <c r="M57" s="65">
        <v>0</v>
      </c>
      <c r="N57" s="65">
        <v>0</v>
      </c>
      <c r="O57" s="65">
        <v>0</v>
      </c>
      <c r="P57" s="800">
        <f t="shared" ref="P57:P82" si="1">SUM(M57:O57)</f>
        <v>0</v>
      </c>
    </row>
    <row r="58" spans="1:16" ht="12.75" customHeight="1">
      <c r="A58" s="560" t="s">
        <v>171</v>
      </c>
      <c r="B58" s="655">
        <v>43941</v>
      </c>
      <c r="C58" s="345">
        <v>1</v>
      </c>
      <c r="D58" s="655">
        <v>44013</v>
      </c>
      <c r="E58" s="822">
        <v>0</v>
      </c>
      <c r="F58" s="797">
        <f t="shared" si="0"/>
        <v>0</v>
      </c>
      <c r="G58" s="267">
        <v>0</v>
      </c>
      <c r="H58" s="267">
        <v>0</v>
      </c>
      <c r="I58" s="267">
        <v>0</v>
      </c>
      <c r="J58" s="267">
        <v>0</v>
      </c>
      <c r="K58" s="267">
        <v>0</v>
      </c>
      <c r="M58" s="65">
        <v>0</v>
      </c>
      <c r="N58" s="65">
        <v>0</v>
      </c>
      <c r="O58" s="65">
        <v>0</v>
      </c>
      <c r="P58" s="800">
        <f t="shared" si="1"/>
        <v>0</v>
      </c>
    </row>
    <row r="59" spans="1:16" ht="12.75" customHeight="1">
      <c r="A59" s="560" t="s">
        <v>171</v>
      </c>
      <c r="B59" s="655">
        <v>43983</v>
      </c>
      <c r="C59" s="656">
        <v>0</v>
      </c>
      <c r="D59" s="655">
        <v>44013</v>
      </c>
      <c r="E59" s="822">
        <v>0</v>
      </c>
      <c r="F59" s="797">
        <f t="shared" si="0"/>
        <v>0</v>
      </c>
      <c r="G59" s="267">
        <v>0</v>
      </c>
      <c r="H59" s="267">
        <v>0</v>
      </c>
      <c r="I59" s="267">
        <v>0</v>
      </c>
      <c r="J59" s="267">
        <v>0</v>
      </c>
      <c r="K59" s="267">
        <v>0</v>
      </c>
      <c r="M59" s="65">
        <v>0</v>
      </c>
      <c r="N59" s="65">
        <v>0</v>
      </c>
      <c r="O59" s="65">
        <v>0</v>
      </c>
      <c r="P59" s="800">
        <f t="shared" si="1"/>
        <v>0</v>
      </c>
    </row>
    <row r="60" spans="1:16" ht="12.75" customHeight="1">
      <c r="A60" s="565" t="s">
        <v>170</v>
      </c>
      <c r="B60" s="660">
        <v>43983</v>
      </c>
      <c r="C60" s="661">
        <v>0</v>
      </c>
      <c r="D60" s="660">
        <v>44013</v>
      </c>
      <c r="E60" s="824">
        <v>0</v>
      </c>
      <c r="F60" s="791">
        <f t="shared" si="0"/>
        <v>0</v>
      </c>
      <c r="G60" s="339">
        <v>0</v>
      </c>
      <c r="H60" s="339">
        <v>0</v>
      </c>
      <c r="I60" s="339">
        <v>0</v>
      </c>
      <c r="J60" s="339">
        <v>0</v>
      </c>
      <c r="K60" s="339">
        <v>0</v>
      </c>
      <c r="M60" s="777">
        <v>0</v>
      </c>
      <c r="N60" s="877">
        <v>0</v>
      </c>
      <c r="O60" s="777">
        <v>0</v>
      </c>
      <c r="P60" s="792">
        <f t="shared" si="1"/>
        <v>0</v>
      </c>
    </row>
    <row r="61" spans="1:16" ht="12.75" customHeight="1">
      <c r="A61" s="560" t="s">
        <v>169</v>
      </c>
      <c r="B61" s="655">
        <v>43983</v>
      </c>
      <c r="C61" s="656">
        <v>0</v>
      </c>
      <c r="D61" s="655">
        <v>44013</v>
      </c>
      <c r="E61" s="822">
        <v>0</v>
      </c>
      <c r="F61" s="797">
        <f t="shared" si="0"/>
        <v>0</v>
      </c>
      <c r="G61" s="267">
        <v>0</v>
      </c>
      <c r="H61" s="267">
        <v>0</v>
      </c>
      <c r="I61" s="267">
        <v>0</v>
      </c>
      <c r="J61" s="267">
        <v>0</v>
      </c>
      <c r="K61" s="267">
        <v>0</v>
      </c>
      <c r="M61" s="65">
        <v>0</v>
      </c>
      <c r="N61" s="877">
        <v>0</v>
      </c>
      <c r="O61" s="777">
        <v>0</v>
      </c>
      <c r="P61" s="792">
        <f t="shared" si="1"/>
        <v>0</v>
      </c>
    </row>
    <row r="62" spans="1:16" ht="12.75" customHeight="1">
      <c r="A62" s="560" t="s">
        <v>168</v>
      </c>
      <c r="B62" s="655">
        <v>43983</v>
      </c>
      <c r="C62" s="656">
        <v>0</v>
      </c>
      <c r="D62" s="655">
        <v>44013</v>
      </c>
      <c r="E62" s="822">
        <v>0</v>
      </c>
      <c r="F62" s="797">
        <f t="shared" si="0"/>
        <v>0</v>
      </c>
      <c r="G62" s="267">
        <v>0</v>
      </c>
      <c r="H62" s="267">
        <v>0</v>
      </c>
      <c r="I62" s="267">
        <v>0</v>
      </c>
      <c r="J62" s="267">
        <v>0</v>
      </c>
      <c r="K62" s="267">
        <v>0</v>
      </c>
      <c r="M62" s="65">
        <v>0</v>
      </c>
      <c r="N62" s="877">
        <v>0</v>
      </c>
      <c r="O62" s="777">
        <v>0</v>
      </c>
      <c r="P62" s="792">
        <f t="shared" si="1"/>
        <v>0</v>
      </c>
    </row>
    <row r="63" spans="1:16" ht="12.75" customHeight="1">
      <c r="A63" s="560" t="s">
        <v>167</v>
      </c>
      <c r="B63" s="655">
        <v>43983</v>
      </c>
      <c r="C63" s="656">
        <v>0</v>
      </c>
      <c r="D63" s="655">
        <v>44013</v>
      </c>
      <c r="E63" s="822">
        <v>0</v>
      </c>
      <c r="F63" s="797">
        <f t="shared" si="0"/>
        <v>0</v>
      </c>
      <c r="G63" s="267">
        <v>0</v>
      </c>
      <c r="H63" s="267">
        <v>0</v>
      </c>
      <c r="I63" s="267">
        <v>0</v>
      </c>
      <c r="J63" s="267">
        <v>0</v>
      </c>
      <c r="K63" s="267">
        <v>0</v>
      </c>
      <c r="M63" s="65">
        <v>0</v>
      </c>
      <c r="N63" s="877">
        <v>0</v>
      </c>
      <c r="O63" s="777">
        <v>0</v>
      </c>
      <c r="P63" s="792">
        <f t="shared" si="1"/>
        <v>0</v>
      </c>
    </row>
    <row r="64" spans="1:16" ht="12.75" customHeight="1">
      <c r="A64" s="560" t="s">
        <v>166</v>
      </c>
      <c r="B64" s="655">
        <v>43983</v>
      </c>
      <c r="C64" s="656">
        <v>0</v>
      </c>
      <c r="D64" s="655">
        <v>44013</v>
      </c>
      <c r="E64" s="822">
        <v>0</v>
      </c>
      <c r="F64" s="797">
        <f t="shared" si="0"/>
        <v>0</v>
      </c>
      <c r="G64" s="267">
        <v>0</v>
      </c>
      <c r="H64" s="267">
        <v>0</v>
      </c>
      <c r="I64" s="267">
        <v>0</v>
      </c>
      <c r="J64" s="267">
        <v>0</v>
      </c>
      <c r="K64" s="267">
        <v>0</v>
      </c>
      <c r="M64" s="65">
        <v>0</v>
      </c>
      <c r="N64" s="877">
        <v>0</v>
      </c>
      <c r="O64" s="777">
        <v>0</v>
      </c>
      <c r="P64" s="792">
        <f t="shared" si="1"/>
        <v>0</v>
      </c>
    </row>
    <row r="65" spans="1:16" ht="12.75" customHeight="1">
      <c r="A65" s="560" t="s">
        <v>11</v>
      </c>
      <c r="B65" s="655">
        <v>43983</v>
      </c>
      <c r="C65" s="656">
        <v>0</v>
      </c>
      <c r="D65" s="655">
        <v>44013</v>
      </c>
      <c r="E65" s="822">
        <v>394876</v>
      </c>
      <c r="F65" s="797">
        <f t="shared" si="0"/>
        <v>394876</v>
      </c>
      <c r="G65" s="267">
        <v>296157</v>
      </c>
      <c r="H65" s="267">
        <v>0</v>
      </c>
      <c r="I65" s="267">
        <v>98719</v>
      </c>
      <c r="J65" s="267">
        <v>0</v>
      </c>
      <c r="K65" s="267">
        <v>0</v>
      </c>
      <c r="M65" s="65">
        <v>0</v>
      </c>
      <c r="N65" s="877">
        <v>0</v>
      </c>
      <c r="O65" s="777">
        <v>0</v>
      </c>
      <c r="P65" s="792">
        <f t="shared" si="1"/>
        <v>0</v>
      </c>
    </row>
    <row r="66" spans="1:16" ht="12.75" customHeight="1">
      <c r="A66" s="560" t="s">
        <v>165</v>
      </c>
      <c r="B66" s="655">
        <v>43983</v>
      </c>
      <c r="C66" s="656">
        <v>0</v>
      </c>
      <c r="D66" s="655">
        <v>44013</v>
      </c>
      <c r="E66" s="822">
        <v>0</v>
      </c>
      <c r="F66" s="797">
        <f t="shared" si="0"/>
        <v>0</v>
      </c>
      <c r="G66" s="267">
        <v>0</v>
      </c>
      <c r="H66" s="267">
        <v>0</v>
      </c>
      <c r="I66" s="267">
        <v>0</v>
      </c>
      <c r="J66" s="267">
        <v>0</v>
      </c>
      <c r="K66" s="267">
        <v>0</v>
      </c>
      <c r="M66" s="65">
        <v>0</v>
      </c>
      <c r="N66" s="877">
        <v>0</v>
      </c>
      <c r="O66" s="777">
        <v>0</v>
      </c>
      <c r="P66" s="792">
        <f t="shared" si="1"/>
        <v>0</v>
      </c>
    </row>
    <row r="67" spans="1:16" ht="12.75" customHeight="1">
      <c r="A67" s="560" t="s">
        <v>164</v>
      </c>
      <c r="B67" s="655">
        <v>43739</v>
      </c>
      <c r="C67" s="345">
        <v>2</v>
      </c>
      <c r="D67" s="655">
        <v>44013</v>
      </c>
      <c r="E67" s="822">
        <v>0</v>
      </c>
      <c r="F67" s="797">
        <f t="shared" si="0"/>
        <v>0</v>
      </c>
      <c r="G67" s="267">
        <v>0</v>
      </c>
      <c r="H67" s="267">
        <v>0</v>
      </c>
      <c r="I67" s="267">
        <v>0</v>
      </c>
      <c r="J67" s="267">
        <v>0</v>
      </c>
      <c r="K67" s="267">
        <v>0</v>
      </c>
      <c r="M67" s="65">
        <v>0</v>
      </c>
      <c r="N67" s="877">
        <v>0</v>
      </c>
      <c r="O67" s="777">
        <v>0</v>
      </c>
      <c r="P67" s="792">
        <f t="shared" si="1"/>
        <v>0</v>
      </c>
    </row>
    <row r="68" spans="1:16" ht="12.75" customHeight="1">
      <c r="A68" s="560" t="s">
        <v>164</v>
      </c>
      <c r="B68" s="655">
        <v>43862</v>
      </c>
      <c r="C68" s="345">
        <v>1</v>
      </c>
      <c r="D68" s="655">
        <v>44013</v>
      </c>
      <c r="E68" s="822">
        <v>0</v>
      </c>
      <c r="F68" s="797">
        <f t="shared" si="0"/>
        <v>0</v>
      </c>
      <c r="G68" s="267">
        <v>0</v>
      </c>
      <c r="H68" s="267">
        <v>0</v>
      </c>
      <c r="I68" s="267">
        <v>0</v>
      </c>
      <c r="J68" s="267">
        <v>0</v>
      </c>
      <c r="K68" s="267">
        <v>0</v>
      </c>
      <c r="M68" s="65">
        <v>0</v>
      </c>
      <c r="N68" s="877">
        <v>0</v>
      </c>
      <c r="O68" s="777">
        <v>0</v>
      </c>
      <c r="P68" s="792">
        <f t="shared" si="1"/>
        <v>0</v>
      </c>
    </row>
    <row r="69" spans="1:16" ht="12.75" customHeight="1">
      <c r="A69" s="560" t="s">
        <v>164</v>
      </c>
      <c r="B69" s="655">
        <v>43922</v>
      </c>
      <c r="C69" s="345">
        <v>1</v>
      </c>
      <c r="D69" s="655">
        <v>44013</v>
      </c>
      <c r="E69" s="822">
        <v>0</v>
      </c>
      <c r="F69" s="797">
        <f t="shared" si="0"/>
        <v>0</v>
      </c>
      <c r="G69" s="267">
        <v>0</v>
      </c>
      <c r="H69" s="267">
        <v>0</v>
      </c>
      <c r="I69" s="267">
        <v>0</v>
      </c>
      <c r="J69" s="267">
        <v>0</v>
      </c>
      <c r="K69" s="267">
        <v>0</v>
      </c>
      <c r="M69" s="65">
        <v>0</v>
      </c>
      <c r="N69" s="877">
        <v>0</v>
      </c>
      <c r="O69" s="777">
        <v>0</v>
      </c>
      <c r="P69" s="792">
        <f t="shared" si="1"/>
        <v>0</v>
      </c>
    </row>
    <row r="70" spans="1:16" ht="12.75" customHeight="1">
      <c r="A70" s="560" t="s">
        <v>164</v>
      </c>
      <c r="B70" s="655">
        <v>43952</v>
      </c>
      <c r="C70" s="345">
        <v>1</v>
      </c>
      <c r="D70" s="655">
        <v>44013</v>
      </c>
      <c r="E70" s="822">
        <v>0</v>
      </c>
      <c r="F70" s="797">
        <f t="shared" si="0"/>
        <v>0</v>
      </c>
      <c r="G70" s="267">
        <v>0</v>
      </c>
      <c r="H70" s="267">
        <v>0</v>
      </c>
      <c r="I70" s="267">
        <v>0</v>
      </c>
      <c r="J70" s="267">
        <v>0</v>
      </c>
      <c r="K70" s="267">
        <v>0</v>
      </c>
      <c r="M70" s="65">
        <v>0</v>
      </c>
      <c r="N70" s="877">
        <v>0</v>
      </c>
      <c r="O70" s="777">
        <v>0</v>
      </c>
      <c r="P70" s="792">
        <f t="shared" si="1"/>
        <v>0</v>
      </c>
    </row>
    <row r="71" spans="1:16" ht="12.75" customHeight="1">
      <c r="A71" s="560" t="s">
        <v>164</v>
      </c>
      <c r="B71" s="655">
        <v>43983</v>
      </c>
      <c r="C71" s="656">
        <v>0</v>
      </c>
      <c r="D71" s="655">
        <v>44013</v>
      </c>
      <c r="E71" s="822">
        <v>0</v>
      </c>
      <c r="F71" s="797">
        <f t="shared" si="0"/>
        <v>0</v>
      </c>
      <c r="G71" s="267">
        <v>0</v>
      </c>
      <c r="H71" s="267">
        <v>0</v>
      </c>
      <c r="I71" s="267">
        <v>0</v>
      </c>
      <c r="J71" s="267">
        <v>0</v>
      </c>
      <c r="K71" s="267">
        <v>0</v>
      </c>
      <c r="M71" s="65">
        <v>0</v>
      </c>
      <c r="N71" s="877">
        <v>0</v>
      </c>
      <c r="O71" s="777">
        <v>0</v>
      </c>
      <c r="P71" s="792">
        <f t="shared" si="1"/>
        <v>0</v>
      </c>
    </row>
    <row r="72" spans="1:16" ht="12.75" customHeight="1">
      <c r="A72" s="560" t="s">
        <v>163</v>
      </c>
      <c r="B72" s="655">
        <v>43983</v>
      </c>
      <c r="C72" s="656">
        <v>0</v>
      </c>
      <c r="D72" s="655">
        <v>44013</v>
      </c>
      <c r="E72" s="822">
        <v>0</v>
      </c>
      <c r="F72" s="797">
        <f t="shared" si="0"/>
        <v>0</v>
      </c>
      <c r="G72" s="267">
        <v>0</v>
      </c>
      <c r="H72" s="267">
        <v>0</v>
      </c>
      <c r="I72" s="267">
        <v>0</v>
      </c>
      <c r="J72" s="267">
        <v>0</v>
      </c>
      <c r="K72" s="267">
        <v>0</v>
      </c>
      <c r="M72" s="65">
        <v>0</v>
      </c>
      <c r="N72" s="877">
        <v>0</v>
      </c>
      <c r="O72" s="777">
        <v>0</v>
      </c>
      <c r="P72" s="792">
        <f t="shared" si="1"/>
        <v>0</v>
      </c>
    </row>
    <row r="73" spans="1:16" ht="12.75" customHeight="1">
      <c r="A73" s="560" t="s">
        <v>162</v>
      </c>
      <c r="B73" s="655">
        <v>43983</v>
      </c>
      <c r="C73" s="656">
        <v>0</v>
      </c>
      <c r="D73" s="655">
        <v>44013</v>
      </c>
      <c r="E73" s="822">
        <v>0</v>
      </c>
      <c r="F73" s="797">
        <f t="shared" si="0"/>
        <v>0</v>
      </c>
      <c r="G73" s="267">
        <v>0</v>
      </c>
      <c r="H73" s="267">
        <v>0</v>
      </c>
      <c r="I73" s="267">
        <v>0</v>
      </c>
      <c r="J73" s="267">
        <v>0</v>
      </c>
      <c r="K73" s="267">
        <v>0</v>
      </c>
      <c r="M73" s="65">
        <v>0</v>
      </c>
      <c r="N73" s="877">
        <v>0</v>
      </c>
      <c r="O73" s="777">
        <v>0</v>
      </c>
      <c r="P73" s="792">
        <f t="shared" si="1"/>
        <v>0</v>
      </c>
    </row>
    <row r="74" spans="1:16" ht="12.75" customHeight="1">
      <c r="A74" s="560" t="s">
        <v>161</v>
      </c>
      <c r="B74" s="655">
        <v>43983</v>
      </c>
      <c r="C74" s="656">
        <v>0</v>
      </c>
      <c r="D74" s="655">
        <v>44013</v>
      </c>
      <c r="E74" s="822">
        <v>0</v>
      </c>
      <c r="F74" s="797">
        <f t="shared" si="0"/>
        <v>0</v>
      </c>
      <c r="G74" s="267">
        <v>0</v>
      </c>
      <c r="H74" s="267">
        <v>0</v>
      </c>
      <c r="I74" s="267">
        <v>0</v>
      </c>
      <c r="J74" s="267">
        <v>0</v>
      </c>
      <c r="K74" s="267">
        <v>0</v>
      </c>
      <c r="M74" s="65">
        <v>0</v>
      </c>
      <c r="N74" s="877">
        <v>0</v>
      </c>
      <c r="O74" s="777">
        <v>0</v>
      </c>
      <c r="P74" s="792">
        <f t="shared" si="1"/>
        <v>0</v>
      </c>
    </row>
    <row r="75" spans="1:16" ht="12.75" customHeight="1">
      <c r="A75" s="560" t="s">
        <v>160</v>
      </c>
      <c r="B75" s="655">
        <v>43983</v>
      </c>
      <c r="C75" s="656">
        <v>0</v>
      </c>
      <c r="D75" s="655">
        <v>44013</v>
      </c>
      <c r="E75" s="822">
        <v>0</v>
      </c>
      <c r="F75" s="797">
        <f>SUM(G75:K75)</f>
        <v>0</v>
      </c>
      <c r="G75" s="267">
        <v>0</v>
      </c>
      <c r="H75" s="267">
        <v>0</v>
      </c>
      <c r="I75" s="267">
        <v>0</v>
      </c>
      <c r="J75" s="267">
        <v>0</v>
      </c>
      <c r="K75" s="267">
        <v>0</v>
      </c>
      <c r="M75" s="65">
        <v>0</v>
      </c>
      <c r="N75" s="877">
        <v>0</v>
      </c>
      <c r="O75" s="777">
        <v>0</v>
      </c>
      <c r="P75" s="792">
        <f>SUM(M75:O75)</f>
        <v>0</v>
      </c>
    </row>
    <row r="76" spans="1:16" ht="12.75" customHeight="1">
      <c r="A76" s="560" t="s">
        <v>159</v>
      </c>
      <c r="B76" s="655">
        <v>43983</v>
      </c>
      <c r="C76" s="656">
        <v>0</v>
      </c>
      <c r="D76" s="655">
        <v>44013</v>
      </c>
      <c r="E76" s="822">
        <v>0</v>
      </c>
      <c r="F76" s="797">
        <f t="shared" si="0"/>
        <v>0</v>
      </c>
      <c r="G76" s="267">
        <v>0</v>
      </c>
      <c r="H76" s="267">
        <v>0</v>
      </c>
      <c r="I76" s="267">
        <v>0</v>
      </c>
      <c r="J76" s="267">
        <v>0</v>
      </c>
      <c r="K76" s="267">
        <v>0</v>
      </c>
      <c r="M76" s="65">
        <v>0</v>
      </c>
      <c r="N76" s="877">
        <v>0</v>
      </c>
      <c r="O76" s="777">
        <v>0</v>
      </c>
      <c r="P76" s="792">
        <f t="shared" si="1"/>
        <v>0</v>
      </c>
    </row>
    <row r="77" spans="1:16" ht="12.75" customHeight="1">
      <c r="A77" s="560" t="s">
        <v>158</v>
      </c>
      <c r="B77" s="655">
        <v>43983</v>
      </c>
      <c r="C77" s="656">
        <v>0</v>
      </c>
      <c r="D77" s="655">
        <v>44013</v>
      </c>
      <c r="E77" s="822">
        <v>0</v>
      </c>
      <c r="F77" s="797">
        <f t="shared" si="0"/>
        <v>0</v>
      </c>
      <c r="G77" s="267">
        <v>0</v>
      </c>
      <c r="H77" s="267">
        <v>0</v>
      </c>
      <c r="I77" s="267">
        <v>0</v>
      </c>
      <c r="J77" s="267">
        <v>0</v>
      </c>
      <c r="K77" s="267">
        <v>0</v>
      </c>
      <c r="M77" s="65">
        <v>0</v>
      </c>
      <c r="N77" s="877">
        <v>0</v>
      </c>
      <c r="O77" s="777">
        <v>0</v>
      </c>
      <c r="P77" s="792">
        <f t="shared" si="1"/>
        <v>0</v>
      </c>
    </row>
    <row r="78" spans="1:16" ht="12.75" customHeight="1">
      <c r="A78" s="560" t="s">
        <v>157</v>
      </c>
      <c r="B78" s="655">
        <v>43983</v>
      </c>
      <c r="C78" s="656">
        <v>0</v>
      </c>
      <c r="D78" s="655">
        <v>44013</v>
      </c>
      <c r="E78" s="822">
        <v>0</v>
      </c>
      <c r="F78" s="797">
        <f t="shared" si="0"/>
        <v>0</v>
      </c>
      <c r="G78" s="267">
        <v>0</v>
      </c>
      <c r="H78" s="267">
        <v>0</v>
      </c>
      <c r="I78" s="267">
        <v>0</v>
      </c>
      <c r="J78" s="267">
        <v>0</v>
      </c>
      <c r="K78" s="267">
        <v>0</v>
      </c>
      <c r="M78" s="65">
        <v>0</v>
      </c>
      <c r="N78" s="877">
        <v>0</v>
      </c>
      <c r="O78" s="777">
        <v>0</v>
      </c>
      <c r="P78" s="792">
        <f t="shared" si="1"/>
        <v>0</v>
      </c>
    </row>
    <row r="79" spans="1:16" ht="12.75" customHeight="1">
      <c r="A79" s="560" t="s">
        <v>156</v>
      </c>
      <c r="B79" s="655">
        <v>43983</v>
      </c>
      <c r="C79" s="656">
        <v>0</v>
      </c>
      <c r="D79" s="655">
        <v>44013</v>
      </c>
      <c r="E79" s="822">
        <v>0</v>
      </c>
      <c r="F79" s="797">
        <f t="shared" si="0"/>
        <v>0</v>
      </c>
      <c r="G79" s="267">
        <v>0</v>
      </c>
      <c r="H79" s="267">
        <v>0</v>
      </c>
      <c r="I79" s="267">
        <v>0</v>
      </c>
      <c r="J79" s="267">
        <v>0</v>
      </c>
      <c r="K79" s="267">
        <v>0</v>
      </c>
      <c r="M79" s="65">
        <v>0</v>
      </c>
      <c r="N79" s="877">
        <v>0</v>
      </c>
      <c r="O79" s="777">
        <v>0</v>
      </c>
      <c r="P79" s="792">
        <f t="shared" si="1"/>
        <v>0</v>
      </c>
    </row>
    <row r="80" spans="1:16" ht="12.75" customHeight="1">
      <c r="A80" s="560" t="s">
        <v>155</v>
      </c>
      <c r="B80" s="655">
        <v>43983</v>
      </c>
      <c r="C80" s="656">
        <v>0</v>
      </c>
      <c r="D80" s="655">
        <v>44013</v>
      </c>
      <c r="E80" s="822">
        <v>0</v>
      </c>
      <c r="F80" s="797">
        <f t="shared" si="0"/>
        <v>0</v>
      </c>
      <c r="G80" s="267">
        <v>0</v>
      </c>
      <c r="H80" s="267">
        <v>0</v>
      </c>
      <c r="I80" s="267">
        <v>0</v>
      </c>
      <c r="J80" s="267">
        <v>0</v>
      </c>
      <c r="K80" s="267">
        <v>0</v>
      </c>
      <c r="M80" s="65">
        <v>0</v>
      </c>
      <c r="N80" s="877">
        <v>0</v>
      </c>
      <c r="O80" s="777">
        <v>0</v>
      </c>
      <c r="P80" s="792">
        <f t="shared" si="1"/>
        <v>0</v>
      </c>
    </row>
    <row r="81" spans="1:16" ht="12.75" customHeight="1" thickBot="1">
      <c r="A81" s="752" t="s">
        <v>154</v>
      </c>
      <c r="B81" s="655">
        <v>43952</v>
      </c>
      <c r="C81" s="345">
        <v>1</v>
      </c>
      <c r="D81" s="655">
        <v>44013</v>
      </c>
      <c r="E81" s="823">
        <v>0</v>
      </c>
      <c r="F81" s="793">
        <f t="shared" si="0"/>
        <v>0</v>
      </c>
      <c r="G81" s="267">
        <v>0</v>
      </c>
      <c r="H81" s="267">
        <v>0</v>
      </c>
      <c r="I81" s="267">
        <v>0</v>
      </c>
      <c r="J81" s="267">
        <v>0</v>
      </c>
      <c r="K81" s="267">
        <v>0</v>
      </c>
      <c r="M81" s="65">
        <v>0</v>
      </c>
      <c r="N81" s="877">
        <v>0</v>
      </c>
      <c r="O81" s="777">
        <v>0</v>
      </c>
      <c r="P81" s="792">
        <f t="shared" si="1"/>
        <v>0</v>
      </c>
    </row>
    <row r="82" spans="1:16" ht="12.75" customHeight="1" thickBot="1">
      <c r="A82" s="657" t="s">
        <v>154</v>
      </c>
      <c r="B82" s="655">
        <v>43983</v>
      </c>
      <c r="C82" s="656">
        <v>0</v>
      </c>
      <c r="D82" s="655">
        <v>44013</v>
      </c>
      <c r="E82" s="823">
        <v>0</v>
      </c>
      <c r="F82" s="793">
        <f t="shared" si="0"/>
        <v>0</v>
      </c>
      <c r="G82" s="267">
        <v>0</v>
      </c>
      <c r="H82" s="267">
        <v>0</v>
      </c>
      <c r="I82" s="267">
        <v>0</v>
      </c>
      <c r="J82" s="267">
        <v>0</v>
      </c>
      <c r="K82" s="267">
        <v>0</v>
      </c>
      <c r="M82" s="65">
        <v>0</v>
      </c>
      <c r="N82" s="877">
        <v>0</v>
      </c>
      <c r="O82" s="777">
        <v>0</v>
      </c>
      <c r="P82" s="792">
        <f t="shared" si="1"/>
        <v>0</v>
      </c>
    </row>
    <row r="83" spans="1:16" ht="3.65" customHeight="1">
      <c r="A83" s="662"/>
      <c r="B83" s="663"/>
      <c r="C83" s="664"/>
      <c r="D83" s="665"/>
      <c r="E83" s="666"/>
      <c r="F83" s="666"/>
      <c r="G83" s="666"/>
      <c r="H83" s="666"/>
      <c r="I83" s="666"/>
      <c r="J83" s="667"/>
      <c r="K83" s="666"/>
      <c r="M83" s="726"/>
      <c r="N83" s="727"/>
      <c r="O83" s="727"/>
      <c r="P83" s="727"/>
    </row>
    <row r="84" spans="1:16">
      <c r="A84" s="784" t="s">
        <v>59</v>
      </c>
      <c r="B84" s="784"/>
      <c r="C84" s="65"/>
      <c r="D84" s="655">
        <v>43971</v>
      </c>
      <c r="E84" s="65">
        <f t="shared" ref="E84:K84" si="2">SUM(E4:E29)</f>
        <v>385239</v>
      </c>
      <c r="F84" s="65">
        <f t="shared" si="2"/>
        <v>385239</v>
      </c>
      <c r="G84" s="65">
        <f t="shared" si="2"/>
        <v>288929</v>
      </c>
      <c r="H84" s="65">
        <f t="shared" si="2"/>
        <v>0</v>
      </c>
      <c r="I84" s="65">
        <f t="shared" si="2"/>
        <v>96310</v>
      </c>
      <c r="J84" s="65">
        <f t="shared" si="2"/>
        <v>0</v>
      </c>
      <c r="K84" s="65">
        <f t="shared" si="2"/>
        <v>0</v>
      </c>
      <c r="M84" s="65">
        <f>SUM(M4:M29)</f>
        <v>0</v>
      </c>
      <c r="N84" s="65">
        <f>SUM(N4:N29)</f>
        <v>0</v>
      </c>
      <c r="O84" s="65">
        <f>SUM(O4:O29)</f>
        <v>0</v>
      </c>
      <c r="P84" s="65">
        <f>SUM(P4:P29)</f>
        <v>0</v>
      </c>
    </row>
    <row r="85" spans="1:16">
      <c r="A85" s="784" t="s">
        <v>59</v>
      </c>
      <c r="B85" s="785"/>
      <c r="C85" s="65"/>
      <c r="D85" s="655">
        <v>44002</v>
      </c>
      <c r="E85" s="65">
        <f t="shared" ref="E85:K85" si="3">SUM(E30:E55)</f>
        <v>385754</v>
      </c>
      <c r="F85" s="65">
        <f t="shared" si="3"/>
        <v>385754</v>
      </c>
      <c r="G85" s="65">
        <f t="shared" si="3"/>
        <v>289315</v>
      </c>
      <c r="H85" s="65">
        <f t="shared" si="3"/>
        <v>0</v>
      </c>
      <c r="I85" s="65">
        <f t="shared" si="3"/>
        <v>96439</v>
      </c>
      <c r="J85" s="65">
        <f t="shared" si="3"/>
        <v>0</v>
      </c>
      <c r="K85" s="65">
        <f t="shared" si="3"/>
        <v>0</v>
      </c>
      <c r="M85" s="65">
        <f>SUM(M30:M55)</f>
        <v>0</v>
      </c>
      <c r="N85" s="65">
        <f>SUM(N30:N55)</f>
        <v>0</v>
      </c>
      <c r="O85" s="65">
        <f>SUM(O30:O55)</f>
        <v>0</v>
      </c>
      <c r="P85" s="65">
        <f>SUM(P30:P55)</f>
        <v>0</v>
      </c>
    </row>
    <row r="86" spans="1:16" ht="13" thickBot="1">
      <c r="A86" s="786" t="s">
        <v>59</v>
      </c>
      <c r="B86" s="787"/>
      <c r="C86" s="668"/>
      <c r="D86" s="658">
        <v>44032</v>
      </c>
      <c r="E86" s="668">
        <f t="shared" ref="E86:K86" si="4">SUM(E56:E82)</f>
        <v>394876</v>
      </c>
      <c r="F86" s="668">
        <f t="shared" si="4"/>
        <v>394876</v>
      </c>
      <c r="G86" s="668">
        <f t="shared" si="4"/>
        <v>296157</v>
      </c>
      <c r="H86" s="668">
        <f t="shared" si="4"/>
        <v>0</v>
      </c>
      <c r="I86" s="668">
        <f t="shared" si="4"/>
        <v>98719</v>
      </c>
      <c r="J86" s="668">
        <f t="shared" si="4"/>
        <v>0</v>
      </c>
      <c r="K86" s="668">
        <f t="shared" si="4"/>
        <v>0</v>
      </c>
      <c r="M86" s="668">
        <f>SUM(M56:M82)</f>
        <v>0</v>
      </c>
      <c r="N86" s="668">
        <f>SUM(N56:N82)</f>
        <v>0</v>
      </c>
      <c r="O86" s="668">
        <f>SUM(O56:O82)</f>
        <v>0</v>
      </c>
      <c r="P86" s="668">
        <f>SUM(P56:P82)</f>
        <v>0</v>
      </c>
    </row>
    <row r="87" spans="1:16" ht="13" thickBot="1">
      <c r="A87" s="670" t="s">
        <v>58</v>
      </c>
      <c r="B87" s="671"/>
      <c r="C87" s="668"/>
      <c r="D87" s="671"/>
      <c r="E87" s="668">
        <f t="shared" ref="E87:K87" si="5">SUM(E84:E86)</f>
        <v>1165869</v>
      </c>
      <c r="F87" s="668">
        <f t="shared" si="5"/>
        <v>1165869</v>
      </c>
      <c r="G87" s="668">
        <f t="shared" si="5"/>
        <v>874401</v>
      </c>
      <c r="H87" s="668">
        <f t="shared" si="5"/>
        <v>0</v>
      </c>
      <c r="I87" s="668">
        <f t="shared" si="5"/>
        <v>291468</v>
      </c>
      <c r="J87" s="668">
        <f t="shared" si="5"/>
        <v>0</v>
      </c>
      <c r="K87" s="668">
        <f t="shared" si="5"/>
        <v>0</v>
      </c>
      <c r="M87" s="668">
        <f t="shared" ref="M87:P87" si="6">SUM(M84:M86)</f>
        <v>0</v>
      </c>
      <c r="N87" s="668">
        <f t="shared" si="6"/>
        <v>0</v>
      </c>
      <c r="O87" s="668">
        <f t="shared" si="6"/>
        <v>0</v>
      </c>
      <c r="P87" s="668">
        <f t="shared" si="6"/>
        <v>0</v>
      </c>
    </row>
    <row r="88" spans="1:16">
      <c r="A88" s="58" t="s">
        <v>57</v>
      </c>
      <c r="B88" s="655"/>
      <c r="C88" s="655"/>
      <c r="D88" s="655"/>
      <c r="E88" s="65"/>
      <c r="F88" s="65"/>
      <c r="G88" s="65">
        <v>0</v>
      </c>
      <c r="H88" s="65">
        <v>0</v>
      </c>
      <c r="I88" s="65">
        <v>0</v>
      </c>
      <c r="J88" s="65">
        <v>0</v>
      </c>
      <c r="K88" s="65">
        <v>0</v>
      </c>
      <c r="M88" s="777">
        <v>0</v>
      </c>
      <c r="N88" s="777">
        <v>0</v>
      </c>
      <c r="O88" s="777">
        <v>0</v>
      </c>
      <c r="P88" s="777">
        <v>0</v>
      </c>
    </row>
    <row r="89" spans="1:16" ht="3" customHeight="1">
      <c r="A89" s="672"/>
      <c r="B89" s="673"/>
      <c r="C89" s="674"/>
      <c r="D89" s="674"/>
      <c r="E89" s="674"/>
      <c r="F89" s="674"/>
      <c r="G89" s="674"/>
      <c r="H89" s="674"/>
      <c r="I89" s="674"/>
      <c r="J89" s="869"/>
      <c r="K89" s="674"/>
      <c r="M89" s="789"/>
      <c r="N89" s="674"/>
      <c r="O89" s="674"/>
      <c r="P89" s="674"/>
    </row>
    <row r="90" spans="1:16" ht="13">
      <c r="A90" s="16" t="s">
        <v>48</v>
      </c>
      <c r="B90" s="105" t="s">
        <v>303</v>
      </c>
      <c r="C90" s="62"/>
      <c r="D90" s="62"/>
      <c r="E90" s="62">
        <f t="shared" ref="E90:P90" si="7">SUM(E87:E88)</f>
        <v>1165869</v>
      </c>
      <c r="F90" s="62">
        <f t="shared" si="7"/>
        <v>1165869</v>
      </c>
      <c r="G90" s="62">
        <f t="shared" si="7"/>
        <v>874401</v>
      </c>
      <c r="H90" s="62">
        <f t="shared" si="7"/>
        <v>0</v>
      </c>
      <c r="I90" s="62">
        <f t="shared" si="7"/>
        <v>291468</v>
      </c>
      <c r="J90" s="62">
        <f t="shared" si="7"/>
        <v>0</v>
      </c>
      <c r="K90" s="62">
        <f t="shared" si="7"/>
        <v>0</v>
      </c>
      <c r="M90" s="62">
        <f t="shared" si="7"/>
        <v>0</v>
      </c>
      <c r="N90" s="62">
        <f t="shared" si="7"/>
        <v>0</v>
      </c>
      <c r="O90" s="62">
        <f t="shared" si="7"/>
        <v>0</v>
      </c>
      <c r="P90" s="62">
        <f t="shared" si="7"/>
        <v>0</v>
      </c>
    </row>
    <row r="91" spans="1:16">
      <c r="M91" s="89"/>
      <c r="N91" s="89"/>
      <c r="O91" s="89"/>
      <c r="P91" s="12"/>
    </row>
    <row r="92" spans="1:16">
      <c r="E92" s="675"/>
      <c r="F92" s="12"/>
      <c r="G92" s="764"/>
      <c r="H92" s="764"/>
      <c r="I92" s="764"/>
      <c r="J92" s="764"/>
      <c r="K92" s="764"/>
      <c r="M92" s="89"/>
      <c r="N92" s="89"/>
      <c r="O92" s="89"/>
      <c r="P92" s="12"/>
    </row>
    <row r="93" spans="1:16">
      <c r="E93" s="675"/>
      <c r="F93" s="12"/>
      <c r="G93" s="12"/>
      <c r="H93" s="12"/>
      <c r="M93" s="96"/>
      <c r="N93" s="96"/>
      <c r="O93" s="96"/>
      <c r="P93" s="675"/>
    </row>
    <row r="94" spans="1:16">
      <c r="E94" s="675"/>
      <c r="M94" s="91"/>
      <c r="N94" s="91"/>
      <c r="O94" s="91"/>
      <c r="P94" s="675"/>
    </row>
    <row r="95" spans="1:16">
      <c r="E95" s="12"/>
      <c r="M95" s="91"/>
      <c r="N95" s="91"/>
      <c r="O95" s="91"/>
      <c r="P95" s="85"/>
    </row>
    <row r="96" spans="1:16">
      <c r="E96" s="12"/>
      <c r="M96" s="12"/>
      <c r="N96" s="12"/>
      <c r="O96" s="12"/>
      <c r="P96" s="12"/>
    </row>
    <row r="97" spans="8:16">
      <c r="M97" s="12"/>
      <c r="N97" s="12"/>
      <c r="O97" s="12"/>
      <c r="P97" s="12"/>
    </row>
    <row r="98" spans="8:16">
      <c r="M98" s="12"/>
      <c r="N98" s="12"/>
      <c r="O98" s="12"/>
      <c r="P98" s="12"/>
    </row>
    <row r="99" spans="8:16">
      <c r="M99" s="12"/>
      <c r="N99" s="12"/>
      <c r="O99" s="12"/>
      <c r="P99" s="12"/>
    </row>
    <row r="100" spans="8:16">
      <c r="M100" s="12"/>
      <c r="N100" s="12"/>
      <c r="O100" s="12"/>
      <c r="P100" s="12"/>
    </row>
    <row r="101" spans="8:16">
      <c r="M101" s="12"/>
      <c r="N101" s="12"/>
      <c r="O101" s="12"/>
      <c r="P101" s="12"/>
    </row>
    <row r="104" spans="8:16">
      <c r="H104" s="676"/>
    </row>
  </sheetData>
  <mergeCells count="1">
    <mergeCell ref="A1:K1"/>
  </mergeCells>
  <pageMargins left="0.25" right="0.25" top="0.25" bottom="0.25" header="0.34" footer="0.5"/>
  <pageSetup scale="63" orientation="landscape" r:id="rId1"/>
  <headerFooter>
    <oddHeader>&amp;CCalWIN Maintenance and Operations Project County Claim Summary</oddHeader>
    <oddFooter>&amp;Cpage &amp;P of &amp;N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tint="0.59999389629810485"/>
    <pageSetUpPr fitToPage="1"/>
  </sheetPr>
  <dimension ref="A1:P104"/>
  <sheetViews>
    <sheetView showGridLines="0" zoomScaleNormal="100" workbookViewId="0">
      <pane xSplit="2" ySplit="1" topLeftCell="C50" activePane="bottomRight" state="frozen"/>
      <selection sqref="A1:L1"/>
      <selection pane="topRight" sqref="A1:L1"/>
      <selection pane="bottomLeft" sqref="A1:L1"/>
      <selection pane="bottomRight"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11" width="12.7265625" style="1" customWidth="1"/>
    <col min="12" max="12" width="5.54296875" style="1" customWidth="1"/>
    <col min="13" max="16" width="11.54296875" style="1" customWidth="1"/>
    <col min="17" max="16384" width="9.1796875" style="1"/>
  </cols>
  <sheetData>
    <row r="1" spans="1:16" ht="14">
      <c r="A1" s="999" t="s">
        <v>313</v>
      </c>
      <c r="B1" s="999"/>
      <c r="C1" s="999"/>
      <c r="D1" s="999"/>
      <c r="E1" s="999"/>
      <c r="F1" s="999"/>
      <c r="G1" s="999"/>
      <c r="H1" s="999"/>
      <c r="I1" s="999"/>
      <c r="J1" s="999"/>
      <c r="K1" s="999"/>
    </row>
    <row r="2" spans="1:16" ht="12.75" customHeight="1"/>
    <row r="3" spans="1:16" ht="42.75" customHeight="1">
      <c r="A3" s="848" t="s">
        <v>44</v>
      </c>
      <c r="B3" s="848" t="s">
        <v>68</v>
      </c>
      <c r="C3" s="848" t="s">
        <v>67</v>
      </c>
      <c r="D3" s="848" t="s">
        <v>66</v>
      </c>
      <c r="E3" s="848" t="s">
        <v>216</v>
      </c>
      <c r="F3" s="848" t="s">
        <v>48</v>
      </c>
      <c r="G3" s="848" t="s">
        <v>65</v>
      </c>
      <c r="H3" s="848" t="s">
        <v>64</v>
      </c>
      <c r="I3" s="848" t="s">
        <v>63</v>
      </c>
      <c r="J3" s="763" t="s">
        <v>62</v>
      </c>
      <c r="K3" s="763" t="s">
        <v>61</v>
      </c>
      <c r="M3" s="24" t="s">
        <v>43</v>
      </c>
      <c r="N3" s="24" t="s">
        <v>42</v>
      </c>
      <c r="O3" s="24" t="s">
        <v>138</v>
      </c>
      <c r="P3" s="24" t="s">
        <v>60</v>
      </c>
    </row>
    <row r="4" spans="1:16" ht="12.75" customHeight="1">
      <c r="A4" s="560" t="s">
        <v>171</v>
      </c>
      <c r="B4" s="655">
        <v>43922</v>
      </c>
      <c r="C4" s="656">
        <v>0</v>
      </c>
      <c r="D4" s="655">
        <v>43952</v>
      </c>
      <c r="E4" s="822">
        <v>0</v>
      </c>
      <c r="F4" s="797">
        <f>SUM(G4:K4)</f>
        <v>0</v>
      </c>
      <c r="G4" s="267">
        <v>0</v>
      </c>
      <c r="H4" s="267">
        <v>0</v>
      </c>
      <c r="I4" s="267">
        <v>0</v>
      </c>
      <c r="J4" s="267">
        <v>0</v>
      </c>
      <c r="K4" s="267">
        <v>0</v>
      </c>
      <c r="M4" s="65">
        <v>0</v>
      </c>
      <c r="N4" s="65">
        <v>0</v>
      </c>
      <c r="O4" s="65">
        <v>0</v>
      </c>
      <c r="P4" s="792">
        <f>SUM(M4:O4)</f>
        <v>0</v>
      </c>
    </row>
    <row r="5" spans="1:16" ht="12.75" customHeight="1">
      <c r="A5" s="560" t="s">
        <v>170</v>
      </c>
      <c r="B5" s="655">
        <v>43922</v>
      </c>
      <c r="C5" s="656">
        <v>0</v>
      </c>
      <c r="D5" s="655">
        <v>43952</v>
      </c>
      <c r="E5" s="822">
        <v>0</v>
      </c>
      <c r="F5" s="797">
        <f t="shared" ref="F5:F29" si="0">SUM(G5:K5)</f>
        <v>0</v>
      </c>
      <c r="G5" s="267">
        <v>0</v>
      </c>
      <c r="H5" s="267">
        <v>0</v>
      </c>
      <c r="I5" s="267">
        <v>0</v>
      </c>
      <c r="J5" s="267">
        <v>0</v>
      </c>
      <c r="K5" s="267">
        <v>0</v>
      </c>
      <c r="M5" s="65">
        <v>0</v>
      </c>
      <c r="N5" s="65">
        <v>0</v>
      </c>
      <c r="O5" s="65">
        <v>0</v>
      </c>
      <c r="P5" s="792">
        <f t="shared" ref="P5:P55" si="1">SUM(M5:O5)</f>
        <v>0</v>
      </c>
    </row>
    <row r="6" spans="1:16" ht="12.75" customHeight="1">
      <c r="A6" s="560" t="s">
        <v>169</v>
      </c>
      <c r="B6" s="655">
        <v>43922</v>
      </c>
      <c r="C6" s="656">
        <v>0</v>
      </c>
      <c r="D6" s="655">
        <v>43952</v>
      </c>
      <c r="E6" s="822">
        <v>0</v>
      </c>
      <c r="F6" s="797">
        <f t="shared" si="0"/>
        <v>0</v>
      </c>
      <c r="G6" s="267">
        <v>0</v>
      </c>
      <c r="H6" s="267">
        <v>0</v>
      </c>
      <c r="I6" s="267">
        <v>0</v>
      </c>
      <c r="J6" s="267">
        <v>0</v>
      </c>
      <c r="K6" s="267">
        <v>0</v>
      </c>
      <c r="M6" s="65">
        <v>0</v>
      </c>
      <c r="N6" s="65">
        <v>0</v>
      </c>
      <c r="O6" s="65">
        <v>0</v>
      </c>
      <c r="P6" s="792">
        <f t="shared" si="1"/>
        <v>0</v>
      </c>
    </row>
    <row r="7" spans="1:16" ht="12.75" customHeight="1">
      <c r="A7" s="560" t="s">
        <v>168</v>
      </c>
      <c r="B7" s="655">
        <v>43922</v>
      </c>
      <c r="C7" s="656">
        <v>0</v>
      </c>
      <c r="D7" s="655">
        <v>43952</v>
      </c>
      <c r="E7" s="822">
        <v>0</v>
      </c>
      <c r="F7" s="797">
        <f t="shared" si="0"/>
        <v>0</v>
      </c>
      <c r="G7" s="267">
        <v>0</v>
      </c>
      <c r="H7" s="267">
        <v>0</v>
      </c>
      <c r="I7" s="267">
        <v>0</v>
      </c>
      <c r="J7" s="267">
        <v>0</v>
      </c>
      <c r="K7" s="267">
        <v>0</v>
      </c>
      <c r="M7" s="65">
        <v>0</v>
      </c>
      <c r="N7" s="65">
        <v>0</v>
      </c>
      <c r="O7" s="65">
        <v>0</v>
      </c>
      <c r="P7" s="792">
        <f t="shared" si="1"/>
        <v>0</v>
      </c>
    </row>
    <row r="8" spans="1:16" ht="12.75" customHeight="1">
      <c r="A8" s="560" t="s">
        <v>167</v>
      </c>
      <c r="B8" s="655">
        <v>43922</v>
      </c>
      <c r="C8" s="656">
        <v>0</v>
      </c>
      <c r="D8" s="655">
        <v>43952</v>
      </c>
      <c r="E8" s="822">
        <v>0</v>
      </c>
      <c r="F8" s="797">
        <f t="shared" si="0"/>
        <v>0</v>
      </c>
      <c r="G8" s="267">
        <v>0</v>
      </c>
      <c r="H8" s="267">
        <v>0</v>
      </c>
      <c r="I8" s="267">
        <v>0</v>
      </c>
      <c r="J8" s="267">
        <v>0</v>
      </c>
      <c r="K8" s="267">
        <v>0</v>
      </c>
      <c r="M8" s="65">
        <v>0</v>
      </c>
      <c r="N8" s="65">
        <v>0</v>
      </c>
      <c r="O8" s="65">
        <v>0</v>
      </c>
      <c r="P8" s="792">
        <f t="shared" si="1"/>
        <v>0</v>
      </c>
    </row>
    <row r="9" spans="1:16" ht="12.75" customHeight="1">
      <c r="A9" s="560" t="s">
        <v>166</v>
      </c>
      <c r="B9" s="655">
        <v>43922</v>
      </c>
      <c r="C9" s="656">
        <v>0</v>
      </c>
      <c r="D9" s="655">
        <v>43952</v>
      </c>
      <c r="E9" s="822">
        <v>0</v>
      </c>
      <c r="F9" s="797">
        <f t="shared" si="0"/>
        <v>0</v>
      </c>
      <c r="G9" s="267">
        <v>0</v>
      </c>
      <c r="H9" s="267">
        <v>0</v>
      </c>
      <c r="I9" s="267">
        <v>0</v>
      </c>
      <c r="J9" s="267">
        <v>0</v>
      </c>
      <c r="K9" s="267">
        <v>0</v>
      </c>
      <c r="M9" s="65">
        <v>0</v>
      </c>
      <c r="N9" s="65">
        <v>0</v>
      </c>
      <c r="O9" s="65">
        <v>0</v>
      </c>
      <c r="P9" s="792">
        <f t="shared" si="1"/>
        <v>0</v>
      </c>
    </row>
    <row r="10" spans="1:16" ht="12.75" customHeight="1">
      <c r="A10" s="560" t="s">
        <v>11</v>
      </c>
      <c r="B10" s="655">
        <v>43922</v>
      </c>
      <c r="C10" s="656">
        <v>0</v>
      </c>
      <c r="D10" s="655">
        <v>43952</v>
      </c>
      <c r="E10" s="822">
        <v>0</v>
      </c>
      <c r="F10" s="797">
        <f t="shared" si="0"/>
        <v>0</v>
      </c>
      <c r="G10" s="267">
        <v>0</v>
      </c>
      <c r="H10" s="267">
        <v>0</v>
      </c>
      <c r="I10" s="267">
        <v>0</v>
      </c>
      <c r="J10" s="267">
        <v>0</v>
      </c>
      <c r="K10" s="267">
        <v>0</v>
      </c>
      <c r="M10" s="65">
        <v>0</v>
      </c>
      <c r="N10" s="65">
        <v>0</v>
      </c>
      <c r="O10" s="65">
        <v>0</v>
      </c>
      <c r="P10" s="792">
        <f t="shared" si="1"/>
        <v>0</v>
      </c>
    </row>
    <row r="11" spans="1:16" ht="12.75" customHeight="1">
      <c r="A11" s="560" t="s">
        <v>165</v>
      </c>
      <c r="B11" s="655">
        <v>43922</v>
      </c>
      <c r="C11" s="656">
        <v>0</v>
      </c>
      <c r="D11" s="655">
        <v>43952</v>
      </c>
      <c r="E11" s="822">
        <v>0</v>
      </c>
      <c r="F11" s="797">
        <f t="shared" si="0"/>
        <v>0</v>
      </c>
      <c r="G11" s="267">
        <v>0</v>
      </c>
      <c r="H11" s="267">
        <v>0</v>
      </c>
      <c r="I11" s="267">
        <v>0</v>
      </c>
      <c r="J11" s="267">
        <v>0</v>
      </c>
      <c r="K11" s="267">
        <v>0</v>
      </c>
      <c r="M11" s="65">
        <v>0</v>
      </c>
      <c r="N11" s="65">
        <v>0</v>
      </c>
      <c r="O11" s="65">
        <v>0</v>
      </c>
      <c r="P11" s="792">
        <f t="shared" si="1"/>
        <v>0</v>
      </c>
    </row>
    <row r="12" spans="1:16" ht="12.75" customHeight="1">
      <c r="A12" s="560" t="s">
        <v>164</v>
      </c>
      <c r="B12" s="655">
        <v>43739</v>
      </c>
      <c r="C12" s="345">
        <v>1</v>
      </c>
      <c r="D12" s="655">
        <v>43952</v>
      </c>
      <c r="E12" s="822">
        <v>0</v>
      </c>
      <c r="F12" s="797">
        <f t="shared" si="0"/>
        <v>0</v>
      </c>
      <c r="G12" s="267">
        <v>0</v>
      </c>
      <c r="H12" s="267">
        <v>0</v>
      </c>
      <c r="I12" s="267">
        <v>0</v>
      </c>
      <c r="J12" s="267">
        <v>0</v>
      </c>
      <c r="K12" s="267">
        <v>0</v>
      </c>
      <c r="M12" s="65">
        <v>0</v>
      </c>
      <c r="N12" s="65">
        <v>0</v>
      </c>
      <c r="O12" s="65">
        <v>0</v>
      </c>
      <c r="P12" s="792">
        <f t="shared" si="1"/>
        <v>0</v>
      </c>
    </row>
    <row r="13" spans="1:16" ht="12.75" customHeight="1">
      <c r="A13" s="560" t="s">
        <v>164</v>
      </c>
      <c r="B13" s="655">
        <v>43922</v>
      </c>
      <c r="C13" s="656">
        <v>0</v>
      </c>
      <c r="D13" s="655">
        <v>43952</v>
      </c>
      <c r="E13" s="822">
        <v>0</v>
      </c>
      <c r="F13" s="797">
        <f t="shared" si="0"/>
        <v>0</v>
      </c>
      <c r="G13" s="267">
        <v>0</v>
      </c>
      <c r="H13" s="267">
        <v>0</v>
      </c>
      <c r="I13" s="267">
        <v>0</v>
      </c>
      <c r="J13" s="267">
        <v>0</v>
      </c>
      <c r="K13" s="267">
        <v>0</v>
      </c>
      <c r="M13" s="65">
        <v>0</v>
      </c>
      <c r="N13" s="65">
        <v>0</v>
      </c>
      <c r="O13" s="65">
        <v>0</v>
      </c>
      <c r="P13" s="792">
        <f t="shared" si="1"/>
        <v>0</v>
      </c>
    </row>
    <row r="14" spans="1:16" ht="12.75" customHeight="1">
      <c r="A14" s="560" t="s">
        <v>163</v>
      </c>
      <c r="B14" s="655">
        <v>43922</v>
      </c>
      <c r="C14" s="656">
        <v>0</v>
      </c>
      <c r="D14" s="655">
        <v>43952</v>
      </c>
      <c r="E14" s="822">
        <v>0</v>
      </c>
      <c r="F14" s="797">
        <f t="shared" si="0"/>
        <v>0</v>
      </c>
      <c r="G14" s="267">
        <v>0</v>
      </c>
      <c r="H14" s="267">
        <v>0</v>
      </c>
      <c r="I14" s="267">
        <v>0</v>
      </c>
      <c r="J14" s="267">
        <v>0</v>
      </c>
      <c r="K14" s="267">
        <v>0</v>
      </c>
      <c r="M14" s="65">
        <v>0</v>
      </c>
      <c r="N14" s="65">
        <v>0</v>
      </c>
      <c r="O14" s="65">
        <v>0</v>
      </c>
      <c r="P14" s="792">
        <f t="shared" si="1"/>
        <v>0</v>
      </c>
    </row>
    <row r="15" spans="1:16" ht="12.75" customHeight="1">
      <c r="A15" s="560" t="s">
        <v>162</v>
      </c>
      <c r="B15" s="655">
        <v>43922</v>
      </c>
      <c r="C15" s="656">
        <v>0</v>
      </c>
      <c r="D15" s="655">
        <v>43952</v>
      </c>
      <c r="E15" s="822">
        <v>0</v>
      </c>
      <c r="F15" s="797">
        <f t="shared" si="0"/>
        <v>0</v>
      </c>
      <c r="G15" s="267">
        <v>0</v>
      </c>
      <c r="H15" s="267">
        <v>0</v>
      </c>
      <c r="I15" s="267">
        <v>0</v>
      </c>
      <c r="J15" s="267">
        <v>0</v>
      </c>
      <c r="K15" s="267">
        <v>0</v>
      </c>
      <c r="M15" s="65">
        <v>0</v>
      </c>
      <c r="N15" s="65">
        <v>0</v>
      </c>
      <c r="O15" s="65">
        <v>0</v>
      </c>
      <c r="P15" s="792">
        <f t="shared" si="1"/>
        <v>0</v>
      </c>
    </row>
    <row r="16" spans="1:16" ht="12.75" customHeight="1">
      <c r="A16" s="560" t="s">
        <v>161</v>
      </c>
      <c r="B16" s="655">
        <v>43922</v>
      </c>
      <c r="C16" s="656">
        <v>0</v>
      </c>
      <c r="D16" s="655">
        <v>43952</v>
      </c>
      <c r="E16" s="822">
        <v>0</v>
      </c>
      <c r="F16" s="797">
        <f t="shared" si="0"/>
        <v>0</v>
      </c>
      <c r="G16" s="267">
        <v>0</v>
      </c>
      <c r="H16" s="267">
        <v>0</v>
      </c>
      <c r="I16" s="267">
        <v>0</v>
      </c>
      <c r="J16" s="267">
        <v>0</v>
      </c>
      <c r="K16" s="267">
        <v>0</v>
      </c>
      <c r="M16" s="65">
        <v>0</v>
      </c>
      <c r="N16" s="65">
        <v>0</v>
      </c>
      <c r="O16" s="65">
        <v>0</v>
      </c>
      <c r="P16" s="792">
        <f t="shared" si="1"/>
        <v>0</v>
      </c>
    </row>
    <row r="17" spans="1:16" ht="12.75" customHeight="1">
      <c r="A17" s="560" t="s">
        <v>160</v>
      </c>
      <c r="B17" s="655">
        <v>44105</v>
      </c>
      <c r="C17" s="345">
        <v>2</v>
      </c>
      <c r="D17" s="655">
        <v>43952</v>
      </c>
      <c r="E17" s="822">
        <v>0</v>
      </c>
      <c r="F17" s="797">
        <f t="shared" si="0"/>
        <v>0</v>
      </c>
      <c r="G17" s="267">
        <v>0</v>
      </c>
      <c r="H17" s="267">
        <v>0</v>
      </c>
      <c r="I17" s="267">
        <v>0</v>
      </c>
      <c r="J17" s="267">
        <v>0</v>
      </c>
      <c r="K17" s="267">
        <v>0</v>
      </c>
      <c r="M17" s="65">
        <v>0</v>
      </c>
      <c r="N17" s="65">
        <v>0</v>
      </c>
      <c r="O17" s="65">
        <v>0</v>
      </c>
      <c r="P17" s="792">
        <f t="shared" si="1"/>
        <v>0</v>
      </c>
    </row>
    <row r="18" spans="1:16" ht="12.75" customHeight="1">
      <c r="A18" s="560" t="s">
        <v>160</v>
      </c>
      <c r="B18" s="655">
        <v>44136</v>
      </c>
      <c r="C18" s="345">
        <v>2</v>
      </c>
      <c r="D18" s="655">
        <v>43952</v>
      </c>
      <c r="E18" s="822">
        <v>0</v>
      </c>
      <c r="F18" s="797">
        <f t="shared" si="0"/>
        <v>0</v>
      </c>
      <c r="G18" s="267">
        <v>0</v>
      </c>
      <c r="H18" s="267">
        <v>0</v>
      </c>
      <c r="I18" s="267">
        <v>0</v>
      </c>
      <c r="J18" s="267">
        <v>0</v>
      </c>
      <c r="K18" s="267">
        <v>0</v>
      </c>
      <c r="M18" s="65">
        <v>0</v>
      </c>
      <c r="N18" s="65">
        <v>0</v>
      </c>
      <c r="O18" s="65">
        <v>0</v>
      </c>
      <c r="P18" s="792">
        <f t="shared" si="1"/>
        <v>0</v>
      </c>
    </row>
    <row r="19" spans="1:16" ht="12.75" customHeight="1">
      <c r="A19" s="560" t="s">
        <v>160</v>
      </c>
      <c r="B19" s="655">
        <v>44166</v>
      </c>
      <c r="C19" s="345">
        <v>2</v>
      </c>
      <c r="D19" s="655">
        <v>43952</v>
      </c>
      <c r="E19" s="822">
        <v>0</v>
      </c>
      <c r="F19" s="797">
        <f t="shared" si="0"/>
        <v>0</v>
      </c>
      <c r="G19" s="267">
        <v>0</v>
      </c>
      <c r="H19" s="267">
        <v>0</v>
      </c>
      <c r="I19" s="267">
        <v>0</v>
      </c>
      <c r="J19" s="267">
        <v>0</v>
      </c>
      <c r="K19" s="267">
        <v>0</v>
      </c>
      <c r="M19" s="65">
        <v>0</v>
      </c>
      <c r="N19" s="65">
        <v>0</v>
      </c>
      <c r="O19" s="65">
        <v>0</v>
      </c>
      <c r="P19" s="792">
        <f t="shared" si="1"/>
        <v>0</v>
      </c>
    </row>
    <row r="20" spans="1:16" ht="12.75" customHeight="1">
      <c r="A20" s="560" t="s">
        <v>160</v>
      </c>
      <c r="B20" s="655">
        <v>43831</v>
      </c>
      <c r="C20" s="345">
        <v>2</v>
      </c>
      <c r="D20" s="655">
        <v>43952</v>
      </c>
      <c r="E20" s="822">
        <v>0</v>
      </c>
      <c r="F20" s="797">
        <f t="shared" si="0"/>
        <v>0</v>
      </c>
      <c r="G20" s="267">
        <v>0</v>
      </c>
      <c r="H20" s="267">
        <v>0</v>
      </c>
      <c r="I20" s="267">
        <v>0</v>
      </c>
      <c r="J20" s="267">
        <v>0</v>
      </c>
      <c r="K20" s="267">
        <v>0</v>
      </c>
      <c r="M20" s="65">
        <v>0</v>
      </c>
      <c r="N20" s="65">
        <v>0</v>
      </c>
      <c r="O20" s="65">
        <v>0</v>
      </c>
      <c r="P20" s="792">
        <f t="shared" si="1"/>
        <v>0</v>
      </c>
    </row>
    <row r="21" spans="1:16" ht="12.75" customHeight="1">
      <c r="A21" s="560" t="s">
        <v>160</v>
      </c>
      <c r="B21" s="655">
        <v>43862</v>
      </c>
      <c r="C21" s="345">
        <v>2</v>
      </c>
      <c r="D21" s="655">
        <v>43952</v>
      </c>
      <c r="E21" s="822">
        <v>0</v>
      </c>
      <c r="F21" s="797">
        <f t="shared" si="0"/>
        <v>0</v>
      </c>
      <c r="G21" s="267">
        <v>0</v>
      </c>
      <c r="H21" s="267">
        <v>0</v>
      </c>
      <c r="I21" s="267">
        <v>0</v>
      </c>
      <c r="J21" s="267">
        <v>0</v>
      </c>
      <c r="K21" s="267">
        <v>0</v>
      </c>
      <c r="M21" s="65">
        <v>0</v>
      </c>
      <c r="N21" s="65">
        <v>0</v>
      </c>
      <c r="O21" s="65">
        <v>0</v>
      </c>
      <c r="P21" s="792">
        <f t="shared" si="1"/>
        <v>0</v>
      </c>
    </row>
    <row r="22" spans="1:16" ht="12.75" customHeight="1">
      <c r="A22" s="560" t="s">
        <v>160</v>
      </c>
      <c r="B22" s="655">
        <v>43891</v>
      </c>
      <c r="C22" s="345">
        <v>1</v>
      </c>
      <c r="D22" s="655">
        <v>43952</v>
      </c>
      <c r="E22" s="822">
        <v>0</v>
      </c>
      <c r="F22" s="797">
        <f t="shared" si="0"/>
        <v>0</v>
      </c>
      <c r="G22" s="267">
        <v>0</v>
      </c>
      <c r="H22" s="267">
        <v>0</v>
      </c>
      <c r="I22" s="267">
        <v>0</v>
      </c>
      <c r="J22" s="267">
        <v>0</v>
      </c>
      <c r="K22" s="267">
        <v>0</v>
      </c>
      <c r="M22" s="65">
        <v>0</v>
      </c>
      <c r="N22" s="65">
        <v>0</v>
      </c>
      <c r="O22" s="65">
        <v>0</v>
      </c>
      <c r="P22" s="792">
        <f t="shared" si="1"/>
        <v>0</v>
      </c>
    </row>
    <row r="23" spans="1:16" ht="12.75" customHeight="1">
      <c r="A23" s="560" t="s">
        <v>160</v>
      </c>
      <c r="B23" s="655">
        <v>43922</v>
      </c>
      <c r="C23" s="656">
        <v>0</v>
      </c>
      <c r="D23" s="655">
        <v>43952</v>
      </c>
      <c r="E23" s="822">
        <v>0</v>
      </c>
      <c r="F23" s="797">
        <f t="shared" si="0"/>
        <v>0</v>
      </c>
      <c r="G23" s="267">
        <v>0</v>
      </c>
      <c r="H23" s="267">
        <v>0</v>
      </c>
      <c r="I23" s="267">
        <v>0</v>
      </c>
      <c r="J23" s="267">
        <v>0</v>
      </c>
      <c r="K23" s="267">
        <v>0</v>
      </c>
      <c r="M23" s="65">
        <v>0</v>
      </c>
      <c r="N23" s="65">
        <v>0</v>
      </c>
      <c r="O23" s="65">
        <v>0</v>
      </c>
      <c r="P23" s="792">
        <f t="shared" si="1"/>
        <v>0</v>
      </c>
    </row>
    <row r="24" spans="1:16" ht="12.75" customHeight="1">
      <c r="A24" s="560" t="s">
        <v>159</v>
      </c>
      <c r="B24" s="655">
        <v>43922</v>
      </c>
      <c r="C24" s="656">
        <v>0</v>
      </c>
      <c r="D24" s="655">
        <v>43952</v>
      </c>
      <c r="E24" s="822">
        <v>0</v>
      </c>
      <c r="F24" s="797">
        <f t="shared" si="0"/>
        <v>0</v>
      </c>
      <c r="G24" s="267">
        <v>0</v>
      </c>
      <c r="H24" s="267">
        <v>0</v>
      </c>
      <c r="I24" s="267">
        <v>0</v>
      </c>
      <c r="J24" s="267">
        <v>0</v>
      </c>
      <c r="K24" s="267">
        <v>0</v>
      </c>
      <c r="M24" s="65">
        <v>0</v>
      </c>
      <c r="N24" s="65">
        <v>0</v>
      </c>
      <c r="O24" s="65">
        <v>0</v>
      </c>
      <c r="P24" s="792">
        <f t="shared" si="1"/>
        <v>0</v>
      </c>
    </row>
    <row r="25" spans="1:16" ht="12.75" customHeight="1">
      <c r="A25" s="560" t="s">
        <v>158</v>
      </c>
      <c r="B25" s="655">
        <v>43922</v>
      </c>
      <c r="C25" s="656">
        <v>0</v>
      </c>
      <c r="D25" s="655">
        <v>43952</v>
      </c>
      <c r="E25" s="822">
        <v>0</v>
      </c>
      <c r="F25" s="797">
        <f t="shared" si="0"/>
        <v>0</v>
      </c>
      <c r="G25" s="267">
        <v>0</v>
      </c>
      <c r="H25" s="267">
        <v>0</v>
      </c>
      <c r="I25" s="267">
        <v>0</v>
      </c>
      <c r="J25" s="267">
        <v>0</v>
      </c>
      <c r="K25" s="267">
        <v>0</v>
      </c>
      <c r="M25" s="65">
        <v>0</v>
      </c>
      <c r="N25" s="65">
        <v>0</v>
      </c>
      <c r="O25" s="65">
        <v>0</v>
      </c>
      <c r="P25" s="792">
        <f t="shared" si="1"/>
        <v>0</v>
      </c>
    </row>
    <row r="26" spans="1:16" ht="12.75" customHeight="1">
      <c r="A26" s="560" t="s">
        <v>157</v>
      </c>
      <c r="B26" s="655">
        <v>43922</v>
      </c>
      <c r="C26" s="656">
        <v>0</v>
      </c>
      <c r="D26" s="655">
        <v>43952</v>
      </c>
      <c r="E26" s="822">
        <v>0</v>
      </c>
      <c r="F26" s="797">
        <f t="shared" si="0"/>
        <v>0</v>
      </c>
      <c r="G26" s="267">
        <v>0</v>
      </c>
      <c r="H26" s="267">
        <v>0</v>
      </c>
      <c r="I26" s="267">
        <v>0</v>
      </c>
      <c r="J26" s="267">
        <v>0</v>
      </c>
      <c r="K26" s="267">
        <v>0</v>
      </c>
      <c r="M26" s="65">
        <v>0</v>
      </c>
      <c r="N26" s="65">
        <v>0</v>
      </c>
      <c r="O26" s="65">
        <v>0</v>
      </c>
      <c r="P26" s="792">
        <f t="shared" si="1"/>
        <v>0</v>
      </c>
    </row>
    <row r="27" spans="1:16" ht="12.75" customHeight="1">
      <c r="A27" s="560" t="s">
        <v>156</v>
      </c>
      <c r="B27" s="655">
        <v>43922</v>
      </c>
      <c r="C27" s="656">
        <v>0</v>
      </c>
      <c r="D27" s="655">
        <v>43952</v>
      </c>
      <c r="E27" s="822">
        <v>0</v>
      </c>
      <c r="F27" s="797">
        <f t="shared" si="0"/>
        <v>0</v>
      </c>
      <c r="G27" s="267">
        <v>0</v>
      </c>
      <c r="H27" s="267">
        <v>0</v>
      </c>
      <c r="I27" s="267">
        <v>0</v>
      </c>
      <c r="J27" s="267">
        <v>0</v>
      </c>
      <c r="K27" s="267">
        <v>0</v>
      </c>
      <c r="M27" s="65">
        <v>0</v>
      </c>
      <c r="N27" s="65">
        <v>0</v>
      </c>
      <c r="O27" s="65">
        <v>0</v>
      </c>
      <c r="P27" s="792">
        <f t="shared" si="1"/>
        <v>0</v>
      </c>
    </row>
    <row r="28" spans="1:16" ht="12.75" customHeight="1">
      <c r="A28" s="560" t="s">
        <v>155</v>
      </c>
      <c r="B28" s="655">
        <v>43922</v>
      </c>
      <c r="C28" s="656">
        <v>0</v>
      </c>
      <c r="D28" s="655">
        <v>43952</v>
      </c>
      <c r="E28" s="822">
        <v>0</v>
      </c>
      <c r="F28" s="797">
        <f t="shared" si="0"/>
        <v>0</v>
      </c>
      <c r="G28" s="267">
        <v>0</v>
      </c>
      <c r="H28" s="267">
        <v>0</v>
      </c>
      <c r="I28" s="267">
        <v>0</v>
      </c>
      <c r="J28" s="267">
        <v>0</v>
      </c>
      <c r="K28" s="267">
        <v>0</v>
      </c>
      <c r="M28" s="65">
        <v>0</v>
      </c>
      <c r="N28" s="65">
        <v>0</v>
      </c>
      <c r="O28" s="65">
        <v>0</v>
      </c>
      <c r="P28" s="792">
        <f t="shared" si="1"/>
        <v>0</v>
      </c>
    </row>
    <row r="29" spans="1:16" ht="12.75" customHeight="1" thickBot="1">
      <c r="A29" s="657" t="s">
        <v>154</v>
      </c>
      <c r="B29" s="844">
        <v>43922</v>
      </c>
      <c r="C29" s="659">
        <v>0</v>
      </c>
      <c r="D29" s="844">
        <v>43952</v>
      </c>
      <c r="E29" s="825">
        <v>0</v>
      </c>
      <c r="F29" s="806">
        <f t="shared" si="0"/>
        <v>0</v>
      </c>
      <c r="G29" s="753">
        <v>0</v>
      </c>
      <c r="H29" s="753">
        <v>0</v>
      </c>
      <c r="I29" s="753">
        <v>0</v>
      </c>
      <c r="J29" s="753">
        <v>0</v>
      </c>
      <c r="K29" s="753">
        <v>0</v>
      </c>
      <c r="L29" s="311"/>
      <c r="M29" s="340">
        <v>0</v>
      </c>
      <c r="N29" s="340">
        <v>0</v>
      </c>
      <c r="O29" s="340">
        <v>0</v>
      </c>
      <c r="P29" s="802">
        <f t="shared" si="1"/>
        <v>0</v>
      </c>
    </row>
    <row r="30" spans="1:16" ht="12.75" customHeight="1">
      <c r="A30" s="892" t="s">
        <v>171</v>
      </c>
      <c r="B30" s="876">
        <v>43800</v>
      </c>
      <c r="C30" s="868">
        <v>2</v>
      </c>
      <c r="D30" s="876">
        <v>43983</v>
      </c>
      <c r="E30" s="826">
        <v>0</v>
      </c>
      <c r="F30" s="805">
        <f>SUM(G30:K30)</f>
        <v>0</v>
      </c>
      <c r="G30" s="780">
        <v>0</v>
      </c>
      <c r="H30" s="780">
        <v>0</v>
      </c>
      <c r="I30" s="780">
        <v>0</v>
      </c>
      <c r="J30" s="780">
        <v>0</v>
      </c>
      <c r="K30" s="780">
        <v>0</v>
      </c>
      <c r="M30" s="777">
        <v>0</v>
      </c>
      <c r="N30" s="777">
        <v>0</v>
      </c>
      <c r="O30" s="777">
        <v>0</v>
      </c>
      <c r="P30" s="792">
        <f t="shared" si="1"/>
        <v>0</v>
      </c>
    </row>
    <row r="31" spans="1:16" ht="12.75" customHeight="1">
      <c r="A31" s="565" t="s">
        <v>171</v>
      </c>
      <c r="B31" s="660">
        <v>43952</v>
      </c>
      <c r="C31" s="661">
        <v>0</v>
      </c>
      <c r="D31" s="660">
        <v>43983</v>
      </c>
      <c r="E31" s="824">
        <v>0</v>
      </c>
      <c r="F31" s="791">
        <f>SUM(G31:K31)</f>
        <v>0</v>
      </c>
      <c r="G31" s="776">
        <v>0</v>
      </c>
      <c r="H31" s="776">
        <v>0</v>
      </c>
      <c r="I31" s="776">
        <v>0</v>
      </c>
      <c r="J31" s="776">
        <v>0</v>
      </c>
      <c r="K31" s="776">
        <v>0</v>
      </c>
      <c r="M31" s="777">
        <v>0</v>
      </c>
      <c r="N31" s="777">
        <v>0</v>
      </c>
      <c r="O31" s="777">
        <v>0</v>
      </c>
      <c r="P31" s="792">
        <f t="shared" si="1"/>
        <v>0</v>
      </c>
    </row>
    <row r="32" spans="1:16" ht="12.75" customHeight="1">
      <c r="A32" s="560" t="s">
        <v>170</v>
      </c>
      <c r="B32" s="660">
        <v>43800</v>
      </c>
      <c r="C32" s="756">
        <v>1</v>
      </c>
      <c r="D32" s="660">
        <v>43983</v>
      </c>
      <c r="E32" s="822">
        <v>0</v>
      </c>
      <c r="F32" s="791">
        <f t="shared" ref="F32:F55" si="2">SUM(G32:K32)</f>
        <v>0</v>
      </c>
      <c r="G32" s="776">
        <v>0</v>
      </c>
      <c r="H32" s="776">
        <v>0</v>
      </c>
      <c r="I32" s="776">
        <v>0</v>
      </c>
      <c r="J32" s="776">
        <v>0</v>
      </c>
      <c r="K32" s="776">
        <v>0</v>
      </c>
      <c r="M32" s="777">
        <v>0</v>
      </c>
      <c r="N32" s="777">
        <v>0</v>
      </c>
      <c r="O32" s="777">
        <v>0</v>
      </c>
      <c r="P32" s="792">
        <f t="shared" si="1"/>
        <v>0</v>
      </c>
    </row>
    <row r="33" spans="1:16" ht="12.75" customHeight="1">
      <c r="A33" s="560" t="s">
        <v>170</v>
      </c>
      <c r="B33" s="660">
        <v>43831</v>
      </c>
      <c r="C33" s="756">
        <v>1</v>
      </c>
      <c r="D33" s="660">
        <v>43983</v>
      </c>
      <c r="E33" s="822">
        <v>0</v>
      </c>
      <c r="F33" s="791">
        <f t="shared" si="2"/>
        <v>0</v>
      </c>
      <c r="G33" s="776">
        <v>0</v>
      </c>
      <c r="H33" s="776">
        <v>0</v>
      </c>
      <c r="I33" s="776">
        <v>0</v>
      </c>
      <c r="J33" s="776">
        <v>0</v>
      </c>
      <c r="K33" s="776">
        <v>0</v>
      </c>
      <c r="M33" s="777">
        <v>0</v>
      </c>
      <c r="N33" s="777">
        <v>0</v>
      </c>
      <c r="O33" s="777">
        <v>0</v>
      </c>
      <c r="P33" s="792">
        <f t="shared" si="1"/>
        <v>0</v>
      </c>
    </row>
    <row r="34" spans="1:16" ht="12.75" customHeight="1">
      <c r="A34" s="560" t="s">
        <v>170</v>
      </c>
      <c r="B34" s="660">
        <v>43862</v>
      </c>
      <c r="C34" s="756">
        <v>1</v>
      </c>
      <c r="D34" s="660">
        <v>43983</v>
      </c>
      <c r="E34" s="822">
        <v>0</v>
      </c>
      <c r="F34" s="791">
        <f t="shared" si="2"/>
        <v>0</v>
      </c>
      <c r="G34" s="776">
        <v>0</v>
      </c>
      <c r="H34" s="776">
        <v>0</v>
      </c>
      <c r="I34" s="776">
        <v>0</v>
      </c>
      <c r="J34" s="776">
        <v>0</v>
      </c>
      <c r="K34" s="776">
        <v>0</v>
      </c>
      <c r="M34" s="777">
        <v>0</v>
      </c>
      <c r="N34" s="777">
        <v>0</v>
      </c>
      <c r="O34" s="777">
        <v>0</v>
      </c>
      <c r="P34" s="792">
        <f t="shared" si="1"/>
        <v>0</v>
      </c>
    </row>
    <row r="35" spans="1:16" ht="12.75" customHeight="1">
      <c r="A35" s="560" t="s">
        <v>170</v>
      </c>
      <c r="B35" s="660">
        <v>43891</v>
      </c>
      <c r="C35" s="756">
        <v>1</v>
      </c>
      <c r="D35" s="660">
        <v>43983</v>
      </c>
      <c r="E35" s="822">
        <v>0</v>
      </c>
      <c r="F35" s="791">
        <f t="shared" si="2"/>
        <v>0</v>
      </c>
      <c r="G35" s="776">
        <v>0</v>
      </c>
      <c r="H35" s="776">
        <v>0</v>
      </c>
      <c r="I35" s="776">
        <v>0</v>
      </c>
      <c r="J35" s="776">
        <v>0</v>
      </c>
      <c r="K35" s="776">
        <v>0</v>
      </c>
      <c r="M35" s="777">
        <v>0</v>
      </c>
      <c r="N35" s="777">
        <v>0</v>
      </c>
      <c r="O35" s="777">
        <v>0</v>
      </c>
      <c r="P35" s="792">
        <f t="shared" si="1"/>
        <v>0</v>
      </c>
    </row>
    <row r="36" spans="1:16" ht="12.75" customHeight="1">
      <c r="A36" s="560" t="s">
        <v>170</v>
      </c>
      <c r="B36" s="660">
        <v>43922</v>
      </c>
      <c r="C36" s="756">
        <v>1</v>
      </c>
      <c r="D36" s="660">
        <v>43983</v>
      </c>
      <c r="E36" s="822">
        <v>0</v>
      </c>
      <c r="F36" s="791">
        <f t="shared" si="2"/>
        <v>0</v>
      </c>
      <c r="G36" s="776">
        <v>0</v>
      </c>
      <c r="H36" s="776">
        <v>0</v>
      </c>
      <c r="I36" s="776">
        <v>0</v>
      </c>
      <c r="J36" s="776">
        <v>0</v>
      </c>
      <c r="K36" s="776">
        <v>0</v>
      </c>
      <c r="M36" s="777">
        <v>0</v>
      </c>
      <c r="N36" s="777">
        <v>0</v>
      </c>
      <c r="O36" s="777">
        <v>0</v>
      </c>
      <c r="P36" s="792">
        <f t="shared" si="1"/>
        <v>0</v>
      </c>
    </row>
    <row r="37" spans="1:16" ht="12.75" customHeight="1">
      <c r="A37" s="560" t="s">
        <v>170</v>
      </c>
      <c r="B37" s="660">
        <v>43952</v>
      </c>
      <c r="C37" s="661">
        <v>0</v>
      </c>
      <c r="D37" s="660">
        <v>43983</v>
      </c>
      <c r="E37" s="822">
        <v>0</v>
      </c>
      <c r="F37" s="791">
        <f t="shared" si="2"/>
        <v>0</v>
      </c>
      <c r="G37" s="776">
        <v>0</v>
      </c>
      <c r="H37" s="776">
        <v>0</v>
      </c>
      <c r="I37" s="776">
        <v>0</v>
      </c>
      <c r="J37" s="776">
        <v>0</v>
      </c>
      <c r="K37" s="776">
        <v>0</v>
      </c>
      <c r="M37" s="777">
        <v>0</v>
      </c>
      <c r="N37" s="777">
        <v>0</v>
      </c>
      <c r="O37" s="777">
        <v>0</v>
      </c>
      <c r="P37" s="792">
        <f t="shared" si="1"/>
        <v>0</v>
      </c>
    </row>
    <row r="38" spans="1:16" ht="12.75" customHeight="1">
      <c r="A38" s="560" t="s">
        <v>169</v>
      </c>
      <c r="B38" s="660">
        <v>43952</v>
      </c>
      <c r="C38" s="656">
        <v>0</v>
      </c>
      <c r="D38" s="660">
        <v>43983</v>
      </c>
      <c r="E38" s="822">
        <v>0</v>
      </c>
      <c r="F38" s="791">
        <f t="shared" si="2"/>
        <v>0</v>
      </c>
      <c r="G38" s="776">
        <v>0</v>
      </c>
      <c r="H38" s="776">
        <v>0</v>
      </c>
      <c r="I38" s="776">
        <v>0</v>
      </c>
      <c r="J38" s="776">
        <v>0</v>
      </c>
      <c r="K38" s="776">
        <v>0</v>
      </c>
      <c r="M38" s="777">
        <v>0</v>
      </c>
      <c r="N38" s="777">
        <v>0</v>
      </c>
      <c r="O38" s="777">
        <v>0</v>
      </c>
      <c r="P38" s="792">
        <f t="shared" si="1"/>
        <v>0</v>
      </c>
    </row>
    <row r="39" spans="1:16" ht="12.75" customHeight="1">
      <c r="A39" s="560" t="s">
        <v>168</v>
      </c>
      <c r="B39" s="660">
        <v>43922</v>
      </c>
      <c r="C39" s="345">
        <v>1</v>
      </c>
      <c r="D39" s="660">
        <v>43983</v>
      </c>
      <c r="E39" s="822">
        <v>0</v>
      </c>
      <c r="F39" s="791">
        <f t="shared" si="2"/>
        <v>0</v>
      </c>
      <c r="G39" s="776">
        <v>0</v>
      </c>
      <c r="H39" s="776">
        <v>0</v>
      </c>
      <c r="I39" s="776">
        <v>0</v>
      </c>
      <c r="J39" s="776">
        <v>0</v>
      </c>
      <c r="K39" s="776">
        <v>0</v>
      </c>
      <c r="M39" s="777">
        <v>0</v>
      </c>
      <c r="N39" s="777">
        <v>0</v>
      </c>
      <c r="O39" s="777">
        <v>0</v>
      </c>
      <c r="P39" s="792">
        <f t="shared" si="1"/>
        <v>0</v>
      </c>
    </row>
    <row r="40" spans="1:16" ht="12.75" customHeight="1">
      <c r="A40" s="560" t="s">
        <v>168</v>
      </c>
      <c r="B40" s="660">
        <v>43952</v>
      </c>
      <c r="C40" s="656">
        <v>0</v>
      </c>
      <c r="D40" s="660">
        <v>43983</v>
      </c>
      <c r="E40" s="822">
        <v>0</v>
      </c>
      <c r="F40" s="791">
        <f t="shared" si="2"/>
        <v>0</v>
      </c>
      <c r="G40" s="776">
        <v>0</v>
      </c>
      <c r="H40" s="776">
        <v>0</v>
      </c>
      <c r="I40" s="776">
        <v>0</v>
      </c>
      <c r="J40" s="776">
        <v>0</v>
      </c>
      <c r="K40" s="776">
        <v>0</v>
      </c>
      <c r="M40" s="777">
        <v>0</v>
      </c>
      <c r="N40" s="777">
        <v>0</v>
      </c>
      <c r="O40" s="777">
        <v>0</v>
      </c>
      <c r="P40" s="792">
        <f t="shared" si="1"/>
        <v>0</v>
      </c>
    </row>
    <row r="41" spans="1:16" ht="12.75" customHeight="1">
      <c r="A41" s="560" t="s">
        <v>167</v>
      </c>
      <c r="B41" s="660">
        <v>43952</v>
      </c>
      <c r="C41" s="656">
        <v>0</v>
      </c>
      <c r="D41" s="660">
        <v>43983</v>
      </c>
      <c r="E41" s="822">
        <v>0</v>
      </c>
      <c r="F41" s="791">
        <f t="shared" si="2"/>
        <v>0</v>
      </c>
      <c r="G41" s="776">
        <v>0</v>
      </c>
      <c r="H41" s="776">
        <v>0</v>
      </c>
      <c r="I41" s="776">
        <v>0</v>
      </c>
      <c r="J41" s="776">
        <v>0</v>
      </c>
      <c r="K41" s="776">
        <v>0</v>
      </c>
      <c r="M41" s="777">
        <v>0</v>
      </c>
      <c r="N41" s="777">
        <v>0</v>
      </c>
      <c r="O41" s="777">
        <v>0</v>
      </c>
      <c r="P41" s="792">
        <f t="shared" si="1"/>
        <v>0</v>
      </c>
    </row>
    <row r="42" spans="1:16" ht="12.75" customHeight="1">
      <c r="A42" s="560" t="s">
        <v>166</v>
      </c>
      <c r="B42" s="660">
        <v>43952</v>
      </c>
      <c r="C42" s="656">
        <v>0</v>
      </c>
      <c r="D42" s="660">
        <v>43983</v>
      </c>
      <c r="E42" s="822">
        <v>0</v>
      </c>
      <c r="F42" s="791">
        <f t="shared" si="2"/>
        <v>0</v>
      </c>
      <c r="G42" s="776">
        <v>0</v>
      </c>
      <c r="H42" s="776">
        <v>0</v>
      </c>
      <c r="I42" s="776">
        <v>0</v>
      </c>
      <c r="J42" s="776">
        <v>0</v>
      </c>
      <c r="K42" s="776">
        <v>0</v>
      </c>
      <c r="M42" s="777">
        <v>0</v>
      </c>
      <c r="N42" s="777">
        <v>0</v>
      </c>
      <c r="O42" s="777">
        <v>0</v>
      </c>
      <c r="P42" s="792">
        <f t="shared" si="1"/>
        <v>0</v>
      </c>
    </row>
    <row r="43" spans="1:16" ht="12.75" customHeight="1">
      <c r="A43" s="560" t="s">
        <v>11</v>
      </c>
      <c r="B43" s="660">
        <v>43952</v>
      </c>
      <c r="C43" s="656">
        <v>0</v>
      </c>
      <c r="D43" s="660">
        <v>43983</v>
      </c>
      <c r="E43" s="822">
        <v>0</v>
      </c>
      <c r="F43" s="791">
        <f t="shared" si="2"/>
        <v>0</v>
      </c>
      <c r="G43" s="776">
        <v>0</v>
      </c>
      <c r="H43" s="776">
        <v>0</v>
      </c>
      <c r="I43" s="776">
        <v>0</v>
      </c>
      <c r="J43" s="776">
        <v>0</v>
      </c>
      <c r="K43" s="776">
        <v>0</v>
      </c>
      <c r="M43" s="777">
        <v>0</v>
      </c>
      <c r="N43" s="777">
        <v>0</v>
      </c>
      <c r="O43" s="777">
        <v>0</v>
      </c>
      <c r="P43" s="792">
        <f t="shared" si="1"/>
        <v>0</v>
      </c>
    </row>
    <row r="44" spans="1:16" ht="12.75" customHeight="1">
      <c r="A44" s="560" t="s">
        <v>165</v>
      </c>
      <c r="B44" s="660">
        <v>43952</v>
      </c>
      <c r="C44" s="656">
        <v>0</v>
      </c>
      <c r="D44" s="660">
        <v>43983</v>
      </c>
      <c r="E44" s="822">
        <v>0</v>
      </c>
      <c r="F44" s="791">
        <f t="shared" si="2"/>
        <v>0</v>
      </c>
      <c r="G44" s="776">
        <v>0</v>
      </c>
      <c r="H44" s="776">
        <v>0</v>
      </c>
      <c r="I44" s="776">
        <v>0</v>
      </c>
      <c r="J44" s="776">
        <v>0</v>
      </c>
      <c r="K44" s="776">
        <v>0</v>
      </c>
      <c r="M44" s="777">
        <v>0</v>
      </c>
      <c r="N44" s="777">
        <v>0</v>
      </c>
      <c r="O44" s="777">
        <v>0</v>
      </c>
      <c r="P44" s="792">
        <f t="shared" si="1"/>
        <v>0</v>
      </c>
    </row>
    <row r="45" spans="1:16" ht="12.75" customHeight="1">
      <c r="A45" s="560" t="s">
        <v>164</v>
      </c>
      <c r="B45" s="660">
        <v>43952</v>
      </c>
      <c r="C45" s="656">
        <v>0</v>
      </c>
      <c r="D45" s="660">
        <v>43983</v>
      </c>
      <c r="E45" s="822">
        <v>0</v>
      </c>
      <c r="F45" s="791">
        <f t="shared" si="2"/>
        <v>0</v>
      </c>
      <c r="G45" s="776">
        <v>0</v>
      </c>
      <c r="H45" s="776">
        <v>0</v>
      </c>
      <c r="I45" s="776">
        <v>0</v>
      </c>
      <c r="J45" s="776">
        <v>0</v>
      </c>
      <c r="K45" s="776">
        <v>0</v>
      </c>
      <c r="M45" s="777">
        <v>0</v>
      </c>
      <c r="N45" s="777">
        <v>0</v>
      </c>
      <c r="O45" s="777">
        <v>0</v>
      </c>
      <c r="P45" s="792">
        <f t="shared" si="1"/>
        <v>0</v>
      </c>
    </row>
    <row r="46" spans="1:16" ht="12.75" customHeight="1">
      <c r="A46" s="560" t="s">
        <v>163</v>
      </c>
      <c r="B46" s="660">
        <v>43952</v>
      </c>
      <c r="C46" s="656">
        <v>0</v>
      </c>
      <c r="D46" s="660">
        <v>43983</v>
      </c>
      <c r="E46" s="822">
        <v>0</v>
      </c>
      <c r="F46" s="791">
        <f t="shared" si="2"/>
        <v>0</v>
      </c>
      <c r="G46" s="776">
        <v>0</v>
      </c>
      <c r="H46" s="776">
        <v>0</v>
      </c>
      <c r="I46" s="776">
        <v>0</v>
      </c>
      <c r="J46" s="776">
        <v>0</v>
      </c>
      <c r="K46" s="776">
        <v>0</v>
      </c>
      <c r="M46" s="777">
        <v>0</v>
      </c>
      <c r="N46" s="777">
        <v>0</v>
      </c>
      <c r="O46" s="777">
        <v>0</v>
      </c>
      <c r="P46" s="792">
        <f t="shared" si="1"/>
        <v>0</v>
      </c>
    </row>
    <row r="47" spans="1:16" ht="12.75" customHeight="1">
      <c r="A47" s="560" t="s">
        <v>162</v>
      </c>
      <c r="B47" s="660">
        <v>43952</v>
      </c>
      <c r="C47" s="656">
        <v>0</v>
      </c>
      <c r="D47" s="660">
        <v>43983</v>
      </c>
      <c r="E47" s="822">
        <v>0</v>
      </c>
      <c r="F47" s="791">
        <f t="shared" si="2"/>
        <v>0</v>
      </c>
      <c r="G47" s="776">
        <v>0</v>
      </c>
      <c r="H47" s="776">
        <v>0</v>
      </c>
      <c r="I47" s="776">
        <v>0</v>
      </c>
      <c r="J47" s="776">
        <v>0</v>
      </c>
      <c r="K47" s="776">
        <v>0</v>
      </c>
      <c r="M47" s="777">
        <v>0</v>
      </c>
      <c r="N47" s="777">
        <v>0</v>
      </c>
      <c r="O47" s="777">
        <v>0</v>
      </c>
      <c r="P47" s="792">
        <f t="shared" si="1"/>
        <v>0</v>
      </c>
    </row>
    <row r="48" spans="1:16" ht="12.75" customHeight="1">
      <c r="A48" s="560" t="s">
        <v>161</v>
      </c>
      <c r="B48" s="660">
        <v>43952</v>
      </c>
      <c r="C48" s="656">
        <v>0</v>
      </c>
      <c r="D48" s="660">
        <v>43983</v>
      </c>
      <c r="E48" s="822">
        <v>0</v>
      </c>
      <c r="F48" s="791">
        <f t="shared" si="2"/>
        <v>0</v>
      </c>
      <c r="G48" s="776">
        <v>0</v>
      </c>
      <c r="H48" s="776">
        <v>0</v>
      </c>
      <c r="I48" s="776">
        <v>0</v>
      </c>
      <c r="J48" s="776">
        <v>0</v>
      </c>
      <c r="K48" s="776">
        <v>0</v>
      </c>
      <c r="M48" s="777">
        <v>0</v>
      </c>
      <c r="N48" s="777">
        <v>0</v>
      </c>
      <c r="O48" s="777">
        <v>0</v>
      </c>
      <c r="P48" s="792">
        <f t="shared" si="1"/>
        <v>0</v>
      </c>
    </row>
    <row r="49" spans="1:16" ht="12.75" customHeight="1">
      <c r="A49" s="560" t="s">
        <v>160</v>
      </c>
      <c r="B49" s="660">
        <v>43952</v>
      </c>
      <c r="C49" s="656">
        <v>0</v>
      </c>
      <c r="D49" s="660">
        <v>43983</v>
      </c>
      <c r="E49" s="822">
        <v>0</v>
      </c>
      <c r="F49" s="791">
        <f t="shared" si="2"/>
        <v>0</v>
      </c>
      <c r="G49" s="776">
        <v>0</v>
      </c>
      <c r="H49" s="776">
        <v>0</v>
      </c>
      <c r="I49" s="776">
        <v>0</v>
      </c>
      <c r="J49" s="776">
        <v>0</v>
      </c>
      <c r="K49" s="776">
        <v>0</v>
      </c>
      <c r="M49" s="777">
        <v>0</v>
      </c>
      <c r="N49" s="777">
        <v>0</v>
      </c>
      <c r="O49" s="777">
        <v>0</v>
      </c>
      <c r="P49" s="792">
        <f t="shared" si="1"/>
        <v>0</v>
      </c>
    </row>
    <row r="50" spans="1:16" ht="12.75" customHeight="1">
      <c r="A50" s="560" t="s">
        <v>159</v>
      </c>
      <c r="B50" s="660">
        <v>43952</v>
      </c>
      <c r="C50" s="656">
        <v>0</v>
      </c>
      <c r="D50" s="660">
        <v>43983</v>
      </c>
      <c r="E50" s="822">
        <v>0</v>
      </c>
      <c r="F50" s="791">
        <f t="shared" si="2"/>
        <v>0</v>
      </c>
      <c r="G50" s="776">
        <v>0</v>
      </c>
      <c r="H50" s="776">
        <v>0</v>
      </c>
      <c r="I50" s="776">
        <v>0</v>
      </c>
      <c r="J50" s="776">
        <v>0</v>
      </c>
      <c r="K50" s="776">
        <v>0</v>
      </c>
      <c r="M50" s="777">
        <v>0</v>
      </c>
      <c r="N50" s="777">
        <v>0</v>
      </c>
      <c r="O50" s="777">
        <v>0</v>
      </c>
      <c r="P50" s="792">
        <f t="shared" si="1"/>
        <v>0</v>
      </c>
    </row>
    <row r="51" spans="1:16" ht="12.75" customHeight="1">
      <c r="A51" s="560" t="s">
        <v>158</v>
      </c>
      <c r="B51" s="660">
        <v>43952</v>
      </c>
      <c r="C51" s="656">
        <v>0</v>
      </c>
      <c r="D51" s="660">
        <v>43983</v>
      </c>
      <c r="E51" s="822">
        <v>0</v>
      </c>
      <c r="F51" s="791">
        <f t="shared" si="2"/>
        <v>0</v>
      </c>
      <c r="G51" s="776">
        <v>0</v>
      </c>
      <c r="H51" s="776">
        <v>0</v>
      </c>
      <c r="I51" s="776">
        <v>0</v>
      </c>
      <c r="J51" s="776">
        <v>0</v>
      </c>
      <c r="K51" s="776">
        <v>0</v>
      </c>
      <c r="M51" s="777">
        <v>0</v>
      </c>
      <c r="N51" s="777">
        <v>0</v>
      </c>
      <c r="O51" s="777">
        <v>0</v>
      </c>
      <c r="P51" s="792">
        <f t="shared" si="1"/>
        <v>0</v>
      </c>
    </row>
    <row r="52" spans="1:16" ht="12.75" customHeight="1">
      <c r="A52" s="560" t="s">
        <v>157</v>
      </c>
      <c r="B52" s="660">
        <v>43952</v>
      </c>
      <c r="C52" s="656">
        <v>0</v>
      </c>
      <c r="D52" s="660">
        <v>43983</v>
      </c>
      <c r="E52" s="822">
        <v>0</v>
      </c>
      <c r="F52" s="791">
        <f t="shared" si="2"/>
        <v>0</v>
      </c>
      <c r="G52" s="776">
        <v>0</v>
      </c>
      <c r="H52" s="776">
        <v>0</v>
      </c>
      <c r="I52" s="776">
        <v>0</v>
      </c>
      <c r="J52" s="776">
        <v>0</v>
      </c>
      <c r="K52" s="776">
        <v>0</v>
      </c>
      <c r="M52" s="777">
        <v>0</v>
      </c>
      <c r="N52" s="777">
        <v>0</v>
      </c>
      <c r="O52" s="777">
        <v>0</v>
      </c>
      <c r="P52" s="792">
        <f t="shared" si="1"/>
        <v>0</v>
      </c>
    </row>
    <row r="53" spans="1:16" ht="12.75" customHeight="1">
      <c r="A53" s="560" t="s">
        <v>156</v>
      </c>
      <c r="B53" s="660">
        <v>43952</v>
      </c>
      <c r="C53" s="656">
        <v>0</v>
      </c>
      <c r="D53" s="660">
        <v>43983</v>
      </c>
      <c r="E53" s="822">
        <v>0</v>
      </c>
      <c r="F53" s="791">
        <f t="shared" si="2"/>
        <v>0</v>
      </c>
      <c r="G53" s="776">
        <v>0</v>
      </c>
      <c r="H53" s="776">
        <v>0</v>
      </c>
      <c r="I53" s="776">
        <v>0</v>
      </c>
      <c r="J53" s="776">
        <v>0</v>
      </c>
      <c r="K53" s="776">
        <v>0</v>
      </c>
      <c r="M53" s="777">
        <v>0</v>
      </c>
      <c r="N53" s="777">
        <v>0</v>
      </c>
      <c r="O53" s="777">
        <v>0</v>
      </c>
      <c r="P53" s="792">
        <f t="shared" si="1"/>
        <v>0</v>
      </c>
    </row>
    <row r="54" spans="1:16" ht="12.75" customHeight="1">
      <c r="A54" s="560" t="s">
        <v>155</v>
      </c>
      <c r="B54" s="660">
        <v>43952</v>
      </c>
      <c r="C54" s="656">
        <v>0</v>
      </c>
      <c r="D54" s="660">
        <v>43983</v>
      </c>
      <c r="E54" s="822">
        <v>0</v>
      </c>
      <c r="F54" s="791">
        <f t="shared" si="2"/>
        <v>0</v>
      </c>
      <c r="G54" s="776">
        <v>0</v>
      </c>
      <c r="H54" s="776">
        <v>0</v>
      </c>
      <c r="I54" s="776">
        <v>0</v>
      </c>
      <c r="J54" s="776">
        <v>0</v>
      </c>
      <c r="K54" s="776">
        <v>0</v>
      </c>
      <c r="M54" s="777">
        <v>0</v>
      </c>
      <c r="N54" s="777">
        <v>0</v>
      </c>
      <c r="O54" s="777">
        <v>0</v>
      </c>
      <c r="P54" s="792">
        <f t="shared" si="1"/>
        <v>0</v>
      </c>
    </row>
    <row r="55" spans="1:16" ht="12.75" customHeight="1" thickBot="1">
      <c r="A55" s="752" t="s">
        <v>154</v>
      </c>
      <c r="B55" s="863">
        <v>43952</v>
      </c>
      <c r="C55" s="893">
        <v>0</v>
      </c>
      <c r="D55" s="863">
        <v>43983</v>
      </c>
      <c r="E55" s="825">
        <v>0</v>
      </c>
      <c r="F55" s="806">
        <f t="shared" si="2"/>
        <v>0</v>
      </c>
      <c r="G55" s="753">
        <v>0</v>
      </c>
      <c r="H55" s="753">
        <v>0</v>
      </c>
      <c r="I55" s="753">
        <v>0</v>
      </c>
      <c r="J55" s="753">
        <v>0</v>
      </c>
      <c r="K55" s="753">
        <v>0</v>
      </c>
      <c r="M55" s="779">
        <v>0</v>
      </c>
      <c r="N55" s="799">
        <v>0</v>
      </c>
      <c r="O55" s="798">
        <v>0</v>
      </c>
      <c r="P55" s="794">
        <f t="shared" si="1"/>
        <v>0</v>
      </c>
    </row>
    <row r="56" spans="1:16" ht="12.75" customHeight="1">
      <c r="A56" s="892" t="s">
        <v>171</v>
      </c>
      <c r="B56" s="876">
        <v>43881</v>
      </c>
      <c r="C56" s="868">
        <v>1</v>
      </c>
      <c r="D56" s="876">
        <v>44013</v>
      </c>
      <c r="E56" s="826">
        <v>0</v>
      </c>
      <c r="F56" s="805">
        <f>SUM(G56:K56)</f>
        <v>0</v>
      </c>
      <c r="G56" s="592">
        <v>0</v>
      </c>
      <c r="H56" s="592">
        <v>0</v>
      </c>
      <c r="I56" s="592">
        <v>0</v>
      </c>
      <c r="J56" s="592">
        <v>0</v>
      </c>
      <c r="K56" s="592">
        <v>0</v>
      </c>
      <c r="M56" s="781">
        <v>0</v>
      </c>
      <c r="N56" s="781">
        <v>0</v>
      </c>
      <c r="O56" s="781">
        <v>0</v>
      </c>
      <c r="P56" s="795">
        <f>SUM(M56:O56)</f>
        <v>0</v>
      </c>
    </row>
    <row r="57" spans="1:16" ht="12.75" customHeight="1">
      <c r="A57" s="560" t="s">
        <v>171</v>
      </c>
      <c r="B57" s="655">
        <v>43910</v>
      </c>
      <c r="C57" s="345">
        <v>1</v>
      </c>
      <c r="D57" s="655">
        <v>44013</v>
      </c>
      <c r="E57" s="822">
        <v>0</v>
      </c>
      <c r="F57" s="797">
        <f t="shared" ref="F57:F82" si="3">SUM(G57:K57)</f>
        <v>0</v>
      </c>
      <c r="G57" s="267">
        <v>0</v>
      </c>
      <c r="H57" s="267">
        <v>0</v>
      </c>
      <c r="I57" s="267">
        <v>0</v>
      </c>
      <c r="J57" s="267">
        <v>0</v>
      </c>
      <c r="K57" s="267">
        <v>0</v>
      </c>
      <c r="M57" s="65">
        <v>0</v>
      </c>
      <c r="N57" s="65">
        <v>0</v>
      </c>
      <c r="O57" s="65">
        <v>0</v>
      </c>
      <c r="P57" s="800">
        <f t="shared" ref="P57:P82" si="4">SUM(M57:O57)</f>
        <v>0</v>
      </c>
    </row>
    <row r="58" spans="1:16" ht="12.75" customHeight="1">
      <c r="A58" s="560" t="s">
        <v>171</v>
      </c>
      <c r="B58" s="655">
        <v>43941</v>
      </c>
      <c r="C58" s="345">
        <v>1</v>
      </c>
      <c r="D58" s="655">
        <v>44013</v>
      </c>
      <c r="E58" s="822">
        <v>0</v>
      </c>
      <c r="F58" s="797">
        <f t="shared" si="3"/>
        <v>0</v>
      </c>
      <c r="G58" s="267">
        <v>0</v>
      </c>
      <c r="H58" s="267">
        <v>0</v>
      </c>
      <c r="I58" s="267">
        <v>0</v>
      </c>
      <c r="J58" s="267">
        <v>0</v>
      </c>
      <c r="K58" s="267">
        <v>0</v>
      </c>
      <c r="M58" s="65">
        <v>0</v>
      </c>
      <c r="N58" s="65">
        <v>0</v>
      </c>
      <c r="O58" s="65">
        <v>0</v>
      </c>
      <c r="P58" s="800">
        <f t="shared" si="4"/>
        <v>0</v>
      </c>
    </row>
    <row r="59" spans="1:16" ht="12.75" customHeight="1">
      <c r="A59" s="560" t="s">
        <v>171</v>
      </c>
      <c r="B59" s="655">
        <v>43983</v>
      </c>
      <c r="C59" s="656">
        <v>0</v>
      </c>
      <c r="D59" s="655">
        <v>44013</v>
      </c>
      <c r="E59" s="822">
        <v>0</v>
      </c>
      <c r="F59" s="797">
        <f t="shared" si="3"/>
        <v>0</v>
      </c>
      <c r="G59" s="267">
        <v>0</v>
      </c>
      <c r="H59" s="267">
        <v>0</v>
      </c>
      <c r="I59" s="267">
        <v>0</v>
      </c>
      <c r="J59" s="267">
        <v>0</v>
      </c>
      <c r="K59" s="267">
        <v>0</v>
      </c>
      <c r="M59" s="65">
        <v>0</v>
      </c>
      <c r="N59" s="65">
        <v>0</v>
      </c>
      <c r="O59" s="65">
        <v>0</v>
      </c>
      <c r="P59" s="800">
        <f t="shared" si="4"/>
        <v>0</v>
      </c>
    </row>
    <row r="60" spans="1:16" ht="12.75" customHeight="1">
      <c r="A60" s="565" t="s">
        <v>170</v>
      </c>
      <c r="B60" s="660">
        <v>43983</v>
      </c>
      <c r="C60" s="661">
        <v>0</v>
      </c>
      <c r="D60" s="660">
        <v>44013</v>
      </c>
      <c r="E60" s="824">
        <v>0</v>
      </c>
      <c r="F60" s="791">
        <f t="shared" si="3"/>
        <v>0</v>
      </c>
      <c r="G60" s="339">
        <v>0</v>
      </c>
      <c r="H60" s="339">
        <v>0</v>
      </c>
      <c r="I60" s="339">
        <v>0</v>
      </c>
      <c r="J60" s="339">
        <v>0</v>
      </c>
      <c r="K60" s="339">
        <v>0</v>
      </c>
      <c r="M60" s="777">
        <v>0</v>
      </c>
      <c r="N60" s="877">
        <v>0</v>
      </c>
      <c r="O60" s="777">
        <v>0</v>
      </c>
      <c r="P60" s="792">
        <f t="shared" si="4"/>
        <v>0</v>
      </c>
    </row>
    <row r="61" spans="1:16" ht="12.75" customHeight="1">
      <c r="A61" s="560" t="s">
        <v>169</v>
      </c>
      <c r="B61" s="655">
        <v>43983</v>
      </c>
      <c r="C61" s="656">
        <v>0</v>
      </c>
      <c r="D61" s="655">
        <v>44013</v>
      </c>
      <c r="E61" s="822">
        <v>0</v>
      </c>
      <c r="F61" s="797">
        <f t="shared" si="3"/>
        <v>0</v>
      </c>
      <c r="G61" s="267">
        <v>0</v>
      </c>
      <c r="H61" s="267">
        <v>0</v>
      </c>
      <c r="I61" s="267">
        <v>0</v>
      </c>
      <c r="J61" s="267">
        <v>0</v>
      </c>
      <c r="K61" s="267">
        <v>0</v>
      </c>
      <c r="M61" s="65">
        <v>0</v>
      </c>
      <c r="N61" s="877">
        <v>0</v>
      </c>
      <c r="O61" s="777">
        <v>0</v>
      </c>
      <c r="P61" s="792">
        <f t="shared" si="4"/>
        <v>0</v>
      </c>
    </row>
    <row r="62" spans="1:16" ht="12.75" customHeight="1">
      <c r="A62" s="560" t="s">
        <v>168</v>
      </c>
      <c r="B62" s="655">
        <v>43983</v>
      </c>
      <c r="C62" s="656">
        <v>0</v>
      </c>
      <c r="D62" s="655">
        <v>44013</v>
      </c>
      <c r="E62" s="822">
        <v>0</v>
      </c>
      <c r="F62" s="797">
        <f t="shared" si="3"/>
        <v>0</v>
      </c>
      <c r="G62" s="267">
        <v>0</v>
      </c>
      <c r="H62" s="267">
        <v>0</v>
      </c>
      <c r="I62" s="267">
        <v>0</v>
      </c>
      <c r="J62" s="267">
        <v>0</v>
      </c>
      <c r="K62" s="267">
        <v>0</v>
      </c>
      <c r="M62" s="65">
        <v>0</v>
      </c>
      <c r="N62" s="877">
        <v>0</v>
      </c>
      <c r="O62" s="777">
        <v>0</v>
      </c>
      <c r="P62" s="792">
        <f t="shared" si="4"/>
        <v>0</v>
      </c>
    </row>
    <row r="63" spans="1:16" ht="12.75" customHeight="1">
      <c r="A63" s="560" t="s">
        <v>167</v>
      </c>
      <c r="B63" s="655">
        <v>43983</v>
      </c>
      <c r="C63" s="656">
        <v>0</v>
      </c>
      <c r="D63" s="655">
        <v>44013</v>
      </c>
      <c r="E63" s="822">
        <v>0</v>
      </c>
      <c r="F63" s="797">
        <f t="shared" si="3"/>
        <v>0</v>
      </c>
      <c r="G63" s="267">
        <v>0</v>
      </c>
      <c r="H63" s="267">
        <v>0</v>
      </c>
      <c r="I63" s="267">
        <v>0</v>
      </c>
      <c r="J63" s="267">
        <v>0</v>
      </c>
      <c r="K63" s="267">
        <v>0</v>
      </c>
      <c r="M63" s="65">
        <v>0</v>
      </c>
      <c r="N63" s="877">
        <v>0</v>
      </c>
      <c r="O63" s="777">
        <v>0</v>
      </c>
      <c r="P63" s="792">
        <f t="shared" si="4"/>
        <v>0</v>
      </c>
    </row>
    <row r="64" spans="1:16" ht="12.75" customHeight="1">
      <c r="A64" s="560" t="s">
        <v>166</v>
      </c>
      <c r="B64" s="655">
        <v>43983</v>
      </c>
      <c r="C64" s="656">
        <v>0</v>
      </c>
      <c r="D64" s="655">
        <v>44013</v>
      </c>
      <c r="E64" s="822">
        <v>0</v>
      </c>
      <c r="F64" s="797">
        <f t="shared" si="3"/>
        <v>0</v>
      </c>
      <c r="G64" s="267">
        <v>0</v>
      </c>
      <c r="H64" s="267">
        <v>0</v>
      </c>
      <c r="I64" s="267">
        <v>0</v>
      </c>
      <c r="J64" s="267">
        <v>0</v>
      </c>
      <c r="K64" s="267">
        <v>0</v>
      </c>
      <c r="M64" s="65">
        <v>0</v>
      </c>
      <c r="N64" s="877">
        <v>0</v>
      </c>
      <c r="O64" s="777">
        <v>0</v>
      </c>
      <c r="P64" s="792">
        <f t="shared" si="4"/>
        <v>0</v>
      </c>
    </row>
    <row r="65" spans="1:16" ht="12.75" customHeight="1">
      <c r="A65" s="560" t="s">
        <v>11</v>
      </c>
      <c r="B65" s="655">
        <v>43983</v>
      </c>
      <c r="C65" s="656">
        <v>0</v>
      </c>
      <c r="D65" s="655">
        <v>44013</v>
      </c>
      <c r="E65" s="822">
        <v>594130</v>
      </c>
      <c r="F65" s="797">
        <f t="shared" si="3"/>
        <v>594130</v>
      </c>
      <c r="G65" s="267">
        <v>389496</v>
      </c>
      <c r="H65" s="267">
        <v>0</v>
      </c>
      <c r="I65" s="267">
        <v>129833</v>
      </c>
      <c r="J65" s="267">
        <v>0</v>
      </c>
      <c r="K65" s="267">
        <v>74801</v>
      </c>
      <c r="M65" s="65">
        <v>0</v>
      </c>
      <c r="N65" s="877">
        <v>0</v>
      </c>
      <c r="O65" s="777">
        <v>0</v>
      </c>
      <c r="P65" s="792">
        <f t="shared" si="4"/>
        <v>0</v>
      </c>
    </row>
    <row r="66" spans="1:16" ht="12.75" customHeight="1">
      <c r="A66" s="560" t="s">
        <v>165</v>
      </c>
      <c r="B66" s="655">
        <v>43983</v>
      </c>
      <c r="C66" s="656">
        <v>0</v>
      </c>
      <c r="D66" s="655">
        <v>44013</v>
      </c>
      <c r="E66" s="822">
        <v>0</v>
      </c>
      <c r="F66" s="797">
        <f t="shared" si="3"/>
        <v>0</v>
      </c>
      <c r="G66" s="267">
        <v>0</v>
      </c>
      <c r="H66" s="267">
        <v>0</v>
      </c>
      <c r="I66" s="267">
        <v>0</v>
      </c>
      <c r="J66" s="267">
        <v>0</v>
      </c>
      <c r="K66" s="267">
        <v>0</v>
      </c>
      <c r="M66" s="65">
        <v>0</v>
      </c>
      <c r="N66" s="877">
        <v>0</v>
      </c>
      <c r="O66" s="777">
        <v>0</v>
      </c>
      <c r="P66" s="792">
        <f t="shared" si="4"/>
        <v>0</v>
      </c>
    </row>
    <row r="67" spans="1:16" ht="12.75" customHeight="1">
      <c r="A67" s="560" t="s">
        <v>164</v>
      </c>
      <c r="B67" s="655">
        <v>43739</v>
      </c>
      <c r="C67" s="345">
        <v>2</v>
      </c>
      <c r="D67" s="655">
        <v>44013</v>
      </c>
      <c r="E67" s="822">
        <v>0</v>
      </c>
      <c r="F67" s="797">
        <f t="shared" si="3"/>
        <v>0</v>
      </c>
      <c r="G67" s="267">
        <v>0</v>
      </c>
      <c r="H67" s="267">
        <v>0</v>
      </c>
      <c r="I67" s="267">
        <v>0</v>
      </c>
      <c r="J67" s="267">
        <v>0</v>
      </c>
      <c r="K67" s="267">
        <v>0</v>
      </c>
      <c r="M67" s="65">
        <v>0</v>
      </c>
      <c r="N67" s="877">
        <v>0</v>
      </c>
      <c r="O67" s="777">
        <v>0</v>
      </c>
      <c r="P67" s="792">
        <f t="shared" si="4"/>
        <v>0</v>
      </c>
    </row>
    <row r="68" spans="1:16" ht="12.75" customHeight="1">
      <c r="A68" s="560" t="s">
        <v>164</v>
      </c>
      <c r="B68" s="655">
        <v>43862</v>
      </c>
      <c r="C68" s="345">
        <v>1</v>
      </c>
      <c r="D68" s="655">
        <v>44013</v>
      </c>
      <c r="E68" s="822">
        <v>0</v>
      </c>
      <c r="F68" s="797">
        <f t="shared" si="3"/>
        <v>0</v>
      </c>
      <c r="G68" s="267">
        <v>0</v>
      </c>
      <c r="H68" s="267">
        <v>0</v>
      </c>
      <c r="I68" s="267">
        <v>0</v>
      </c>
      <c r="J68" s="267">
        <v>0</v>
      </c>
      <c r="K68" s="267">
        <v>0</v>
      </c>
      <c r="M68" s="65">
        <v>0</v>
      </c>
      <c r="N68" s="877">
        <v>0</v>
      </c>
      <c r="O68" s="777">
        <v>0</v>
      </c>
      <c r="P68" s="792">
        <f t="shared" si="4"/>
        <v>0</v>
      </c>
    </row>
    <row r="69" spans="1:16" ht="12.75" customHeight="1">
      <c r="A69" s="560" t="s">
        <v>164</v>
      </c>
      <c r="B69" s="655">
        <v>43922</v>
      </c>
      <c r="C69" s="345">
        <v>1</v>
      </c>
      <c r="D69" s="655">
        <v>44013</v>
      </c>
      <c r="E69" s="822">
        <v>0</v>
      </c>
      <c r="F69" s="797">
        <f t="shared" si="3"/>
        <v>0</v>
      </c>
      <c r="G69" s="267">
        <v>0</v>
      </c>
      <c r="H69" s="267">
        <v>0</v>
      </c>
      <c r="I69" s="267">
        <v>0</v>
      </c>
      <c r="J69" s="267">
        <v>0</v>
      </c>
      <c r="K69" s="267">
        <v>0</v>
      </c>
      <c r="M69" s="65">
        <v>0</v>
      </c>
      <c r="N69" s="877">
        <v>0</v>
      </c>
      <c r="O69" s="777">
        <v>0</v>
      </c>
      <c r="P69" s="792">
        <f t="shared" si="4"/>
        <v>0</v>
      </c>
    </row>
    <row r="70" spans="1:16" ht="12.75" customHeight="1">
      <c r="A70" s="560" t="s">
        <v>164</v>
      </c>
      <c r="B70" s="655">
        <v>43952</v>
      </c>
      <c r="C70" s="345">
        <v>1</v>
      </c>
      <c r="D70" s="655">
        <v>44013</v>
      </c>
      <c r="E70" s="822">
        <v>0</v>
      </c>
      <c r="F70" s="797">
        <f t="shared" si="3"/>
        <v>0</v>
      </c>
      <c r="G70" s="267">
        <v>0</v>
      </c>
      <c r="H70" s="267">
        <v>0</v>
      </c>
      <c r="I70" s="267">
        <v>0</v>
      </c>
      <c r="J70" s="267">
        <v>0</v>
      </c>
      <c r="K70" s="267">
        <v>0</v>
      </c>
      <c r="M70" s="65">
        <v>0</v>
      </c>
      <c r="N70" s="877">
        <v>0</v>
      </c>
      <c r="O70" s="777">
        <v>0</v>
      </c>
      <c r="P70" s="792">
        <f t="shared" si="4"/>
        <v>0</v>
      </c>
    </row>
    <row r="71" spans="1:16" ht="12.75" customHeight="1">
      <c r="A71" s="560" t="s">
        <v>164</v>
      </c>
      <c r="B71" s="655">
        <v>43983</v>
      </c>
      <c r="C71" s="656">
        <v>0</v>
      </c>
      <c r="D71" s="655">
        <v>44013</v>
      </c>
      <c r="E71" s="822">
        <v>0</v>
      </c>
      <c r="F71" s="797">
        <f t="shared" si="3"/>
        <v>0</v>
      </c>
      <c r="G71" s="267">
        <v>0</v>
      </c>
      <c r="H71" s="267">
        <v>0</v>
      </c>
      <c r="I71" s="267">
        <v>0</v>
      </c>
      <c r="J71" s="267">
        <v>0</v>
      </c>
      <c r="K71" s="267">
        <v>0</v>
      </c>
      <c r="M71" s="65">
        <v>0</v>
      </c>
      <c r="N71" s="877">
        <v>0</v>
      </c>
      <c r="O71" s="777">
        <v>0</v>
      </c>
      <c r="P71" s="792">
        <f t="shared" si="4"/>
        <v>0</v>
      </c>
    </row>
    <row r="72" spans="1:16" ht="12.75" customHeight="1">
      <c r="A72" s="560" t="s">
        <v>163</v>
      </c>
      <c r="B72" s="655">
        <v>43983</v>
      </c>
      <c r="C72" s="656">
        <v>0</v>
      </c>
      <c r="D72" s="655">
        <v>44013</v>
      </c>
      <c r="E72" s="822">
        <v>0</v>
      </c>
      <c r="F72" s="797">
        <f t="shared" si="3"/>
        <v>0</v>
      </c>
      <c r="G72" s="267">
        <v>0</v>
      </c>
      <c r="H72" s="267">
        <v>0</v>
      </c>
      <c r="I72" s="267">
        <v>0</v>
      </c>
      <c r="J72" s="267">
        <v>0</v>
      </c>
      <c r="K72" s="267">
        <v>0</v>
      </c>
      <c r="M72" s="65">
        <v>0</v>
      </c>
      <c r="N72" s="877">
        <v>0</v>
      </c>
      <c r="O72" s="777">
        <v>0</v>
      </c>
      <c r="P72" s="792">
        <f t="shared" si="4"/>
        <v>0</v>
      </c>
    </row>
    <row r="73" spans="1:16" ht="12.75" customHeight="1">
      <c r="A73" s="560" t="s">
        <v>162</v>
      </c>
      <c r="B73" s="655">
        <v>43983</v>
      </c>
      <c r="C73" s="656">
        <v>0</v>
      </c>
      <c r="D73" s="655">
        <v>44013</v>
      </c>
      <c r="E73" s="822">
        <v>0</v>
      </c>
      <c r="F73" s="797">
        <f t="shared" si="3"/>
        <v>0</v>
      </c>
      <c r="G73" s="267">
        <v>0</v>
      </c>
      <c r="H73" s="267">
        <v>0</v>
      </c>
      <c r="I73" s="267">
        <v>0</v>
      </c>
      <c r="J73" s="267">
        <v>0</v>
      </c>
      <c r="K73" s="267">
        <v>0</v>
      </c>
      <c r="M73" s="65">
        <v>0</v>
      </c>
      <c r="N73" s="877">
        <v>0</v>
      </c>
      <c r="O73" s="777">
        <v>0</v>
      </c>
      <c r="P73" s="792">
        <f t="shared" si="4"/>
        <v>0</v>
      </c>
    </row>
    <row r="74" spans="1:16" ht="12.75" customHeight="1">
      <c r="A74" s="560" t="s">
        <v>161</v>
      </c>
      <c r="B74" s="655">
        <v>43983</v>
      </c>
      <c r="C74" s="656">
        <v>0</v>
      </c>
      <c r="D74" s="655">
        <v>44013</v>
      </c>
      <c r="E74" s="822">
        <v>0</v>
      </c>
      <c r="F74" s="797">
        <f t="shared" si="3"/>
        <v>0</v>
      </c>
      <c r="G74" s="267">
        <v>0</v>
      </c>
      <c r="H74" s="267">
        <v>0</v>
      </c>
      <c r="I74" s="267">
        <v>0</v>
      </c>
      <c r="J74" s="267">
        <v>0</v>
      </c>
      <c r="K74" s="267">
        <v>0</v>
      </c>
      <c r="M74" s="65">
        <v>0</v>
      </c>
      <c r="N74" s="877">
        <v>0</v>
      </c>
      <c r="O74" s="777">
        <v>0</v>
      </c>
      <c r="P74" s="792">
        <f t="shared" si="4"/>
        <v>0</v>
      </c>
    </row>
    <row r="75" spans="1:16" ht="12.75" customHeight="1">
      <c r="A75" s="560" t="s">
        <v>160</v>
      </c>
      <c r="B75" s="655">
        <v>43983</v>
      </c>
      <c r="C75" s="656">
        <v>0</v>
      </c>
      <c r="D75" s="655">
        <v>44013</v>
      </c>
      <c r="E75" s="822">
        <v>0</v>
      </c>
      <c r="F75" s="797">
        <f>SUM(G75:K75)</f>
        <v>0</v>
      </c>
      <c r="G75" s="267">
        <v>0</v>
      </c>
      <c r="H75" s="267">
        <v>0</v>
      </c>
      <c r="I75" s="267">
        <v>0</v>
      </c>
      <c r="J75" s="267">
        <v>0</v>
      </c>
      <c r="K75" s="267">
        <v>0</v>
      </c>
      <c r="M75" s="65">
        <v>0</v>
      </c>
      <c r="N75" s="877">
        <v>0</v>
      </c>
      <c r="O75" s="777">
        <v>0</v>
      </c>
      <c r="P75" s="792">
        <f>SUM(M75:O75)</f>
        <v>0</v>
      </c>
    </row>
    <row r="76" spans="1:16" ht="12.75" customHeight="1">
      <c r="A76" s="560" t="s">
        <v>159</v>
      </c>
      <c r="B76" s="655">
        <v>43983</v>
      </c>
      <c r="C76" s="656">
        <v>0</v>
      </c>
      <c r="D76" s="655">
        <v>44013</v>
      </c>
      <c r="E76" s="822">
        <v>0</v>
      </c>
      <c r="F76" s="797">
        <f t="shared" si="3"/>
        <v>0</v>
      </c>
      <c r="G76" s="267">
        <v>0</v>
      </c>
      <c r="H76" s="267">
        <v>0</v>
      </c>
      <c r="I76" s="267">
        <v>0</v>
      </c>
      <c r="J76" s="267">
        <v>0</v>
      </c>
      <c r="K76" s="267">
        <v>0</v>
      </c>
      <c r="M76" s="65">
        <v>0</v>
      </c>
      <c r="N76" s="877">
        <v>0</v>
      </c>
      <c r="O76" s="777">
        <v>0</v>
      </c>
      <c r="P76" s="792">
        <f t="shared" si="4"/>
        <v>0</v>
      </c>
    </row>
    <row r="77" spans="1:16" ht="12.75" customHeight="1">
      <c r="A77" s="560" t="s">
        <v>158</v>
      </c>
      <c r="B77" s="655">
        <v>43983</v>
      </c>
      <c r="C77" s="656">
        <v>0</v>
      </c>
      <c r="D77" s="655">
        <v>44013</v>
      </c>
      <c r="E77" s="822">
        <v>0</v>
      </c>
      <c r="F77" s="797">
        <f t="shared" si="3"/>
        <v>0</v>
      </c>
      <c r="G77" s="267">
        <v>0</v>
      </c>
      <c r="H77" s="267">
        <v>0</v>
      </c>
      <c r="I77" s="267">
        <v>0</v>
      </c>
      <c r="J77" s="267">
        <v>0</v>
      </c>
      <c r="K77" s="267">
        <v>0</v>
      </c>
      <c r="M77" s="65">
        <v>0</v>
      </c>
      <c r="N77" s="877">
        <v>0</v>
      </c>
      <c r="O77" s="777">
        <v>0</v>
      </c>
      <c r="P77" s="792">
        <f t="shared" si="4"/>
        <v>0</v>
      </c>
    </row>
    <row r="78" spans="1:16" ht="12.75" customHeight="1">
      <c r="A78" s="560" t="s">
        <v>157</v>
      </c>
      <c r="B78" s="655">
        <v>43983</v>
      </c>
      <c r="C78" s="656">
        <v>0</v>
      </c>
      <c r="D78" s="655">
        <v>44013</v>
      </c>
      <c r="E78" s="822">
        <v>0</v>
      </c>
      <c r="F78" s="797">
        <f t="shared" si="3"/>
        <v>0</v>
      </c>
      <c r="G78" s="267">
        <v>0</v>
      </c>
      <c r="H78" s="267">
        <v>0</v>
      </c>
      <c r="I78" s="267">
        <v>0</v>
      </c>
      <c r="J78" s="267">
        <v>0</v>
      </c>
      <c r="K78" s="267">
        <v>0</v>
      </c>
      <c r="M78" s="65">
        <v>0</v>
      </c>
      <c r="N78" s="877">
        <v>0</v>
      </c>
      <c r="O78" s="777">
        <v>0</v>
      </c>
      <c r="P78" s="792">
        <f t="shared" si="4"/>
        <v>0</v>
      </c>
    </row>
    <row r="79" spans="1:16" ht="12.75" customHeight="1">
      <c r="A79" s="560" t="s">
        <v>156</v>
      </c>
      <c r="B79" s="655">
        <v>43983</v>
      </c>
      <c r="C79" s="656">
        <v>0</v>
      </c>
      <c r="D79" s="655">
        <v>44013</v>
      </c>
      <c r="E79" s="822">
        <v>0</v>
      </c>
      <c r="F79" s="797">
        <f t="shared" si="3"/>
        <v>0</v>
      </c>
      <c r="G79" s="267">
        <v>0</v>
      </c>
      <c r="H79" s="267">
        <v>0</v>
      </c>
      <c r="I79" s="267">
        <v>0</v>
      </c>
      <c r="J79" s="267">
        <v>0</v>
      </c>
      <c r="K79" s="267">
        <v>0</v>
      </c>
      <c r="M79" s="65">
        <v>0</v>
      </c>
      <c r="N79" s="877">
        <v>0</v>
      </c>
      <c r="O79" s="777">
        <v>0</v>
      </c>
      <c r="P79" s="792">
        <f t="shared" si="4"/>
        <v>0</v>
      </c>
    </row>
    <row r="80" spans="1:16" ht="12.75" customHeight="1">
      <c r="A80" s="560" t="s">
        <v>155</v>
      </c>
      <c r="B80" s="655">
        <v>43983</v>
      </c>
      <c r="C80" s="656">
        <v>0</v>
      </c>
      <c r="D80" s="655">
        <v>44013</v>
      </c>
      <c r="E80" s="822">
        <v>0</v>
      </c>
      <c r="F80" s="797">
        <f t="shared" si="3"/>
        <v>0</v>
      </c>
      <c r="G80" s="267">
        <v>0</v>
      </c>
      <c r="H80" s="267">
        <v>0</v>
      </c>
      <c r="I80" s="267">
        <v>0</v>
      </c>
      <c r="J80" s="267">
        <v>0</v>
      </c>
      <c r="K80" s="267">
        <v>0</v>
      </c>
      <c r="M80" s="65">
        <v>0</v>
      </c>
      <c r="N80" s="877">
        <v>0</v>
      </c>
      <c r="O80" s="777">
        <v>0</v>
      </c>
      <c r="P80" s="792">
        <f t="shared" si="4"/>
        <v>0</v>
      </c>
    </row>
    <row r="81" spans="1:16" ht="12.75" customHeight="1" thickBot="1">
      <c r="A81" s="752" t="s">
        <v>154</v>
      </c>
      <c r="B81" s="655">
        <v>43952</v>
      </c>
      <c r="C81" s="345">
        <v>1</v>
      </c>
      <c r="D81" s="655">
        <v>44013</v>
      </c>
      <c r="E81" s="823">
        <v>0</v>
      </c>
      <c r="F81" s="793">
        <f t="shared" si="3"/>
        <v>0</v>
      </c>
      <c r="G81" s="267">
        <v>0</v>
      </c>
      <c r="H81" s="267">
        <v>0</v>
      </c>
      <c r="I81" s="267">
        <v>0</v>
      </c>
      <c r="J81" s="267">
        <v>0</v>
      </c>
      <c r="K81" s="267">
        <v>0</v>
      </c>
      <c r="M81" s="65">
        <v>0</v>
      </c>
      <c r="N81" s="877">
        <v>0</v>
      </c>
      <c r="O81" s="777">
        <v>0</v>
      </c>
      <c r="P81" s="792">
        <f t="shared" si="4"/>
        <v>0</v>
      </c>
    </row>
    <row r="82" spans="1:16" ht="12.75" customHeight="1" thickBot="1">
      <c r="A82" s="657" t="s">
        <v>154</v>
      </c>
      <c r="B82" s="655">
        <v>43983</v>
      </c>
      <c r="C82" s="656">
        <v>0</v>
      </c>
      <c r="D82" s="655">
        <v>44013</v>
      </c>
      <c r="E82" s="823">
        <v>0</v>
      </c>
      <c r="F82" s="793">
        <f t="shared" si="3"/>
        <v>0</v>
      </c>
      <c r="G82" s="267">
        <v>0</v>
      </c>
      <c r="H82" s="267">
        <v>0</v>
      </c>
      <c r="I82" s="267">
        <v>0</v>
      </c>
      <c r="J82" s="267">
        <v>0</v>
      </c>
      <c r="K82" s="267">
        <v>0</v>
      </c>
      <c r="M82" s="65">
        <v>0</v>
      </c>
      <c r="N82" s="877">
        <v>0</v>
      </c>
      <c r="O82" s="777">
        <v>0</v>
      </c>
      <c r="P82" s="792">
        <f t="shared" si="4"/>
        <v>0</v>
      </c>
    </row>
    <row r="83" spans="1:16" ht="3.65" customHeight="1">
      <c r="A83" s="662"/>
      <c r="B83" s="663"/>
      <c r="C83" s="664"/>
      <c r="D83" s="665"/>
      <c r="E83" s="666"/>
      <c r="F83" s="666"/>
      <c r="G83" s="666"/>
      <c r="H83" s="666"/>
      <c r="I83" s="666"/>
      <c r="J83" s="667"/>
      <c r="K83" s="667"/>
      <c r="M83" s="726"/>
      <c r="N83" s="727"/>
      <c r="O83" s="727"/>
      <c r="P83" s="727"/>
    </row>
    <row r="84" spans="1:16">
      <c r="A84" s="784" t="s">
        <v>59</v>
      </c>
      <c r="B84" s="784"/>
      <c r="C84" s="65"/>
      <c r="D84" s="655">
        <v>43971</v>
      </c>
      <c r="E84" s="65">
        <f t="shared" ref="E84:K84" si="5">SUM(E4:E29)</f>
        <v>0</v>
      </c>
      <c r="F84" s="65">
        <f t="shared" si="5"/>
        <v>0</v>
      </c>
      <c r="G84" s="65">
        <f t="shared" si="5"/>
        <v>0</v>
      </c>
      <c r="H84" s="65">
        <f t="shared" si="5"/>
        <v>0</v>
      </c>
      <c r="I84" s="65">
        <f t="shared" si="5"/>
        <v>0</v>
      </c>
      <c r="J84" s="65">
        <f t="shared" si="5"/>
        <v>0</v>
      </c>
      <c r="K84" s="65">
        <f t="shared" si="5"/>
        <v>0</v>
      </c>
      <c r="M84" s="65">
        <f>SUM(M4:M29)</f>
        <v>0</v>
      </c>
      <c r="N84" s="65">
        <f>SUM(N4:N29)</f>
        <v>0</v>
      </c>
      <c r="O84" s="65">
        <f>SUM(O4:O29)</f>
        <v>0</v>
      </c>
      <c r="P84" s="65">
        <f>SUM(P4:P29)</f>
        <v>0</v>
      </c>
    </row>
    <row r="85" spans="1:16">
      <c r="A85" s="784" t="s">
        <v>59</v>
      </c>
      <c r="B85" s="785"/>
      <c r="C85" s="65"/>
      <c r="D85" s="655">
        <v>44002</v>
      </c>
      <c r="E85" s="65">
        <f t="shared" ref="E85:K85" si="6">SUM(E30:E55)</f>
        <v>0</v>
      </c>
      <c r="F85" s="65">
        <f t="shared" si="6"/>
        <v>0</v>
      </c>
      <c r="G85" s="65">
        <f t="shared" si="6"/>
        <v>0</v>
      </c>
      <c r="H85" s="65">
        <f t="shared" si="6"/>
        <v>0</v>
      </c>
      <c r="I85" s="65">
        <f t="shared" si="6"/>
        <v>0</v>
      </c>
      <c r="J85" s="65">
        <f t="shared" si="6"/>
        <v>0</v>
      </c>
      <c r="K85" s="65">
        <f t="shared" si="6"/>
        <v>0</v>
      </c>
      <c r="M85" s="65">
        <f>SUM(M30:M55)</f>
        <v>0</v>
      </c>
      <c r="N85" s="65">
        <f>SUM(N30:N55)</f>
        <v>0</v>
      </c>
      <c r="O85" s="65">
        <f>SUM(O30:O55)</f>
        <v>0</v>
      </c>
      <c r="P85" s="65">
        <f>SUM(P30:P55)</f>
        <v>0</v>
      </c>
    </row>
    <row r="86" spans="1:16" ht="13" thickBot="1">
      <c r="A86" s="786" t="s">
        <v>59</v>
      </c>
      <c r="B86" s="787"/>
      <c r="C86" s="668"/>
      <c r="D86" s="658">
        <v>44032</v>
      </c>
      <c r="E86" s="668">
        <f t="shared" ref="E86:K86" si="7">SUM(E56:E82)</f>
        <v>594130</v>
      </c>
      <c r="F86" s="668">
        <f t="shared" si="7"/>
        <v>594130</v>
      </c>
      <c r="G86" s="668">
        <f t="shared" si="7"/>
        <v>389496</v>
      </c>
      <c r="H86" s="668">
        <f t="shared" si="7"/>
        <v>0</v>
      </c>
      <c r="I86" s="668">
        <f t="shared" si="7"/>
        <v>129833</v>
      </c>
      <c r="J86" s="668">
        <f t="shared" si="7"/>
        <v>0</v>
      </c>
      <c r="K86" s="668">
        <f t="shared" si="7"/>
        <v>74801</v>
      </c>
      <c r="M86" s="668">
        <f>SUM(M56:M82)</f>
        <v>0</v>
      </c>
      <c r="N86" s="668">
        <f>SUM(N56:N82)</f>
        <v>0</v>
      </c>
      <c r="O86" s="668">
        <f>SUM(O56:O82)</f>
        <v>0</v>
      </c>
      <c r="P86" s="668">
        <f>SUM(P56:P82)</f>
        <v>0</v>
      </c>
    </row>
    <row r="87" spans="1:16" ht="13" thickBot="1">
      <c r="A87" s="670" t="s">
        <v>58</v>
      </c>
      <c r="B87" s="671"/>
      <c r="C87" s="668"/>
      <c r="D87" s="671"/>
      <c r="E87" s="668">
        <f t="shared" ref="E87:K87" si="8">SUM(E84:E86)</f>
        <v>594130</v>
      </c>
      <c r="F87" s="668">
        <f t="shared" si="8"/>
        <v>594130</v>
      </c>
      <c r="G87" s="668">
        <f t="shared" si="8"/>
        <v>389496</v>
      </c>
      <c r="H87" s="668">
        <f t="shared" si="8"/>
        <v>0</v>
      </c>
      <c r="I87" s="668">
        <f t="shared" si="8"/>
        <v>129833</v>
      </c>
      <c r="J87" s="668">
        <f t="shared" si="8"/>
        <v>0</v>
      </c>
      <c r="K87" s="668">
        <f t="shared" si="8"/>
        <v>74801</v>
      </c>
      <c r="M87" s="668">
        <f t="shared" ref="M87:P87" si="9">SUM(M84:M86)</f>
        <v>0</v>
      </c>
      <c r="N87" s="668">
        <f t="shared" si="9"/>
        <v>0</v>
      </c>
      <c r="O87" s="668">
        <f t="shared" si="9"/>
        <v>0</v>
      </c>
      <c r="P87" s="668">
        <f t="shared" si="9"/>
        <v>0</v>
      </c>
    </row>
    <row r="88" spans="1:16">
      <c r="A88" s="58" t="s">
        <v>57</v>
      </c>
      <c r="B88" s="655"/>
      <c r="C88" s="655"/>
      <c r="D88" s="655"/>
      <c r="E88" s="65"/>
      <c r="F88" s="65"/>
      <c r="G88" s="65">
        <v>0</v>
      </c>
      <c r="H88" s="65">
        <v>0</v>
      </c>
      <c r="I88" s="65">
        <v>0</v>
      </c>
      <c r="J88" s="65">
        <v>0</v>
      </c>
      <c r="K88" s="65">
        <v>0</v>
      </c>
      <c r="M88" s="777">
        <v>0</v>
      </c>
      <c r="N88" s="777">
        <v>0</v>
      </c>
      <c r="O88" s="777">
        <v>0</v>
      </c>
      <c r="P88" s="777">
        <v>0</v>
      </c>
    </row>
    <row r="89" spans="1:16" ht="3" customHeight="1">
      <c r="A89" s="672"/>
      <c r="B89" s="673"/>
      <c r="C89" s="674"/>
      <c r="D89" s="674"/>
      <c r="E89" s="674"/>
      <c r="F89" s="674"/>
      <c r="G89" s="674"/>
      <c r="H89" s="674"/>
      <c r="I89" s="674"/>
      <c r="J89" s="869"/>
      <c r="K89" s="869"/>
      <c r="M89" s="789"/>
      <c r="N89" s="674"/>
      <c r="O89" s="674"/>
      <c r="P89" s="674"/>
    </row>
    <row r="90" spans="1:16" ht="13">
      <c r="A90" s="16" t="s">
        <v>48</v>
      </c>
      <c r="B90" s="105" t="s">
        <v>303</v>
      </c>
      <c r="C90" s="62"/>
      <c r="D90" s="62"/>
      <c r="E90" s="62">
        <f t="shared" ref="E90:P90" si="10">SUM(E87:E88)</f>
        <v>594130</v>
      </c>
      <c r="F90" s="62">
        <f t="shared" si="10"/>
        <v>594130</v>
      </c>
      <c r="G90" s="62">
        <f t="shared" si="10"/>
        <v>389496</v>
      </c>
      <c r="H90" s="62">
        <f t="shared" si="10"/>
        <v>0</v>
      </c>
      <c r="I90" s="62">
        <f t="shared" si="10"/>
        <v>129833</v>
      </c>
      <c r="J90" s="62">
        <f t="shared" si="10"/>
        <v>0</v>
      </c>
      <c r="K90" s="62">
        <f t="shared" si="10"/>
        <v>74801</v>
      </c>
      <c r="M90" s="62">
        <f t="shared" si="10"/>
        <v>0</v>
      </c>
      <c r="N90" s="62">
        <f t="shared" si="10"/>
        <v>0</v>
      </c>
      <c r="O90" s="62">
        <f t="shared" si="10"/>
        <v>0</v>
      </c>
      <c r="P90" s="62">
        <f t="shared" si="10"/>
        <v>0</v>
      </c>
    </row>
    <row r="91" spans="1:16">
      <c r="M91" s="89"/>
      <c r="N91" s="89"/>
      <c r="O91" s="89"/>
      <c r="P91" s="12"/>
    </row>
    <row r="92" spans="1:16">
      <c r="E92" s="675"/>
      <c r="F92" s="12"/>
      <c r="G92" s="764"/>
      <c r="H92" s="764"/>
      <c r="I92" s="764"/>
      <c r="J92" s="764"/>
      <c r="K92" s="764"/>
      <c r="M92" s="89"/>
      <c r="N92" s="89"/>
      <c r="O92" s="89"/>
      <c r="P92" s="12"/>
    </row>
    <row r="93" spans="1:16">
      <c r="E93" s="675"/>
      <c r="F93" s="12"/>
      <c r="G93" s="12"/>
      <c r="H93" s="12"/>
      <c r="M93" s="96"/>
      <c r="N93" s="96"/>
      <c r="O93" s="96"/>
      <c r="P93" s="675"/>
    </row>
    <row r="94" spans="1:16">
      <c r="E94" s="675"/>
      <c r="M94" s="91"/>
      <c r="N94" s="91"/>
      <c r="O94" s="91"/>
      <c r="P94" s="675"/>
    </row>
    <row r="95" spans="1:16">
      <c r="E95" s="12"/>
      <c r="M95" s="91"/>
      <c r="N95" s="91"/>
      <c r="O95" s="91"/>
      <c r="P95" s="85"/>
    </row>
    <row r="96" spans="1:16">
      <c r="E96" s="12"/>
      <c r="M96" s="12"/>
      <c r="N96" s="12"/>
      <c r="O96" s="12"/>
      <c r="P96" s="12"/>
    </row>
    <row r="97" spans="8:16">
      <c r="M97" s="12"/>
      <c r="N97" s="12"/>
      <c r="O97" s="12"/>
      <c r="P97" s="12"/>
    </row>
    <row r="98" spans="8:16">
      <c r="M98" s="12"/>
      <c r="N98" s="12"/>
      <c r="O98" s="12"/>
      <c r="P98" s="12"/>
    </row>
    <row r="99" spans="8:16">
      <c r="M99" s="12"/>
      <c r="N99" s="12"/>
      <c r="O99" s="12"/>
      <c r="P99" s="12"/>
    </row>
    <row r="100" spans="8:16">
      <c r="M100" s="12"/>
      <c r="N100" s="12"/>
      <c r="O100" s="12"/>
      <c r="P100" s="12"/>
    </row>
    <row r="101" spans="8:16">
      <c r="M101" s="12"/>
      <c r="N101" s="12"/>
      <c r="O101" s="12"/>
      <c r="P101" s="12"/>
    </row>
    <row r="104" spans="8:16">
      <c r="H104" s="676"/>
    </row>
  </sheetData>
  <mergeCells count="1">
    <mergeCell ref="A1:K1"/>
  </mergeCells>
  <pageMargins left="0.25" right="0.25" top="0.25" bottom="0.25" header="0.34" footer="0.5"/>
  <pageSetup scale="64" orientation="landscape" r:id="rId1"/>
  <headerFooter>
    <oddHeader>&amp;CCalWIN Maintenance and Operations Project County Claim Summary</oddHeader>
    <oddFooter>&amp;Cpage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tint="0.59999389629810485"/>
    <pageSetUpPr fitToPage="1"/>
  </sheetPr>
  <dimension ref="A1:P104"/>
  <sheetViews>
    <sheetView zoomScaleNormal="100" workbookViewId="0">
      <pane xSplit="1" ySplit="1" topLeftCell="B68" activePane="bottomRight" state="frozen"/>
      <selection sqref="A1:L1"/>
      <selection pane="topRight" sqref="A1:L1"/>
      <selection pane="bottomLeft" sqref="A1:L1"/>
      <selection pane="bottomRight"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11" width="12.7265625" style="1" customWidth="1"/>
    <col min="12" max="12" width="9.1796875" style="1"/>
    <col min="13" max="16" width="11.54296875" style="1" customWidth="1"/>
    <col min="17" max="16384" width="9.1796875" style="1"/>
  </cols>
  <sheetData>
    <row r="1" spans="1:16" ht="14">
      <c r="A1" s="999" t="s">
        <v>313</v>
      </c>
      <c r="B1" s="999"/>
      <c r="C1" s="999"/>
      <c r="D1" s="999"/>
      <c r="E1" s="999"/>
      <c r="F1" s="999"/>
      <c r="G1" s="999"/>
      <c r="H1" s="999"/>
      <c r="I1" s="999"/>
      <c r="J1" s="999"/>
      <c r="K1" s="999"/>
    </row>
    <row r="2" spans="1:16" ht="12.75" customHeight="1"/>
    <row r="3" spans="1:16" ht="42.75" customHeight="1">
      <c r="A3" s="848" t="s">
        <v>44</v>
      </c>
      <c r="B3" s="848" t="s">
        <v>68</v>
      </c>
      <c r="C3" s="848" t="s">
        <v>67</v>
      </c>
      <c r="D3" s="848" t="s">
        <v>66</v>
      </c>
      <c r="E3" s="848" t="s">
        <v>216</v>
      </c>
      <c r="F3" s="848" t="s">
        <v>48</v>
      </c>
      <c r="G3" s="848" t="s">
        <v>65</v>
      </c>
      <c r="H3" s="848" t="s">
        <v>64</v>
      </c>
      <c r="I3" s="848" t="s">
        <v>63</v>
      </c>
      <c r="J3" s="853" t="s">
        <v>62</v>
      </c>
      <c r="K3" s="853" t="s">
        <v>61</v>
      </c>
      <c r="M3" s="140" t="s">
        <v>43</v>
      </c>
      <c r="N3" s="24" t="s">
        <v>42</v>
      </c>
      <c r="O3" s="24" t="s">
        <v>138</v>
      </c>
      <c r="P3" s="24" t="s">
        <v>60</v>
      </c>
    </row>
    <row r="4" spans="1:16" ht="12.75" customHeight="1">
      <c r="A4" s="560" t="s">
        <v>171</v>
      </c>
      <c r="B4" s="655">
        <v>43922</v>
      </c>
      <c r="C4" s="656">
        <v>0</v>
      </c>
      <c r="D4" s="655">
        <v>43952</v>
      </c>
      <c r="E4" s="822">
        <v>0</v>
      </c>
      <c r="F4" s="797">
        <f>SUM(G4:K4)</f>
        <v>0</v>
      </c>
      <c r="G4" s="267">
        <v>0</v>
      </c>
      <c r="H4" s="267">
        <v>0</v>
      </c>
      <c r="I4" s="267">
        <v>0</v>
      </c>
      <c r="J4" s="267">
        <v>0</v>
      </c>
      <c r="K4" s="267">
        <v>0</v>
      </c>
      <c r="M4" s="65">
        <v>0</v>
      </c>
      <c r="N4" s="877">
        <v>0</v>
      </c>
      <c r="O4" s="777">
        <v>0</v>
      </c>
      <c r="P4" s="792">
        <f>SUM(M4:O4)</f>
        <v>0</v>
      </c>
    </row>
    <row r="5" spans="1:16" ht="12.75" customHeight="1">
      <c r="A5" s="560" t="s">
        <v>170</v>
      </c>
      <c r="B5" s="655">
        <v>43922</v>
      </c>
      <c r="C5" s="656">
        <v>0</v>
      </c>
      <c r="D5" s="655">
        <v>43952</v>
      </c>
      <c r="E5" s="822">
        <v>0</v>
      </c>
      <c r="F5" s="797">
        <f t="shared" ref="F5:F55" si="0">SUM(G5:K5)</f>
        <v>0</v>
      </c>
      <c r="G5" s="267">
        <v>0</v>
      </c>
      <c r="H5" s="267">
        <v>0</v>
      </c>
      <c r="I5" s="267">
        <v>0</v>
      </c>
      <c r="J5" s="267">
        <v>0</v>
      </c>
      <c r="K5" s="267">
        <v>0</v>
      </c>
      <c r="M5" s="65">
        <v>0</v>
      </c>
      <c r="N5" s="877">
        <v>0</v>
      </c>
      <c r="O5" s="777">
        <v>0</v>
      </c>
      <c r="P5" s="792">
        <f t="shared" ref="P5:P55" si="1">SUM(M5:O5)</f>
        <v>0</v>
      </c>
    </row>
    <row r="6" spans="1:16" ht="12.75" customHeight="1">
      <c r="A6" s="560" t="s">
        <v>169</v>
      </c>
      <c r="B6" s="655">
        <v>43922</v>
      </c>
      <c r="C6" s="656">
        <v>0</v>
      </c>
      <c r="D6" s="655">
        <v>43952</v>
      </c>
      <c r="E6" s="822">
        <v>0</v>
      </c>
      <c r="F6" s="797">
        <f t="shared" si="0"/>
        <v>0</v>
      </c>
      <c r="G6" s="267">
        <v>0</v>
      </c>
      <c r="H6" s="267">
        <v>0</v>
      </c>
      <c r="I6" s="267">
        <v>0</v>
      </c>
      <c r="J6" s="267">
        <v>0</v>
      </c>
      <c r="K6" s="267">
        <v>0</v>
      </c>
      <c r="M6" s="65">
        <v>0</v>
      </c>
      <c r="N6" s="877">
        <v>0</v>
      </c>
      <c r="O6" s="777">
        <v>0</v>
      </c>
      <c r="P6" s="792">
        <f t="shared" si="1"/>
        <v>0</v>
      </c>
    </row>
    <row r="7" spans="1:16" ht="12.75" customHeight="1">
      <c r="A7" s="560" t="s">
        <v>168</v>
      </c>
      <c r="B7" s="655">
        <v>43922</v>
      </c>
      <c r="C7" s="656">
        <v>0</v>
      </c>
      <c r="D7" s="655">
        <v>43952</v>
      </c>
      <c r="E7" s="822">
        <v>0</v>
      </c>
      <c r="F7" s="797">
        <f t="shared" si="0"/>
        <v>0</v>
      </c>
      <c r="G7" s="267">
        <v>0</v>
      </c>
      <c r="H7" s="267">
        <v>0</v>
      </c>
      <c r="I7" s="267">
        <v>0</v>
      </c>
      <c r="J7" s="267">
        <v>0</v>
      </c>
      <c r="K7" s="267">
        <v>0</v>
      </c>
      <c r="M7" s="65">
        <v>0</v>
      </c>
      <c r="N7" s="877">
        <v>0</v>
      </c>
      <c r="O7" s="777">
        <v>0</v>
      </c>
      <c r="P7" s="792">
        <f t="shared" si="1"/>
        <v>0</v>
      </c>
    </row>
    <row r="8" spans="1:16" ht="12.75" customHeight="1">
      <c r="A8" s="560" t="s">
        <v>167</v>
      </c>
      <c r="B8" s="655">
        <v>43922</v>
      </c>
      <c r="C8" s="656">
        <v>0</v>
      </c>
      <c r="D8" s="655">
        <v>43952</v>
      </c>
      <c r="E8" s="822">
        <v>0</v>
      </c>
      <c r="F8" s="797">
        <f t="shared" si="0"/>
        <v>0</v>
      </c>
      <c r="G8" s="267">
        <v>0</v>
      </c>
      <c r="H8" s="267">
        <v>0</v>
      </c>
      <c r="I8" s="267">
        <v>0</v>
      </c>
      <c r="J8" s="267">
        <v>0</v>
      </c>
      <c r="K8" s="267">
        <v>0</v>
      </c>
      <c r="M8" s="65">
        <v>0</v>
      </c>
      <c r="N8" s="877">
        <v>0</v>
      </c>
      <c r="O8" s="777">
        <v>0</v>
      </c>
      <c r="P8" s="792">
        <f t="shared" si="1"/>
        <v>0</v>
      </c>
    </row>
    <row r="9" spans="1:16" ht="12.75" customHeight="1">
      <c r="A9" s="560" t="s">
        <v>166</v>
      </c>
      <c r="B9" s="655">
        <v>43922</v>
      </c>
      <c r="C9" s="656">
        <v>0</v>
      </c>
      <c r="D9" s="655">
        <v>43952</v>
      </c>
      <c r="E9" s="822">
        <v>0</v>
      </c>
      <c r="F9" s="797">
        <f t="shared" si="0"/>
        <v>0</v>
      </c>
      <c r="G9" s="267">
        <v>0</v>
      </c>
      <c r="H9" s="267">
        <v>0</v>
      </c>
      <c r="I9" s="267">
        <v>0</v>
      </c>
      <c r="J9" s="267">
        <v>0</v>
      </c>
      <c r="K9" s="267">
        <v>0</v>
      </c>
      <c r="M9" s="65">
        <v>0</v>
      </c>
      <c r="N9" s="877">
        <v>0</v>
      </c>
      <c r="O9" s="777">
        <v>0</v>
      </c>
      <c r="P9" s="792">
        <f t="shared" si="1"/>
        <v>0</v>
      </c>
    </row>
    <row r="10" spans="1:16" ht="12.75" customHeight="1">
      <c r="A10" s="560" t="s">
        <v>11</v>
      </c>
      <c r="B10" s="655">
        <v>43922</v>
      </c>
      <c r="C10" s="656">
        <v>0</v>
      </c>
      <c r="D10" s="655">
        <v>43952</v>
      </c>
      <c r="E10" s="822">
        <v>111799</v>
      </c>
      <c r="F10" s="797">
        <f t="shared" si="0"/>
        <v>111799</v>
      </c>
      <c r="G10" s="267">
        <v>83849</v>
      </c>
      <c r="H10" s="267">
        <v>0</v>
      </c>
      <c r="I10" s="267">
        <v>27950</v>
      </c>
      <c r="J10" s="267">
        <v>0</v>
      </c>
      <c r="K10" s="267">
        <v>0</v>
      </c>
      <c r="M10" s="65">
        <v>0</v>
      </c>
      <c r="N10" s="877">
        <v>0</v>
      </c>
      <c r="O10" s="777">
        <v>0</v>
      </c>
      <c r="P10" s="792">
        <f t="shared" si="1"/>
        <v>0</v>
      </c>
    </row>
    <row r="11" spans="1:16" ht="12.75" customHeight="1">
      <c r="A11" s="560" t="s">
        <v>165</v>
      </c>
      <c r="B11" s="655">
        <v>43922</v>
      </c>
      <c r="C11" s="656">
        <v>0</v>
      </c>
      <c r="D11" s="655">
        <v>43952</v>
      </c>
      <c r="E11" s="822">
        <v>0</v>
      </c>
      <c r="F11" s="797">
        <f t="shared" si="0"/>
        <v>0</v>
      </c>
      <c r="G11" s="267">
        <v>0</v>
      </c>
      <c r="H11" s="267">
        <v>0</v>
      </c>
      <c r="I11" s="267">
        <v>0</v>
      </c>
      <c r="J11" s="267">
        <v>0</v>
      </c>
      <c r="K11" s="267">
        <v>0</v>
      </c>
      <c r="M11" s="65">
        <v>0</v>
      </c>
      <c r="N11" s="877">
        <v>0</v>
      </c>
      <c r="O11" s="777">
        <v>0</v>
      </c>
      <c r="P11" s="792">
        <f t="shared" si="1"/>
        <v>0</v>
      </c>
    </row>
    <row r="12" spans="1:16" ht="12.75" customHeight="1">
      <c r="A12" s="560" t="s">
        <v>164</v>
      </c>
      <c r="B12" s="655">
        <v>43739</v>
      </c>
      <c r="C12" s="345">
        <v>1</v>
      </c>
      <c r="D12" s="655">
        <v>43952</v>
      </c>
      <c r="E12" s="822">
        <v>0</v>
      </c>
      <c r="F12" s="797">
        <f t="shared" si="0"/>
        <v>0</v>
      </c>
      <c r="G12" s="267">
        <v>0</v>
      </c>
      <c r="H12" s="267">
        <v>0</v>
      </c>
      <c r="I12" s="267">
        <v>0</v>
      </c>
      <c r="J12" s="267">
        <v>0</v>
      </c>
      <c r="K12" s="267">
        <v>0</v>
      </c>
      <c r="M12" s="65">
        <v>0</v>
      </c>
      <c r="N12" s="877">
        <v>0</v>
      </c>
      <c r="O12" s="777">
        <v>0</v>
      </c>
      <c r="P12" s="792">
        <f t="shared" si="1"/>
        <v>0</v>
      </c>
    </row>
    <row r="13" spans="1:16" ht="12.75" customHeight="1">
      <c r="A13" s="560" t="s">
        <v>164</v>
      </c>
      <c r="B13" s="655">
        <v>43922</v>
      </c>
      <c r="C13" s="656">
        <v>0</v>
      </c>
      <c r="D13" s="655">
        <v>43952</v>
      </c>
      <c r="E13" s="822">
        <v>0</v>
      </c>
      <c r="F13" s="797">
        <f t="shared" si="0"/>
        <v>0</v>
      </c>
      <c r="G13" s="267">
        <v>0</v>
      </c>
      <c r="H13" s="267">
        <v>0</v>
      </c>
      <c r="I13" s="267">
        <v>0</v>
      </c>
      <c r="J13" s="267">
        <v>0</v>
      </c>
      <c r="K13" s="267">
        <v>0</v>
      </c>
      <c r="M13" s="65">
        <v>0</v>
      </c>
      <c r="N13" s="877">
        <v>0</v>
      </c>
      <c r="O13" s="777">
        <v>0</v>
      </c>
      <c r="P13" s="792">
        <f t="shared" si="1"/>
        <v>0</v>
      </c>
    </row>
    <row r="14" spans="1:16" ht="12.75" customHeight="1">
      <c r="A14" s="560" t="s">
        <v>163</v>
      </c>
      <c r="B14" s="655">
        <v>43922</v>
      </c>
      <c r="C14" s="656">
        <v>0</v>
      </c>
      <c r="D14" s="655">
        <v>43952</v>
      </c>
      <c r="E14" s="822">
        <v>0</v>
      </c>
      <c r="F14" s="797">
        <f t="shared" si="0"/>
        <v>0</v>
      </c>
      <c r="G14" s="267">
        <v>0</v>
      </c>
      <c r="H14" s="267">
        <v>0</v>
      </c>
      <c r="I14" s="267">
        <v>0</v>
      </c>
      <c r="J14" s="267">
        <v>0</v>
      </c>
      <c r="K14" s="267">
        <v>0</v>
      </c>
      <c r="M14" s="65">
        <v>0</v>
      </c>
      <c r="N14" s="877">
        <v>0</v>
      </c>
      <c r="O14" s="777">
        <v>0</v>
      </c>
      <c r="P14" s="792">
        <f t="shared" si="1"/>
        <v>0</v>
      </c>
    </row>
    <row r="15" spans="1:16" ht="12.75" customHeight="1">
      <c r="A15" s="560" t="s">
        <v>162</v>
      </c>
      <c r="B15" s="655">
        <v>43922</v>
      </c>
      <c r="C15" s="656">
        <v>0</v>
      </c>
      <c r="D15" s="655">
        <v>43952</v>
      </c>
      <c r="E15" s="822">
        <v>0</v>
      </c>
      <c r="F15" s="797">
        <f t="shared" si="0"/>
        <v>0</v>
      </c>
      <c r="G15" s="267">
        <v>0</v>
      </c>
      <c r="H15" s="267">
        <v>0</v>
      </c>
      <c r="I15" s="267">
        <v>0</v>
      </c>
      <c r="J15" s="267">
        <v>0</v>
      </c>
      <c r="K15" s="267">
        <v>0</v>
      </c>
      <c r="M15" s="65">
        <v>0</v>
      </c>
      <c r="N15" s="877">
        <v>0</v>
      </c>
      <c r="O15" s="777">
        <v>0</v>
      </c>
      <c r="P15" s="792">
        <f t="shared" si="1"/>
        <v>0</v>
      </c>
    </row>
    <row r="16" spans="1:16" ht="12.75" customHeight="1">
      <c r="A16" s="560" t="s">
        <v>161</v>
      </c>
      <c r="B16" s="655">
        <v>43922</v>
      </c>
      <c r="C16" s="656">
        <v>0</v>
      </c>
      <c r="D16" s="655">
        <v>43952</v>
      </c>
      <c r="E16" s="822">
        <v>0</v>
      </c>
      <c r="F16" s="797">
        <f t="shared" si="0"/>
        <v>0</v>
      </c>
      <c r="G16" s="267">
        <v>0</v>
      </c>
      <c r="H16" s="267">
        <v>0</v>
      </c>
      <c r="I16" s="267">
        <v>0</v>
      </c>
      <c r="J16" s="267">
        <v>0</v>
      </c>
      <c r="K16" s="267">
        <v>0</v>
      </c>
      <c r="M16" s="65">
        <v>0</v>
      </c>
      <c r="N16" s="877">
        <v>0</v>
      </c>
      <c r="O16" s="777">
        <v>0</v>
      </c>
      <c r="P16" s="792">
        <f t="shared" si="1"/>
        <v>0</v>
      </c>
    </row>
    <row r="17" spans="1:16" ht="12.75" customHeight="1">
      <c r="A17" s="560" t="s">
        <v>160</v>
      </c>
      <c r="B17" s="655">
        <v>44105</v>
      </c>
      <c r="C17" s="345">
        <v>2</v>
      </c>
      <c r="D17" s="655">
        <v>43952</v>
      </c>
      <c r="E17" s="822">
        <v>0</v>
      </c>
      <c r="F17" s="797">
        <f t="shared" si="0"/>
        <v>0</v>
      </c>
      <c r="G17" s="267">
        <v>0</v>
      </c>
      <c r="H17" s="267">
        <v>0</v>
      </c>
      <c r="I17" s="267">
        <v>0</v>
      </c>
      <c r="J17" s="267">
        <v>0</v>
      </c>
      <c r="K17" s="267">
        <v>0</v>
      </c>
      <c r="M17" s="65">
        <v>0</v>
      </c>
      <c r="N17" s="877">
        <v>0</v>
      </c>
      <c r="O17" s="777">
        <v>0</v>
      </c>
      <c r="P17" s="792">
        <f t="shared" si="1"/>
        <v>0</v>
      </c>
    </row>
    <row r="18" spans="1:16" ht="12.75" customHeight="1">
      <c r="A18" s="560" t="s">
        <v>160</v>
      </c>
      <c r="B18" s="655">
        <v>44136</v>
      </c>
      <c r="C18" s="345">
        <v>2</v>
      </c>
      <c r="D18" s="655">
        <v>43952</v>
      </c>
      <c r="E18" s="822">
        <v>0</v>
      </c>
      <c r="F18" s="797">
        <f t="shared" si="0"/>
        <v>0</v>
      </c>
      <c r="G18" s="267">
        <v>0</v>
      </c>
      <c r="H18" s="267">
        <v>0</v>
      </c>
      <c r="I18" s="267">
        <v>0</v>
      </c>
      <c r="J18" s="267">
        <v>0</v>
      </c>
      <c r="K18" s="267">
        <v>0</v>
      </c>
      <c r="M18" s="65">
        <v>0</v>
      </c>
      <c r="N18" s="877">
        <v>0</v>
      </c>
      <c r="O18" s="777">
        <v>0</v>
      </c>
      <c r="P18" s="792">
        <f t="shared" si="1"/>
        <v>0</v>
      </c>
    </row>
    <row r="19" spans="1:16" ht="12.75" customHeight="1">
      <c r="A19" s="560" t="s">
        <v>160</v>
      </c>
      <c r="B19" s="655">
        <v>44166</v>
      </c>
      <c r="C19" s="345">
        <v>2</v>
      </c>
      <c r="D19" s="655">
        <v>43952</v>
      </c>
      <c r="E19" s="822">
        <v>0</v>
      </c>
      <c r="F19" s="797">
        <f t="shared" si="0"/>
        <v>0</v>
      </c>
      <c r="G19" s="267">
        <v>0</v>
      </c>
      <c r="H19" s="267">
        <v>0</v>
      </c>
      <c r="I19" s="267">
        <v>0</v>
      </c>
      <c r="J19" s="267">
        <v>0</v>
      </c>
      <c r="K19" s="267">
        <v>0</v>
      </c>
      <c r="M19" s="65">
        <v>0</v>
      </c>
      <c r="N19" s="877">
        <v>0</v>
      </c>
      <c r="O19" s="777">
        <v>0</v>
      </c>
      <c r="P19" s="792">
        <f t="shared" si="1"/>
        <v>0</v>
      </c>
    </row>
    <row r="20" spans="1:16" ht="12.75" customHeight="1">
      <c r="A20" s="560" t="s">
        <v>160</v>
      </c>
      <c r="B20" s="655">
        <v>43831</v>
      </c>
      <c r="C20" s="345">
        <v>2</v>
      </c>
      <c r="D20" s="655">
        <v>43952</v>
      </c>
      <c r="E20" s="822">
        <v>0</v>
      </c>
      <c r="F20" s="797">
        <f t="shared" si="0"/>
        <v>0</v>
      </c>
      <c r="G20" s="267">
        <v>0</v>
      </c>
      <c r="H20" s="267">
        <v>0</v>
      </c>
      <c r="I20" s="267">
        <v>0</v>
      </c>
      <c r="J20" s="267">
        <v>0</v>
      </c>
      <c r="K20" s="267">
        <v>0</v>
      </c>
      <c r="M20" s="65">
        <v>0</v>
      </c>
      <c r="N20" s="877">
        <v>0</v>
      </c>
      <c r="O20" s="777">
        <v>0</v>
      </c>
      <c r="P20" s="792">
        <f t="shared" si="1"/>
        <v>0</v>
      </c>
    </row>
    <row r="21" spans="1:16" ht="12.75" customHeight="1">
      <c r="A21" s="560" t="s">
        <v>160</v>
      </c>
      <c r="B21" s="655">
        <v>43862</v>
      </c>
      <c r="C21" s="345">
        <v>2</v>
      </c>
      <c r="D21" s="655">
        <v>43952</v>
      </c>
      <c r="E21" s="822">
        <v>0</v>
      </c>
      <c r="F21" s="797">
        <f t="shared" si="0"/>
        <v>0</v>
      </c>
      <c r="G21" s="267">
        <v>0</v>
      </c>
      <c r="H21" s="267">
        <v>0</v>
      </c>
      <c r="I21" s="267">
        <v>0</v>
      </c>
      <c r="J21" s="267">
        <v>0</v>
      </c>
      <c r="K21" s="267">
        <v>0</v>
      </c>
      <c r="M21" s="65">
        <v>0</v>
      </c>
      <c r="N21" s="877">
        <v>0</v>
      </c>
      <c r="O21" s="777">
        <v>0</v>
      </c>
      <c r="P21" s="792">
        <f t="shared" si="1"/>
        <v>0</v>
      </c>
    </row>
    <row r="22" spans="1:16" ht="12.75" customHeight="1">
      <c r="A22" s="560" t="s">
        <v>160</v>
      </c>
      <c r="B22" s="655">
        <v>43891</v>
      </c>
      <c r="C22" s="345">
        <v>1</v>
      </c>
      <c r="D22" s="655">
        <v>43952</v>
      </c>
      <c r="E22" s="822">
        <v>0</v>
      </c>
      <c r="F22" s="797">
        <f t="shared" si="0"/>
        <v>0</v>
      </c>
      <c r="G22" s="267">
        <v>0</v>
      </c>
      <c r="H22" s="267">
        <v>0</v>
      </c>
      <c r="I22" s="267">
        <v>0</v>
      </c>
      <c r="J22" s="267">
        <v>0</v>
      </c>
      <c r="K22" s="267">
        <v>0</v>
      </c>
      <c r="M22" s="65">
        <v>0</v>
      </c>
      <c r="N22" s="877">
        <v>0</v>
      </c>
      <c r="O22" s="777">
        <v>0</v>
      </c>
      <c r="P22" s="792">
        <f t="shared" si="1"/>
        <v>0</v>
      </c>
    </row>
    <row r="23" spans="1:16" ht="12.75" customHeight="1">
      <c r="A23" s="560" t="s">
        <v>160</v>
      </c>
      <c r="B23" s="655">
        <v>43922</v>
      </c>
      <c r="C23" s="656">
        <v>0</v>
      </c>
      <c r="D23" s="655">
        <v>43952</v>
      </c>
      <c r="E23" s="822">
        <v>0</v>
      </c>
      <c r="F23" s="797">
        <f t="shared" si="0"/>
        <v>0</v>
      </c>
      <c r="G23" s="267">
        <v>0</v>
      </c>
      <c r="H23" s="267">
        <v>0</v>
      </c>
      <c r="I23" s="267">
        <v>0</v>
      </c>
      <c r="J23" s="267">
        <v>0</v>
      </c>
      <c r="K23" s="267">
        <v>0</v>
      </c>
      <c r="M23" s="65">
        <v>0</v>
      </c>
      <c r="N23" s="877">
        <v>0</v>
      </c>
      <c r="O23" s="777">
        <v>0</v>
      </c>
      <c r="P23" s="792">
        <f t="shared" si="1"/>
        <v>0</v>
      </c>
    </row>
    <row r="24" spans="1:16" ht="12.75" customHeight="1">
      <c r="A24" s="560" t="s">
        <v>159</v>
      </c>
      <c r="B24" s="655">
        <v>43922</v>
      </c>
      <c r="C24" s="656">
        <v>0</v>
      </c>
      <c r="D24" s="655">
        <v>43952</v>
      </c>
      <c r="E24" s="822">
        <v>0</v>
      </c>
      <c r="F24" s="797">
        <f t="shared" si="0"/>
        <v>0</v>
      </c>
      <c r="G24" s="267">
        <v>0</v>
      </c>
      <c r="H24" s="267">
        <v>0</v>
      </c>
      <c r="I24" s="267">
        <v>0</v>
      </c>
      <c r="J24" s="267">
        <v>0</v>
      </c>
      <c r="K24" s="267">
        <v>0</v>
      </c>
      <c r="M24" s="65">
        <v>0</v>
      </c>
      <c r="N24" s="877">
        <v>0</v>
      </c>
      <c r="O24" s="777">
        <v>0</v>
      </c>
      <c r="P24" s="792">
        <f t="shared" si="1"/>
        <v>0</v>
      </c>
    </row>
    <row r="25" spans="1:16" ht="12.75" customHeight="1">
      <c r="A25" s="560" t="s">
        <v>158</v>
      </c>
      <c r="B25" s="655">
        <v>43922</v>
      </c>
      <c r="C25" s="656">
        <v>0</v>
      </c>
      <c r="D25" s="655">
        <v>43952</v>
      </c>
      <c r="E25" s="822">
        <v>0</v>
      </c>
      <c r="F25" s="797">
        <f t="shared" si="0"/>
        <v>0</v>
      </c>
      <c r="G25" s="342">
        <v>0</v>
      </c>
      <c r="H25" s="342">
        <v>0</v>
      </c>
      <c r="I25" s="342">
        <v>0</v>
      </c>
      <c r="J25" s="342">
        <v>0</v>
      </c>
      <c r="K25" s="342">
        <v>0</v>
      </c>
      <c r="M25" s="65">
        <v>0</v>
      </c>
      <c r="N25" s="877">
        <v>0</v>
      </c>
      <c r="O25" s="777">
        <v>0</v>
      </c>
      <c r="P25" s="792">
        <f t="shared" si="1"/>
        <v>0</v>
      </c>
    </row>
    <row r="26" spans="1:16" ht="12.75" customHeight="1">
      <c r="A26" s="560" t="s">
        <v>157</v>
      </c>
      <c r="B26" s="655">
        <v>43922</v>
      </c>
      <c r="C26" s="656">
        <v>0</v>
      </c>
      <c r="D26" s="655">
        <v>43952</v>
      </c>
      <c r="E26" s="822">
        <v>0</v>
      </c>
      <c r="F26" s="797">
        <f t="shared" si="0"/>
        <v>0</v>
      </c>
      <c r="G26" s="267">
        <v>0</v>
      </c>
      <c r="H26" s="267">
        <v>0</v>
      </c>
      <c r="I26" s="267">
        <v>0</v>
      </c>
      <c r="J26" s="267">
        <v>0</v>
      </c>
      <c r="K26" s="267">
        <v>0</v>
      </c>
      <c r="M26" s="65">
        <v>0</v>
      </c>
      <c r="N26" s="877">
        <v>0</v>
      </c>
      <c r="O26" s="777">
        <v>0</v>
      </c>
      <c r="P26" s="792">
        <f t="shared" si="1"/>
        <v>0</v>
      </c>
    </row>
    <row r="27" spans="1:16" ht="12.75" customHeight="1">
      <c r="A27" s="560" t="s">
        <v>156</v>
      </c>
      <c r="B27" s="655">
        <v>43922</v>
      </c>
      <c r="C27" s="656">
        <v>0</v>
      </c>
      <c r="D27" s="655">
        <v>43952</v>
      </c>
      <c r="E27" s="822">
        <v>0</v>
      </c>
      <c r="F27" s="797">
        <f t="shared" si="0"/>
        <v>0</v>
      </c>
      <c r="G27" s="267">
        <v>0</v>
      </c>
      <c r="H27" s="267">
        <v>0</v>
      </c>
      <c r="I27" s="267">
        <v>0</v>
      </c>
      <c r="J27" s="267">
        <v>0</v>
      </c>
      <c r="K27" s="267">
        <v>0</v>
      </c>
      <c r="M27" s="65">
        <v>0</v>
      </c>
      <c r="N27" s="877">
        <v>0</v>
      </c>
      <c r="O27" s="777">
        <v>0</v>
      </c>
      <c r="P27" s="792">
        <f t="shared" si="1"/>
        <v>0</v>
      </c>
    </row>
    <row r="28" spans="1:16" ht="12.75" customHeight="1">
      <c r="A28" s="560" t="s">
        <v>155</v>
      </c>
      <c r="B28" s="655">
        <v>43922</v>
      </c>
      <c r="C28" s="656">
        <v>0</v>
      </c>
      <c r="D28" s="655">
        <v>43952</v>
      </c>
      <c r="E28" s="822">
        <v>0</v>
      </c>
      <c r="F28" s="797">
        <f t="shared" si="0"/>
        <v>0</v>
      </c>
      <c r="G28" s="267">
        <v>0</v>
      </c>
      <c r="H28" s="267">
        <v>0</v>
      </c>
      <c r="I28" s="267">
        <v>0</v>
      </c>
      <c r="J28" s="267">
        <v>0</v>
      </c>
      <c r="K28" s="267">
        <v>0</v>
      </c>
      <c r="M28" s="65">
        <v>0</v>
      </c>
      <c r="N28" s="877">
        <v>0</v>
      </c>
      <c r="O28" s="777">
        <v>0</v>
      </c>
      <c r="P28" s="792">
        <f t="shared" si="1"/>
        <v>0</v>
      </c>
    </row>
    <row r="29" spans="1:16" ht="12.75" customHeight="1" thickBot="1">
      <c r="A29" s="657" t="s">
        <v>154</v>
      </c>
      <c r="B29" s="844">
        <v>43922</v>
      </c>
      <c r="C29" s="659">
        <v>0</v>
      </c>
      <c r="D29" s="844">
        <v>43952</v>
      </c>
      <c r="E29" s="825">
        <v>0</v>
      </c>
      <c r="F29" s="806">
        <f t="shared" si="0"/>
        <v>0</v>
      </c>
      <c r="G29" s="753">
        <v>0</v>
      </c>
      <c r="H29" s="753">
        <v>0</v>
      </c>
      <c r="I29" s="753">
        <v>0</v>
      </c>
      <c r="J29" s="753">
        <v>0</v>
      </c>
      <c r="K29" s="753">
        <v>0</v>
      </c>
      <c r="M29" s="669">
        <v>0</v>
      </c>
      <c r="N29" s="801">
        <v>0</v>
      </c>
      <c r="O29" s="668">
        <v>0</v>
      </c>
      <c r="P29" s="802">
        <f t="shared" si="1"/>
        <v>0</v>
      </c>
    </row>
    <row r="30" spans="1:16" ht="12.75" customHeight="1">
      <c r="A30" s="892" t="s">
        <v>171</v>
      </c>
      <c r="B30" s="876">
        <v>43800</v>
      </c>
      <c r="C30" s="868">
        <v>2</v>
      </c>
      <c r="D30" s="876">
        <v>43983</v>
      </c>
      <c r="E30" s="592">
        <v>0</v>
      </c>
      <c r="F30" s="805">
        <f>SUM(G30:K30)</f>
        <v>0</v>
      </c>
      <c r="G30" s="592">
        <v>0</v>
      </c>
      <c r="H30" s="592">
        <v>0</v>
      </c>
      <c r="I30" s="592">
        <v>0</v>
      </c>
      <c r="J30" s="592">
        <v>0</v>
      </c>
      <c r="K30" s="592">
        <v>0</v>
      </c>
      <c r="M30" s="777">
        <v>0</v>
      </c>
      <c r="N30" s="777">
        <v>0</v>
      </c>
      <c r="O30" s="777">
        <v>0</v>
      </c>
      <c r="P30" s="792">
        <f t="shared" si="1"/>
        <v>0</v>
      </c>
    </row>
    <row r="31" spans="1:16" ht="12.75" customHeight="1">
      <c r="A31" s="565" t="s">
        <v>171</v>
      </c>
      <c r="B31" s="660">
        <v>43952</v>
      </c>
      <c r="C31" s="661">
        <v>0</v>
      </c>
      <c r="D31" s="660">
        <v>43983</v>
      </c>
      <c r="E31" s="339">
        <v>0</v>
      </c>
      <c r="F31" s="791">
        <f>SUM(G31:K31)</f>
        <v>0</v>
      </c>
      <c r="G31" s="339">
        <v>0</v>
      </c>
      <c r="H31" s="339">
        <v>0</v>
      </c>
      <c r="I31" s="339">
        <v>0</v>
      </c>
      <c r="J31" s="339">
        <v>0</v>
      </c>
      <c r="K31" s="339">
        <v>0</v>
      </c>
      <c r="M31" s="777">
        <v>0</v>
      </c>
      <c r="N31" s="777">
        <v>0</v>
      </c>
      <c r="O31" s="777">
        <v>0</v>
      </c>
      <c r="P31" s="792">
        <f t="shared" si="1"/>
        <v>0</v>
      </c>
    </row>
    <row r="32" spans="1:16" ht="12.75" customHeight="1">
      <c r="A32" s="560" t="s">
        <v>170</v>
      </c>
      <c r="B32" s="660">
        <v>43800</v>
      </c>
      <c r="C32" s="756">
        <v>1</v>
      </c>
      <c r="D32" s="660">
        <v>43983</v>
      </c>
      <c r="E32" s="339">
        <v>0</v>
      </c>
      <c r="F32" s="791">
        <f t="shared" ref="F32:F52" si="2">SUM(G32:K32)</f>
        <v>0</v>
      </c>
      <c r="G32" s="339">
        <v>0</v>
      </c>
      <c r="H32" s="339">
        <v>0</v>
      </c>
      <c r="I32" s="339">
        <v>0</v>
      </c>
      <c r="J32" s="339">
        <v>0</v>
      </c>
      <c r="K32" s="339">
        <v>0</v>
      </c>
      <c r="M32" s="777">
        <v>0</v>
      </c>
      <c r="N32" s="777">
        <v>0</v>
      </c>
      <c r="O32" s="777">
        <v>0</v>
      </c>
      <c r="P32" s="792">
        <f t="shared" si="1"/>
        <v>0</v>
      </c>
    </row>
    <row r="33" spans="1:16" ht="12.75" customHeight="1">
      <c r="A33" s="560" t="s">
        <v>170</v>
      </c>
      <c r="B33" s="660">
        <v>43831</v>
      </c>
      <c r="C33" s="756">
        <v>1</v>
      </c>
      <c r="D33" s="660">
        <v>43983</v>
      </c>
      <c r="E33" s="339">
        <v>0</v>
      </c>
      <c r="F33" s="791">
        <f t="shared" si="2"/>
        <v>0</v>
      </c>
      <c r="G33" s="339">
        <v>0</v>
      </c>
      <c r="H33" s="339">
        <v>0</v>
      </c>
      <c r="I33" s="339">
        <v>0</v>
      </c>
      <c r="J33" s="339">
        <v>0</v>
      </c>
      <c r="K33" s="339">
        <v>0</v>
      </c>
      <c r="M33" s="777">
        <v>0</v>
      </c>
      <c r="N33" s="777">
        <v>0</v>
      </c>
      <c r="O33" s="777">
        <v>0</v>
      </c>
      <c r="P33" s="792">
        <f t="shared" si="1"/>
        <v>0</v>
      </c>
    </row>
    <row r="34" spans="1:16" ht="12.75" customHeight="1">
      <c r="A34" s="560" t="s">
        <v>170</v>
      </c>
      <c r="B34" s="660">
        <v>43862</v>
      </c>
      <c r="C34" s="756">
        <v>1</v>
      </c>
      <c r="D34" s="660">
        <v>43983</v>
      </c>
      <c r="E34" s="339">
        <v>0</v>
      </c>
      <c r="F34" s="791">
        <f t="shared" si="2"/>
        <v>0</v>
      </c>
      <c r="G34" s="339">
        <v>0</v>
      </c>
      <c r="H34" s="339">
        <v>0</v>
      </c>
      <c r="I34" s="339">
        <v>0</v>
      </c>
      <c r="J34" s="339">
        <v>0</v>
      </c>
      <c r="K34" s="339">
        <v>0</v>
      </c>
      <c r="M34" s="777">
        <v>0</v>
      </c>
      <c r="N34" s="777">
        <v>0</v>
      </c>
      <c r="O34" s="777">
        <v>0</v>
      </c>
      <c r="P34" s="792">
        <f t="shared" si="1"/>
        <v>0</v>
      </c>
    </row>
    <row r="35" spans="1:16" ht="12.75" customHeight="1">
      <c r="A35" s="560" t="s">
        <v>170</v>
      </c>
      <c r="B35" s="660">
        <v>43891</v>
      </c>
      <c r="C35" s="756">
        <v>1</v>
      </c>
      <c r="D35" s="660">
        <v>43983</v>
      </c>
      <c r="E35" s="339">
        <v>0</v>
      </c>
      <c r="F35" s="791">
        <f t="shared" si="2"/>
        <v>0</v>
      </c>
      <c r="G35" s="339">
        <v>0</v>
      </c>
      <c r="H35" s="339">
        <v>0</v>
      </c>
      <c r="I35" s="339">
        <v>0</v>
      </c>
      <c r="J35" s="339">
        <v>0</v>
      </c>
      <c r="K35" s="339">
        <v>0</v>
      </c>
      <c r="M35" s="777">
        <v>0</v>
      </c>
      <c r="N35" s="777">
        <v>0</v>
      </c>
      <c r="O35" s="777">
        <v>0</v>
      </c>
      <c r="P35" s="792">
        <f t="shared" si="1"/>
        <v>0</v>
      </c>
    </row>
    <row r="36" spans="1:16" ht="12.75" customHeight="1">
      <c r="A36" s="560" t="s">
        <v>170</v>
      </c>
      <c r="B36" s="660">
        <v>43922</v>
      </c>
      <c r="C36" s="756">
        <v>1</v>
      </c>
      <c r="D36" s="660">
        <v>43983</v>
      </c>
      <c r="E36" s="339">
        <v>0</v>
      </c>
      <c r="F36" s="791">
        <f t="shared" si="2"/>
        <v>0</v>
      </c>
      <c r="G36" s="339">
        <v>0</v>
      </c>
      <c r="H36" s="339">
        <v>0</v>
      </c>
      <c r="I36" s="339">
        <v>0</v>
      </c>
      <c r="J36" s="339">
        <v>0</v>
      </c>
      <c r="K36" s="339">
        <v>0</v>
      </c>
      <c r="M36" s="777">
        <v>0</v>
      </c>
      <c r="N36" s="777">
        <v>0</v>
      </c>
      <c r="O36" s="777">
        <v>0</v>
      </c>
      <c r="P36" s="792">
        <f t="shared" si="1"/>
        <v>0</v>
      </c>
    </row>
    <row r="37" spans="1:16" ht="12.75" customHeight="1">
      <c r="A37" s="560" t="s">
        <v>170</v>
      </c>
      <c r="B37" s="660">
        <v>43952</v>
      </c>
      <c r="C37" s="661">
        <v>0</v>
      </c>
      <c r="D37" s="660">
        <v>43983</v>
      </c>
      <c r="E37" s="339">
        <v>0</v>
      </c>
      <c r="F37" s="791">
        <f t="shared" si="2"/>
        <v>0</v>
      </c>
      <c r="G37" s="339">
        <v>0</v>
      </c>
      <c r="H37" s="339">
        <v>0</v>
      </c>
      <c r="I37" s="339">
        <v>0</v>
      </c>
      <c r="J37" s="339">
        <v>0</v>
      </c>
      <c r="K37" s="339">
        <v>0</v>
      </c>
      <c r="M37" s="777">
        <v>0</v>
      </c>
      <c r="N37" s="777">
        <v>0</v>
      </c>
      <c r="O37" s="777">
        <v>0</v>
      </c>
      <c r="P37" s="792">
        <f t="shared" si="1"/>
        <v>0</v>
      </c>
    </row>
    <row r="38" spans="1:16" ht="12.75" customHeight="1">
      <c r="A38" s="560" t="s">
        <v>169</v>
      </c>
      <c r="B38" s="660">
        <v>43952</v>
      </c>
      <c r="C38" s="656">
        <v>0</v>
      </c>
      <c r="D38" s="660">
        <v>43983</v>
      </c>
      <c r="E38" s="267">
        <v>0</v>
      </c>
      <c r="F38" s="791">
        <f t="shared" si="2"/>
        <v>0</v>
      </c>
      <c r="G38" s="339">
        <v>0</v>
      </c>
      <c r="H38" s="339">
        <v>0</v>
      </c>
      <c r="I38" s="339">
        <v>0</v>
      </c>
      <c r="J38" s="339">
        <v>0</v>
      </c>
      <c r="K38" s="339">
        <v>0</v>
      </c>
      <c r="M38" s="777">
        <v>0</v>
      </c>
      <c r="N38" s="777">
        <v>0</v>
      </c>
      <c r="O38" s="777">
        <v>0</v>
      </c>
      <c r="P38" s="792">
        <f t="shared" si="1"/>
        <v>0</v>
      </c>
    </row>
    <row r="39" spans="1:16" ht="12.75" customHeight="1">
      <c r="A39" s="560" t="s">
        <v>168</v>
      </c>
      <c r="B39" s="660">
        <v>43922</v>
      </c>
      <c r="C39" s="345">
        <v>1</v>
      </c>
      <c r="D39" s="660">
        <v>43983</v>
      </c>
      <c r="E39" s="267">
        <v>0</v>
      </c>
      <c r="F39" s="791">
        <f t="shared" si="2"/>
        <v>0</v>
      </c>
      <c r="G39" s="339">
        <v>0</v>
      </c>
      <c r="H39" s="339">
        <v>0</v>
      </c>
      <c r="I39" s="339">
        <v>0</v>
      </c>
      <c r="J39" s="339">
        <v>0</v>
      </c>
      <c r="K39" s="339">
        <v>0</v>
      </c>
      <c r="M39" s="777">
        <v>0</v>
      </c>
      <c r="N39" s="777">
        <v>0</v>
      </c>
      <c r="O39" s="777">
        <v>0</v>
      </c>
      <c r="P39" s="792">
        <f t="shared" si="1"/>
        <v>0</v>
      </c>
    </row>
    <row r="40" spans="1:16" ht="12.75" customHeight="1">
      <c r="A40" s="560" t="s">
        <v>168</v>
      </c>
      <c r="B40" s="660">
        <v>43952</v>
      </c>
      <c r="C40" s="656">
        <v>0</v>
      </c>
      <c r="D40" s="660">
        <v>43983</v>
      </c>
      <c r="E40" s="267">
        <v>0</v>
      </c>
      <c r="F40" s="791">
        <f t="shared" si="2"/>
        <v>0</v>
      </c>
      <c r="G40" s="339">
        <v>0</v>
      </c>
      <c r="H40" s="339">
        <v>0</v>
      </c>
      <c r="I40" s="339">
        <v>0</v>
      </c>
      <c r="J40" s="339">
        <v>0</v>
      </c>
      <c r="K40" s="339">
        <v>0</v>
      </c>
      <c r="M40" s="777">
        <v>0</v>
      </c>
      <c r="N40" s="777">
        <v>0</v>
      </c>
      <c r="O40" s="777">
        <v>0</v>
      </c>
      <c r="P40" s="792">
        <f t="shared" si="1"/>
        <v>0</v>
      </c>
    </row>
    <row r="41" spans="1:16" ht="12.75" customHeight="1">
      <c r="A41" s="560" t="s">
        <v>167</v>
      </c>
      <c r="B41" s="660">
        <v>43952</v>
      </c>
      <c r="C41" s="656">
        <v>0</v>
      </c>
      <c r="D41" s="660">
        <v>43983</v>
      </c>
      <c r="E41" s="267">
        <v>0</v>
      </c>
      <c r="F41" s="791">
        <f t="shared" si="2"/>
        <v>0</v>
      </c>
      <c r="G41" s="339">
        <v>0</v>
      </c>
      <c r="H41" s="339">
        <v>0</v>
      </c>
      <c r="I41" s="339">
        <v>0</v>
      </c>
      <c r="J41" s="339">
        <v>0</v>
      </c>
      <c r="K41" s="339">
        <v>0</v>
      </c>
      <c r="M41" s="777">
        <v>0</v>
      </c>
      <c r="N41" s="777">
        <v>0</v>
      </c>
      <c r="O41" s="777">
        <v>0</v>
      </c>
      <c r="P41" s="792">
        <f t="shared" si="1"/>
        <v>0</v>
      </c>
    </row>
    <row r="42" spans="1:16" ht="12.75" customHeight="1">
      <c r="A42" s="560" t="s">
        <v>166</v>
      </c>
      <c r="B42" s="660">
        <v>43952</v>
      </c>
      <c r="C42" s="656">
        <v>0</v>
      </c>
      <c r="D42" s="660">
        <v>43983</v>
      </c>
      <c r="E42" s="267">
        <v>0</v>
      </c>
      <c r="F42" s="791">
        <f t="shared" si="2"/>
        <v>0</v>
      </c>
      <c r="G42" s="339">
        <v>0</v>
      </c>
      <c r="H42" s="339">
        <v>0</v>
      </c>
      <c r="I42" s="339">
        <v>0</v>
      </c>
      <c r="J42" s="339">
        <v>0</v>
      </c>
      <c r="K42" s="339">
        <v>0</v>
      </c>
      <c r="M42" s="777">
        <v>0</v>
      </c>
      <c r="N42" s="777">
        <v>0</v>
      </c>
      <c r="O42" s="777">
        <v>0</v>
      </c>
      <c r="P42" s="792">
        <f t="shared" si="1"/>
        <v>0</v>
      </c>
    </row>
    <row r="43" spans="1:16" ht="12.75" customHeight="1">
      <c r="A43" s="560" t="s">
        <v>11</v>
      </c>
      <c r="B43" s="660">
        <v>43952</v>
      </c>
      <c r="C43" s="656">
        <v>0</v>
      </c>
      <c r="D43" s="660">
        <v>43983</v>
      </c>
      <c r="E43" s="822">
        <v>123408</v>
      </c>
      <c r="F43" s="791">
        <f t="shared" si="2"/>
        <v>123408</v>
      </c>
      <c r="G43" s="339">
        <v>92556</v>
      </c>
      <c r="H43" s="339">
        <v>0</v>
      </c>
      <c r="I43" s="339">
        <v>30852</v>
      </c>
      <c r="J43" s="339">
        <v>0</v>
      </c>
      <c r="K43" s="339">
        <v>0</v>
      </c>
      <c r="M43" s="777">
        <v>0</v>
      </c>
      <c r="N43" s="777">
        <v>0</v>
      </c>
      <c r="O43" s="777">
        <v>0</v>
      </c>
      <c r="P43" s="792">
        <f t="shared" si="1"/>
        <v>0</v>
      </c>
    </row>
    <row r="44" spans="1:16" ht="12.75" customHeight="1">
      <c r="A44" s="560" t="s">
        <v>165</v>
      </c>
      <c r="B44" s="660">
        <v>43952</v>
      </c>
      <c r="C44" s="656">
        <v>0</v>
      </c>
      <c r="D44" s="660">
        <v>43983</v>
      </c>
      <c r="E44" s="267">
        <v>0</v>
      </c>
      <c r="F44" s="791">
        <f t="shared" si="2"/>
        <v>0</v>
      </c>
      <c r="G44" s="339">
        <v>0</v>
      </c>
      <c r="H44" s="339">
        <v>0</v>
      </c>
      <c r="I44" s="339">
        <v>0</v>
      </c>
      <c r="J44" s="339">
        <v>0</v>
      </c>
      <c r="K44" s="339">
        <v>0</v>
      </c>
      <c r="M44" s="777">
        <v>0</v>
      </c>
      <c r="N44" s="777">
        <v>0</v>
      </c>
      <c r="O44" s="777">
        <v>0</v>
      </c>
      <c r="P44" s="792">
        <f t="shared" si="1"/>
        <v>0</v>
      </c>
    </row>
    <row r="45" spans="1:16" ht="12.75" customHeight="1">
      <c r="A45" s="560" t="s">
        <v>164</v>
      </c>
      <c r="B45" s="660">
        <v>43952</v>
      </c>
      <c r="C45" s="656">
        <v>0</v>
      </c>
      <c r="D45" s="660">
        <v>43983</v>
      </c>
      <c r="E45" s="267">
        <v>0</v>
      </c>
      <c r="F45" s="791">
        <f t="shared" si="2"/>
        <v>0</v>
      </c>
      <c r="G45" s="339">
        <v>0</v>
      </c>
      <c r="H45" s="339">
        <v>0</v>
      </c>
      <c r="I45" s="339">
        <v>0</v>
      </c>
      <c r="J45" s="339">
        <v>0</v>
      </c>
      <c r="K45" s="339">
        <v>0</v>
      </c>
      <c r="M45" s="777">
        <v>0</v>
      </c>
      <c r="N45" s="777">
        <v>0</v>
      </c>
      <c r="O45" s="777">
        <v>0</v>
      </c>
      <c r="P45" s="792">
        <f t="shared" si="1"/>
        <v>0</v>
      </c>
    </row>
    <row r="46" spans="1:16" ht="12.75" customHeight="1">
      <c r="A46" s="560" t="s">
        <v>163</v>
      </c>
      <c r="B46" s="660">
        <v>43952</v>
      </c>
      <c r="C46" s="656">
        <v>0</v>
      </c>
      <c r="D46" s="660">
        <v>43983</v>
      </c>
      <c r="E46" s="267">
        <v>0</v>
      </c>
      <c r="F46" s="791">
        <f t="shared" si="2"/>
        <v>0</v>
      </c>
      <c r="G46" s="339">
        <v>0</v>
      </c>
      <c r="H46" s="339">
        <v>0</v>
      </c>
      <c r="I46" s="339">
        <v>0</v>
      </c>
      <c r="J46" s="339">
        <v>0</v>
      </c>
      <c r="K46" s="339">
        <v>0</v>
      </c>
      <c r="M46" s="777">
        <v>0</v>
      </c>
      <c r="N46" s="777">
        <v>0</v>
      </c>
      <c r="O46" s="777">
        <v>0</v>
      </c>
      <c r="P46" s="792">
        <f t="shared" si="1"/>
        <v>0</v>
      </c>
    </row>
    <row r="47" spans="1:16" ht="12.75" customHeight="1">
      <c r="A47" s="560" t="s">
        <v>162</v>
      </c>
      <c r="B47" s="660">
        <v>43952</v>
      </c>
      <c r="C47" s="656">
        <v>0</v>
      </c>
      <c r="D47" s="660">
        <v>43983</v>
      </c>
      <c r="E47" s="267">
        <v>0</v>
      </c>
      <c r="F47" s="791">
        <f t="shared" si="2"/>
        <v>0</v>
      </c>
      <c r="G47" s="339">
        <v>0</v>
      </c>
      <c r="H47" s="339">
        <v>0</v>
      </c>
      <c r="I47" s="339">
        <v>0</v>
      </c>
      <c r="J47" s="339">
        <v>0</v>
      </c>
      <c r="K47" s="339">
        <v>0</v>
      </c>
      <c r="M47" s="777">
        <v>0</v>
      </c>
      <c r="N47" s="777">
        <v>0</v>
      </c>
      <c r="O47" s="777">
        <v>0</v>
      </c>
      <c r="P47" s="792">
        <f t="shared" si="1"/>
        <v>0</v>
      </c>
    </row>
    <row r="48" spans="1:16" ht="12.75" customHeight="1">
      <c r="A48" s="560" t="s">
        <v>161</v>
      </c>
      <c r="B48" s="660">
        <v>43952</v>
      </c>
      <c r="C48" s="656">
        <v>0</v>
      </c>
      <c r="D48" s="660">
        <v>43983</v>
      </c>
      <c r="E48" s="267">
        <v>0</v>
      </c>
      <c r="F48" s="791">
        <f t="shared" si="2"/>
        <v>0</v>
      </c>
      <c r="G48" s="339">
        <v>0</v>
      </c>
      <c r="H48" s="339">
        <v>0</v>
      </c>
      <c r="I48" s="339">
        <v>0</v>
      </c>
      <c r="J48" s="339">
        <v>0</v>
      </c>
      <c r="K48" s="339">
        <v>0</v>
      </c>
      <c r="M48" s="777">
        <v>0</v>
      </c>
      <c r="N48" s="777">
        <v>0</v>
      </c>
      <c r="O48" s="777">
        <v>0</v>
      </c>
      <c r="P48" s="792">
        <f t="shared" si="1"/>
        <v>0</v>
      </c>
    </row>
    <row r="49" spans="1:16" ht="12.75" customHeight="1">
      <c r="A49" s="560" t="s">
        <v>160</v>
      </c>
      <c r="B49" s="660">
        <v>43952</v>
      </c>
      <c r="C49" s="656">
        <v>0</v>
      </c>
      <c r="D49" s="660">
        <v>43983</v>
      </c>
      <c r="E49" s="267">
        <v>0</v>
      </c>
      <c r="F49" s="791">
        <f t="shared" si="2"/>
        <v>0</v>
      </c>
      <c r="G49" s="339">
        <v>0</v>
      </c>
      <c r="H49" s="339">
        <v>0</v>
      </c>
      <c r="I49" s="339">
        <v>0</v>
      </c>
      <c r="J49" s="339">
        <v>0</v>
      </c>
      <c r="K49" s="339">
        <v>0</v>
      </c>
      <c r="M49" s="777">
        <v>0</v>
      </c>
      <c r="N49" s="777">
        <v>0</v>
      </c>
      <c r="O49" s="777">
        <v>0</v>
      </c>
      <c r="P49" s="792">
        <f t="shared" si="1"/>
        <v>0</v>
      </c>
    </row>
    <row r="50" spans="1:16" ht="12.75" customHeight="1">
      <c r="A50" s="560" t="s">
        <v>159</v>
      </c>
      <c r="B50" s="660">
        <v>43952</v>
      </c>
      <c r="C50" s="656">
        <v>0</v>
      </c>
      <c r="D50" s="660">
        <v>43983</v>
      </c>
      <c r="E50" s="267">
        <v>0</v>
      </c>
      <c r="F50" s="791">
        <f t="shared" si="2"/>
        <v>0</v>
      </c>
      <c r="G50" s="339">
        <v>0</v>
      </c>
      <c r="H50" s="339">
        <v>0</v>
      </c>
      <c r="I50" s="339">
        <v>0</v>
      </c>
      <c r="J50" s="339">
        <v>0</v>
      </c>
      <c r="K50" s="339">
        <v>0</v>
      </c>
      <c r="M50" s="777">
        <v>0</v>
      </c>
      <c r="N50" s="777">
        <v>0</v>
      </c>
      <c r="O50" s="777">
        <v>0</v>
      </c>
      <c r="P50" s="792">
        <f t="shared" si="1"/>
        <v>0</v>
      </c>
    </row>
    <row r="51" spans="1:16" ht="12.75" customHeight="1">
      <c r="A51" s="560" t="s">
        <v>158</v>
      </c>
      <c r="B51" s="660">
        <v>43952</v>
      </c>
      <c r="C51" s="656">
        <v>0</v>
      </c>
      <c r="D51" s="660">
        <v>43983</v>
      </c>
      <c r="E51" s="267">
        <v>0</v>
      </c>
      <c r="F51" s="791">
        <f t="shared" si="2"/>
        <v>0</v>
      </c>
      <c r="G51" s="339">
        <v>0</v>
      </c>
      <c r="H51" s="339">
        <v>0</v>
      </c>
      <c r="I51" s="339">
        <v>0</v>
      </c>
      <c r="J51" s="339">
        <v>0</v>
      </c>
      <c r="K51" s="339">
        <v>0</v>
      </c>
      <c r="M51" s="777">
        <v>0</v>
      </c>
      <c r="N51" s="777">
        <v>0</v>
      </c>
      <c r="O51" s="777">
        <v>0</v>
      </c>
      <c r="P51" s="792">
        <f t="shared" si="1"/>
        <v>0</v>
      </c>
    </row>
    <row r="52" spans="1:16" ht="12.75" customHeight="1">
      <c r="A52" s="560" t="s">
        <v>157</v>
      </c>
      <c r="B52" s="660">
        <v>43952</v>
      </c>
      <c r="C52" s="656">
        <v>0</v>
      </c>
      <c r="D52" s="660">
        <v>43983</v>
      </c>
      <c r="E52" s="267">
        <v>0</v>
      </c>
      <c r="F52" s="791">
        <f t="shared" si="2"/>
        <v>0</v>
      </c>
      <c r="G52" s="339">
        <v>0</v>
      </c>
      <c r="H52" s="339">
        <v>0</v>
      </c>
      <c r="I52" s="339">
        <v>0</v>
      </c>
      <c r="J52" s="339">
        <v>0</v>
      </c>
      <c r="K52" s="339">
        <v>0</v>
      </c>
      <c r="M52" s="777">
        <v>0</v>
      </c>
      <c r="N52" s="777">
        <v>0</v>
      </c>
      <c r="O52" s="777">
        <v>0</v>
      </c>
      <c r="P52" s="792">
        <f t="shared" si="1"/>
        <v>0</v>
      </c>
    </row>
    <row r="53" spans="1:16" ht="12.75" customHeight="1">
      <c r="A53" s="560" t="s">
        <v>156</v>
      </c>
      <c r="B53" s="660">
        <v>43952</v>
      </c>
      <c r="C53" s="656">
        <v>0</v>
      </c>
      <c r="D53" s="660">
        <v>43983</v>
      </c>
      <c r="E53" s="267">
        <v>0</v>
      </c>
      <c r="F53" s="797">
        <f t="shared" si="0"/>
        <v>0</v>
      </c>
      <c r="G53" s="339">
        <v>0</v>
      </c>
      <c r="H53" s="339">
        <v>0</v>
      </c>
      <c r="I53" s="339">
        <v>0</v>
      </c>
      <c r="J53" s="339">
        <v>0</v>
      </c>
      <c r="K53" s="339">
        <v>0</v>
      </c>
      <c r="M53" s="65">
        <v>0</v>
      </c>
      <c r="N53" s="877">
        <v>0</v>
      </c>
      <c r="O53" s="777">
        <v>0</v>
      </c>
      <c r="P53" s="792">
        <f t="shared" si="1"/>
        <v>0</v>
      </c>
    </row>
    <row r="54" spans="1:16" ht="12.75" customHeight="1">
      <c r="A54" s="560" t="s">
        <v>155</v>
      </c>
      <c r="B54" s="660">
        <v>43952</v>
      </c>
      <c r="C54" s="656">
        <v>0</v>
      </c>
      <c r="D54" s="660">
        <v>43983</v>
      </c>
      <c r="E54" s="267">
        <v>0</v>
      </c>
      <c r="F54" s="797">
        <f t="shared" si="0"/>
        <v>0</v>
      </c>
      <c r="G54" s="339">
        <v>0</v>
      </c>
      <c r="H54" s="339">
        <v>0</v>
      </c>
      <c r="I54" s="339">
        <v>0</v>
      </c>
      <c r="J54" s="339">
        <v>0</v>
      </c>
      <c r="K54" s="339">
        <v>0</v>
      </c>
      <c r="M54" s="65">
        <v>0</v>
      </c>
      <c r="N54" s="877">
        <v>0</v>
      </c>
      <c r="O54" s="777">
        <v>0</v>
      </c>
      <c r="P54" s="792">
        <f t="shared" si="1"/>
        <v>0</v>
      </c>
    </row>
    <row r="55" spans="1:16" ht="12.75" customHeight="1" thickBot="1">
      <c r="A55" s="752" t="s">
        <v>154</v>
      </c>
      <c r="B55" s="863">
        <v>43952</v>
      </c>
      <c r="C55" s="893">
        <v>0</v>
      </c>
      <c r="D55" s="863">
        <v>43983</v>
      </c>
      <c r="E55" s="753">
        <v>0</v>
      </c>
      <c r="F55" s="806">
        <f t="shared" si="0"/>
        <v>0</v>
      </c>
      <c r="G55" s="753">
        <v>0</v>
      </c>
      <c r="H55" s="753">
        <v>0</v>
      </c>
      <c r="I55" s="753">
        <v>0</v>
      </c>
      <c r="J55" s="753">
        <v>0</v>
      </c>
      <c r="K55" s="753">
        <v>0</v>
      </c>
      <c r="M55" s="779">
        <v>0</v>
      </c>
      <c r="N55" s="799">
        <v>0</v>
      </c>
      <c r="O55" s="798">
        <v>0</v>
      </c>
      <c r="P55" s="794">
        <f t="shared" si="1"/>
        <v>0</v>
      </c>
    </row>
    <row r="56" spans="1:16" ht="12.75" customHeight="1">
      <c r="A56" s="892" t="s">
        <v>171</v>
      </c>
      <c r="B56" s="876">
        <v>43881</v>
      </c>
      <c r="C56" s="868">
        <v>1</v>
      </c>
      <c r="D56" s="876">
        <v>44013</v>
      </c>
      <c r="E56" s="826">
        <v>0</v>
      </c>
      <c r="F56" s="805">
        <f>SUM(G56:K56)</f>
        <v>0</v>
      </c>
      <c r="G56" s="592">
        <v>0</v>
      </c>
      <c r="H56" s="592">
        <v>0</v>
      </c>
      <c r="I56" s="592">
        <v>0</v>
      </c>
      <c r="J56" s="592">
        <v>0</v>
      </c>
      <c r="K56" s="592">
        <v>0</v>
      </c>
      <c r="M56" s="781">
        <v>0</v>
      </c>
      <c r="N56" s="781">
        <v>0</v>
      </c>
      <c r="O56" s="781">
        <v>0</v>
      </c>
      <c r="P56" s="795">
        <f>SUM(M56:O56)</f>
        <v>0</v>
      </c>
    </row>
    <row r="57" spans="1:16" ht="12.75" customHeight="1">
      <c r="A57" s="560" t="s">
        <v>171</v>
      </c>
      <c r="B57" s="655">
        <v>43910</v>
      </c>
      <c r="C57" s="345">
        <v>1</v>
      </c>
      <c r="D57" s="655">
        <v>44013</v>
      </c>
      <c r="E57" s="822">
        <v>0</v>
      </c>
      <c r="F57" s="797">
        <f t="shared" ref="F57:F82" si="3">SUM(G57:K57)</f>
        <v>0</v>
      </c>
      <c r="G57" s="267">
        <v>0</v>
      </c>
      <c r="H57" s="267">
        <v>0</v>
      </c>
      <c r="I57" s="267">
        <v>0</v>
      </c>
      <c r="J57" s="267">
        <v>0</v>
      </c>
      <c r="K57" s="267">
        <v>0</v>
      </c>
      <c r="M57" s="65">
        <v>0</v>
      </c>
      <c r="N57" s="65">
        <v>0</v>
      </c>
      <c r="O57" s="65">
        <v>0</v>
      </c>
      <c r="P57" s="800">
        <f t="shared" ref="P57:P82" si="4">SUM(M57:O57)</f>
        <v>0</v>
      </c>
    </row>
    <row r="58" spans="1:16" ht="12.75" customHeight="1">
      <c r="A58" s="560" t="s">
        <v>171</v>
      </c>
      <c r="B58" s="655">
        <v>43941</v>
      </c>
      <c r="C58" s="345">
        <v>1</v>
      </c>
      <c r="D58" s="655">
        <v>44013</v>
      </c>
      <c r="E58" s="822">
        <v>0</v>
      </c>
      <c r="F58" s="797">
        <f t="shared" si="3"/>
        <v>0</v>
      </c>
      <c r="G58" s="267">
        <v>0</v>
      </c>
      <c r="H58" s="267">
        <v>0</v>
      </c>
      <c r="I58" s="267">
        <v>0</v>
      </c>
      <c r="J58" s="267">
        <v>0</v>
      </c>
      <c r="K58" s="267">
        <v>0</v>
      </c>
      <c r="M58" s="65">
        <v>0</v>
      </c>
      <c r="N58" s="65">
        <v>0</v>
      </c>
      <c r="O58" s="65">
        <v>0</v>
      </c>
      <c r="P58" s="800">
        <f t="shared" si="4"/>
        <v>0</v>
      </c>
    </row>
    <row r="59" spans="1:16" ht="12.75" customHeight="1">
      <c r="A59" s="560" t="s">
        <v>171</v>
      </c>
      <c r="B59" s="655">
        <v>43983</v>
      </c>
      <c r="C59" s="656">
        <v>0</v>
      </c>
      <c r="D59" s="655">
        <v>44013</v>
      </c>
      <c r="E59" s="822">
        <v>0</v>
      </c>
      <c r="F59" s="797">
        <f t="shared" si="3"/>
        <v>0</v>
      </c>
      <c r="G59" s="267">
        <v>0</v>
      </c>
      <c r="H59" s="267">
        <v>0</v>
      </c>
      <c r="I59" s="267">
        <v>0</v>
      </c>
      <c r="J59" s="267">
        <v>0</v>
      </c>
      <c r="K59" s="267">
        <v>0</v>
      </c>
      <c r="M59" s="65">
        <v>0</v>
      </c>
      <c r="N59" s="65">
        <v>0</v>
      </c>
      <c r="O59" s="65">
        <v>0</v>
      </c>
      <c r="P59" s="800">
        <f t="shared" si="4"/>
        <v>0</v>
      </c>
    </row>
    <row r="60" spans="1:16" ht="12.75" customHeight="1">
      <c r="A60" s="565" t="s">
        <v>170</v>
      </c>
      <c r="B60" s="660">
        <v>43983</v>
      </c>
      <c r="C60" s="661">
        <v>0</v>
      </c>
      <c r="D60" s="660">
        <v>44013</v>
      </c>
      <c r="E60" s="824">
        <v>0</v>
      </c>
      <c r="F60" s="791">
        <f t="shared" si="3"/>
        <v>0</v>
      </c>
      <c r="G60" s="339">
        <v>0</v>
      </c>
      <c r="H60" s="339">
        <v>0</v>
      </c>
      <c r="I60" s="339">
        <v>0</v>
      </c>
      <c r="J60" s="339">
        <v>0</v>
      </c>
      <c r="K60" s="339">
        <v>0</v>
      </c>
      <c r="M60" s="777">
        <v>0</v>
      </c>
      <c r="N60" s="777">
        <v>0</v>
      </c>
      <c r="O60" s="777">
        <v>0</v>
      </c>
      <c r="P60" s="792">
        <f t="shared" si="4"/>
        <v>0</v>
      </c>
    </row>
    <row r="61" spans="1:16" ht="12.75" customHeight="1">
      <c r="A61" s="560" t="s">
        <v>169</v>
      </c>
      <c r="B61" s="655">
        <v>43983</v>
      </c>
      <c r="C61" s="656">
        <v>0</v>
      </c>
      <c r="D61" s="655">
        <v>44013</v>
      </c>
      <c r="E61" s="822">
        <v>0</v>
      </c>
      <c r="F61" s="797">
        <f t="shared" si="3"/>
        <v>0</v>
      </c>
      <c r="G61" s="267">
        <v>0</v>
      </c>
      <c r="H61" s="267">
        <v>0</v>
      </c>
      <c r="I61" s="267">
        <v>0</v>
      </c>
      <c r="J61" s="267">
        <v>0</v>
      </c>
      <c r="K61" s="267">
        <v>0</v>
      </c>
      <c r="M61" s="65">
        <v>0</v>
      </c>
      <c r="N61" s="877">
        <v>0</v>
      </c>
      <c r="O61" s="777">
        <v>0</v>
      </c>
      <c r="P61" s="792">
        <f t="shared" si="4"/>
        <v>0</v>
      </c>
    </row>
    <row r="62" spans="1:16" ht="12.75" customHeight="1">
      <c r="A62" s="560" t="s">
        <v>168</v>
      </c>
      <c r="B62" s="655">
        <v>43983</v>
      </c>
      <c r="C62" s="656">
        <v>0</v>
      </c>
      <c r="D62" s="655">
        <v>44013</v>
      </c>
      <c r="E62" s="822">
        <v>0</v>
      </c>
      <c r="F62" s="797">
        <f t="shared" si="3"/>
        <v>0</v>
      </c>
      <c r="G62" s="267">
        <v>0</v>
      </c>
      <c r="H62" s="267">
        <v>0</v>
      </c>
      <c r="I62" s="267">
        <v>0</v>
      </c>
      <c r="J62" s="267">
        <v>0</v>
      </c>
      <c r="K62" s="267">
        <v>0</v>
      </c>
      <c r="M62" s="65">
        <v>0</v>
      </c>
      <c r="N62" s="877">
        <v>0</v>
      </c>
      <c r="O62" s="777">
        <v>0</v>
      </c>
      <c r="P62" s="792">
        <f t="shared" si="4"/>
        <v>0</v>
      </c>
    </row>
    <row r="63" spans="1:16" ht="12.75" customHeight="1">
      <c r="A63" s="560" t="s">
        <v>167</v>
      </c>
      <c r="B63" s="655">
        <v>43983</v>
      </c>
      <c r="C63" s="656">
        <v>0</v>
      </c>
      <c r="D63" s="655">
        <v>44013</v>
      </c>
      <c r="E63" s="822">
        <v>0</v>
      </c>
      <c r="F63" s="797">
        <f t="shared" si="3"/>
        <v>0</v>
      </c>
      <c r="G63" s="267">
        <v>0</v>
      </c>
      <c r="H63" s="267">
        <v>0</v>
      </c>
      <c r="I63" s="267">
        <v>0</v>
      </c>
      <c r="J63" s="267">
        <v>0</v>
      </c>
      <c r="K63" s="267">
        <v>0</v>
      </c>
      <c r="M63" s="65">
        <v>0</v>
      </c>
      <c r="N63" s="877">
        <v>0</v>
      </c>
      <c r="O63" s="777">
        <v>0</v>
      </c>
      <c r="P63" s="792">
        <f t="shared" si="4"/>
        <v>0</v>
      </c>
    </row>
    <row r="64" spans="1:16" ht="12.75" customHeight="1">
      <c r="A64" s="560" t="s">
        <v>166</v>
      </c>
      <c r="B64" s="655">
        <v>43983</v>
      </c>
      <c r="C64" s="656">
        <v>0</v>
      </c>
      <c r="D64" s="655">
        <v>44013</v>
      </c>
      <c r="E64" s="822">
        <v>0</v>
      </c>
      <c r="F64" s="797">
        <f t="shared" si="3"/>
        <v>0</v>
      </c>
      <c r="G64" s="267">
        <v>0</v>
      </c>
      <c r="H64" s="267">
        <v>0</v>
      </c>
      <c r="I64" s="267">
        <v>0</v>
      </c>
      <c r="J64" s="267">
        <v>0</v>
      </c>
      <c r="K64" s="267">
        <v>0</v>
      </c>
      <c r="M64" s="65">
        <v>0</v>
      </c>
      <c r="N64" s="877">
        <v>0</v>
      </c>
      <c r="O64" s="777">
        <v>0</v>
      </c>
      <c r="P64" s="792">
        <f t="shared" si="4"/>
        <v>0</v>
      </c>
    </row>
    <row r="65" spans="1:16" ht="12.75" customHeight="1">
      <c r="A65" s="560" t="s">
        <v>11</v>
      </c>
      <c r="B65" s="655">
        <v>43983</v>
      </c>
      <c r="C65" s="656">
        <v>0</v>
      </c>
      <c r="D65" s="655">
        <v>44013</v>
      </c>
      <c r="E65" s="822">
        <v>120911</v>
      </c>
      <c r="F65" s="797">
        <f t="shared" si="3"/>
        <v>120911</v>
      </c>
      <c r="G65" s="267">
        <v>90683</v>
      </c>
      <c r="H65" s="267">
        <v>0</v>
      </c>
      <c r="I65" s="267">
        <v>30228</v>
      </c>
      <c r="J65" s="267">
        <v>0</v>
      </c>
      <c r="K65" s="267">
        <v>0</v>
      </c>
      <c r="M65" s="65">
        <v>0</v>
      </c>
      <c r="N65" s="877">
        <v>0</v>
      </c>
      <c r="O65" s="777">
        <v>0</v>
      </c>
      <c r="P65" s="792">
        <f t="shared" si="4"/>
        <v>0</v>
      </c>
    </row>
    <row r="66" spans="1:16" ht="12.75" customHeight="1">
      <c r="A66" s="560" t="s">
        <v>165</v>
      </c>
      <c r="B66" s="655">
        <v>43983</v>
      </c>
      <c r="C66" s="656">
        <v>0</v>
      </c>
      <c r="D66" s="655">
        <v>44013</v>
      </c>
      <c r="E66" s="822">
        <v>0</v>
      </c>
      <c r="F66" s="797">
        <f t="shared" si="3"/>
        <v>0</v>
      </c>
      <c r="G66" s="267">
        <v>0</v>
      </c>
      <c r="H66" s="267">
        <v>0</v>
      </c>
      <c r="I66" s="267">
        <v>0</v>
      </c>
      <c r="J66" s="267">
        <v>0</v>
      </c>
      <c r="K66" s="267">
        <v>0</v>
      </c>
      <c r="M66" s="65">
        <v>0</v>
      </c>
      <c r="N66" s="877">
        <v>0</v>
      </c>
      <c r="O66" s="777">
        <v>0</v>
      </c>
      <c r="P66" s="792">
        <f t="shared" si="4"/>
        <v>0</v>
      </c>
    </row>
    <row r="67" spans="1:16" ht="12.75" customHeight="1">
      <c r="A67" s="560" t="s">
        <v>164</v>
      </c>
      <c r="B67" s="655">
        <v>43739</v>
      </c>
      <c r="C67" s="345">
        <v>2</v>
      </c>
      <c r="D67" s="655">
        <v>44013</v>
      </c>
      <c r="E67" s="822">
        <v>0</v>
      </c>
      <c r="F67" s="797">
        <f t="shared" si="3"/>
        <v>0</v>
      </c>
      <c r="G67" s="267">
        <v>0</v>
      </c>
      <c r="H67" s="267">
        <v>0</v>
      </c>
      <c r="I67" s="267">
        <v>0</v>
      </c>
      <c r="J67" s="267">
        <v>0</v>
      </c>
      <c r="K67" s="267">
        <v>0</v>
      </c>
      <c r="M67" s="65">
        <v>0</v>
      </c>
      <c r="N67" s="877">
        <v>0</v>
      </c>
      <c r="O67" s="777">
        <v>0</v>
      </c>
      <c r="P67" s="792">
        <f t="shared" si="4"/>
        <v>0</v>
      </c>
    </row>
    <row r="68" spans="1:16" ht="12.75" customHeight="1">
      <c r="A68" s="560" t="s">
        <v>164</v>
      </c>
      <c r="B68" s="655">
        <v>43862</v>
      </c>
      <c r="C68" s="345">
        <v>1</v>
      </c>
      <c r="D68" s="655">
        <v>44013</v>
      </c>
      <c r="E68" s="822">
        <v>0</v>
      </c>
      <c r="F68" s="797">
        <f t="shared" si="3"/>
        <v>0</v>
      </c>
      <c r="G68" s="267">
        <v>0</v>
      </c>
      <c r="H68" s="267">
        <v>0</v>
      </c>
      <c r="I68" s="267">
        <v>0</v>
      </c>
      <c r="J68" s="267">
        <v>0</v>
      </c>
      <c r="K68" s="267">
        <v>0</v>
      </c>
      <c r="M68" s="65">
        <v>0</v>
      </c>
      <c r="N68" s="877">
        <v>0</v>
      </c>
      <c r="O68" s="777">
        <v>0</v>
      </c>
      <c r="P68" s="792">
        <f t="shared" si="4"/>
        <v>0</v>
      </c>
    </row>
    <row r="69" spans="1:16" ht="12.75" customHeight="1">
      <c r="A69" s="560" t="s">
        <v>164</v>
      </c>
      <c r="B69" s="655">
        <v>43922</v>
      </c>
      <c r="C69" s="345">
        <v>1</v>
      </c>
      <c r="D69" s="655">
        <v>44013</v>
      </c>
      <c r="E69" s="822">
        <v>0</v>
      </c>
      <c r="F69" s="797">
        <f t="shared" si="3"/>
        <v>0</v>
      </c>
      <c r="G69" s="267">
        <v>0</v>
      </c>
      <c r="H69" s="267">
        <v>0</v>
      </c>
      <c r="I69" s="267">
        <v>0</v>
      </c>
      <c r="J69" s="267">
        <v>0</v>
      </c>
      <c r="K69" s="267">
        <v>0</v>
      </c>
      <c r="M69" s="65">
        <v>0</v>
      </c>
      <c r="N69" s="877">
        <v>0</v>
      </c>
      <c r="O69" s="777">
        <v>0</v>
      </c>
      <c r="P69" s="792">
        <f t="shared" si="4"/>
        <v>0</v>
      </c>
    </row>
    <row r="70" spans="1:16" ht="12.75" customHeight="1">
      <c r="A70" s="560" t="s">
        <v>164</v>
      </c>
      <c r="B70" s="655">
        <v>43952</v>
      </c>
      <c r="C70" s="345">
        <v>1</v>
      </c>
      <c r="D70" s="655">
        <v>44013</v>
      </c>
      <c r="E70" s="822">
        <v>0</v>
      </c>
      <c r="F70" s="797">
        <f t="shared" si="3"/>
        <v>0</v>
      </c>
      <c r="G70" s="267">
        <v>0</v>
      </c>
      <c r="H70" s="267">
        <v>0</v>
      </c>
      <c r="I70" s="267">
        <v>0</v>
      </c>
      <c r="J70" s="267">
        <v>0</v>
      </c>
      <c r="K70" s="267">
        <v>0</v>
      </c>
      <c r="M70" s="65">
        <v>0</v>
      </c>
      <c r="N70" s="877">
        <v>0</v>
      </c>
      <c r="O70" s="777">
        <v>0</v>
      </c>
      <c r="P70" s="792">
        <f t="shared" si="4"/>
        <v>0</v>
      </c>
    </row>
    <row r="71" spans="1:16" ht="12.75" customHeight="1">
      <c r="A71" s="560" t="s">
        <v>164</v>
      </c>
      <c r="B71" s="655">
        <v>43983</v>
      </c>
      <c r="C71" s="656">
        <v>0</v>
      </c>
      <c r="D71" s="655">
        <v>44013</v>
      </c>
      <c r="E71" s="822">
        <v>0</v>
      </c>
      <c r="F71" s="797">
        <f t="shared" si="3"/>
        <v>0</v>
      </c>
      <c r="G71" s="267">
        <v>0</v>
      </c>
      <c r="H71" s="267">
        <v>0</v>
      </c>
      <c r="I71" s="267">
        <v>0</v>
      </c>
      <c r="J71" s="267">
        <v>0</v>
      </c>
      <c r="K71" s="267">
        <v>0</v>
      </c>
      <c r="M71" s="65">
        <v>0</v>
      </c>
      <c r="N71" s="877">
        <v>0</v>
      </c>
      <c r="O71" s="777">
        <v>0</v>
      </c>
      <c r="P71" s="792">
        <f t="shared" si="4"/>
        <v>0</v>
      </c>
    </row>
    <row r="72" spans="1:16" ht="12.75" customHeight="1">
      <c r="A72" s="560" t="s">
        <v>163</v>
      </c>
      <c r="B72" s="655">
        <v>43983</v>
      </c>
      <c r="C72" s="656">
        <v>0</v>
      </c>
      <c r="D72" s="655">
        <v>44013</v>
      </c>
      <c r="E72" s="822">
        <v>0</v>
      </c>
      <c r="F72" s="797">
        <f t="shared" si="3"/>
        <v>0</v>
      </c>
      <c r="G72" s="267">
        <v>0</v>
      </c>
      <c r="H72" s="267">
        <v>0</v>
      </c>
      <c r="I72" s="267">
        <v>0</v>
      </c>
      <c r="J72" s="267">
        <v>0</v>
      </c>
      <c r="K72" s="267">
        <v>0</v>
      </c>
      <c r="M72" s="65">
        <v>0</v>
      </c>
      <c r="N72" s="877">
        <v>0</v>
      </c>
      <c r="O72" s="777">
        <v>0</v>
      </c>
      <c r="P72" s="792">
        <f t="shared" si="4"/>
        <v>0</v>
      </c>
    </row>
    <row r="73" spans="1:16" ht="12.75" customHeight="1">
      <c r="A73" s="560" t="s">
        <v>162</v>
      </c>
      <c r="B73" s="655">
        <v>43983</v>
      </c>
      <c r="C73" s="656">
        <v>0</v>
      </c>
      <c r="D73" s="655">
        <v>44013</v>
      </c>
      <c r="E73" s="822">
        <v>0</v>
      </c>
      <c r="F73" s="797">
        <f t="shared" si="3"/>
        <v>0</v>
      </c>
      <c r="G73" s="267">
        <v>0</v>
      </c>
      <c r="H73" s="267">
        <v>0</v>
      </c>
      <c r="I73" s="267">
        <v>0</v>
      </c>
      <c r="J73" s="267">
        <v>0</v>
      </c>
      <c r="K73" s="267">
        <v>0</v>
      </c>
      <c r="M73" s="65">
        <v>0</v>
      </c>
      <c r="N73" s="877">
        <v>0</v>
      </c>
      <c r="O73" s="777">
        <v>0</v>
      </c>
      <c r="P73" s="792">
        <f t="shared" si="4"/>
        <v>0</v>
      </c>
    </row>
    <row r="74" spans="1:16" ht="12.75" customHeight="1">
      <c r="A74" s="560" t="s">
        <v>161</v>
      </c>
      <c r="B74" s="655">
        <v>43983</v>
      </c>
      <c r="C74" s="656">
        <v>0</v>
      </c>
      <c r="D74" s="655">
        <v>44013</v>
      </c>
      <c r="E74" s="822">
        <v>0</v>
      </c>
      <c r="F74" s="797">
        <f t="shared" si="3"/>
        <v>0</v>
      </c>
      <c r="G74" s="267">
        <v>0</v>
      </c>
      <c r="H74" s="267">
        <v>0</v>
      </c>
      <c r="I74" s="267">
        <v>0</v>
      </c>
      <c r="J74" s="267">
        <v>0</v>
      </c>
      <c r="K74" s="267">
        <v>0</v>
      </c>
      <c r="M74" s="65">
        <v>0</v>
      </c>
      <c r="N74" s="877">
        <v>0</v>
      </c>
      <c r="O74" s="777">
        <v>0</v>
      </c>
      <c r="P74" s="792">
        <f t="shared" si="4"/>
        <v>0</v>
      </c>
    </row>
    <row r="75" spans="1:16" ht="12.75" customHeight="1">
      <c r="A75" s="560" t="s">
        <v>160</v>
      </c>
      <c r="B75" s="655">
        <v>43983</v>
      </c>
      <c r="C75" s="656">
        <v>0</v>
      </c>
      <c r="D75" s="655">
        <v>44013</v>
      </c>
      <c r="E75" s="822">
        <v>0</v>
      </c>
      <c r="F75" s="797">
        <f>SUM(G75:K75)</f>
        <v>0</v>
      </c>
      <c r="G75" s="267">
        <v>0</v>
      </c>
      <c r="H75" s="267">
        <v>0</v>
      </c>
      <c r="I75" s="267">
        <v>0</v>
      </c>
      <c r="J75" s="267">
        <v>0</v>
      </c>
      <c r="K75" s="267">
        <v>0</v>
      </c>
      <c r="M75" s="65">
        <v>0</v>
      </c>
      <c r="N75" s="877">
        <v>0</v>
      </c>
      <c r="O75" s="777">
        <v>0</v>
      </c>
      <c r="P75" s="792">
        <f>SUM(M75:O75)</f>
        <v>0</v>
      </c>
    </row>
    <row r="76" spans="1:16" ht="12.75" customHeight="1">
      <c r="A76" s="560" t="s">
        <v>159</v>
      </c>
      <c r="B76" s="655">
        <v>43983</v>
      </c>
      <c r="C76" s="656">
        <v>0</v>
      </c>
      <c r="D76" s="655">
        <v>44013</v>
      </c>
      <c r="E76" s="822">
        <v>0</v>
      </c>
      <c r="F76" s="797">
        <f t="shared" si="3"/>
        <v>0</v>
      </c>
      <c r="G76" s="267">
        <v>0</v>
      </c>
      <c r="H76" s="267">
        <v>0</v>
      </c>
      <c r="I76" s="267">
        <v>0</v>
      </c>
      <c r="J76" s="267">
        <v>0</v>
      </c>
      <c r="K76" s="267">
        <v>0</v>
      </c>
      <c r="M76" s="65">
        <v>0</v>
      </c>
      <c r="N76" s="877">
        <v>0</v>
      </c>
      <c r="O76" s="777">
        <v>0</v>
      </c>
      <c r="P76" s="792">
        <f t="shared" si="4"/>
        <v>0</v>
      </c>
    </row>
    <row r="77" spans="1:16" ht="12.75" customHeight="1">
      <c r="A77" s="560" t="s">
        <v>158</v>
      </c>
      <c r="B77" s="655">
        <v>43983</v>
      </c>
      <c r="C77" s="656">
        <v>0</v>
      </c>
      <c r="D77" s="655">
        <v>44013</v>
      </c>
      <c r="E77" s="822">
        <v>0</v>
      </c>
      <c r="F77" s="797">
        <f t="shared" si="3"/>
        <v>0</v>
      </c>
      <c r="G77" s="267">
        <v>0</v>
      </c>
      <c r="H77" s="267">
        <v>0</v>
      </c>
      <c r="I77" s="267">
        <v>0</v>
      </c>
      <c r="J77" s="267">
        <v>0</v>
      </c>
      <c r="K77" s="267">
        <v>0</v>
      </c>
      <c r="M77" s="65">
        <v>0</v>
      </c>
      <c r="N77" s="877">
        <v>0</v>
      </c>
      <c r="O77" s="777">
        <v>0</v>
      </c>
      <c r="P77" s="792">
        <f t="shared" si="4"/>
        <v>0</v>
      </c>
    </row>
    <row r="78" spans="1:16" ht="12.75" customHeight="1">
      <c r="A78" s="560" t="s">
        <v>157</v>
      </c>
      <c r="B78" s="655">
        <v>43983</v>
      </c>
      <c r="C78" s="656">
        <v>0</v>
      </c>
      <c r="D78" s="655">
        <v>44013</v>
      </c>
      <c r="E78" s="822">
        <v>0</v>
      </c>
      <c r="F78" s="797">
        <f t="shared" si="3"/>
        <v>0</v>
      </c>
      <c r="G78" s="267">
        <v>0</v>
      </c>
      <c r="H78" s="267">
        <v>0</v>
      </c>
      <c r="I78" s="267">
        <v>0</v>
      </c>
      <c r="J78" s="267">
        <v>0</v>
      </c>
      <c r="K78" s="267">
        <v>0</v>
      </c>
      <c r="M78" s="65">
        <v>0</v>
      </c>
      <c r="N78" s="877">
        <v>0</v>
      </c>
      <c r="O78" s="777">
        <v>0</v>
      </c>
      <c r="P78" s="792">
        <f t="shared" si="4"/>
        <v>0</v>
      </c>
    </row>
    <row r="79" spans="1:16" ht="12.75" customHeight="1">
      <c r="A79" s="560" t="s">
        <v>156</v>
      </c>
      <c r="B79" s="655">
        <v>43983</v>
      </c>
      <c r="C79" s="656">
        <v>0</v>
      </c>
      <c r="D79" s="655">
        <v>44013</v>
      </c>
      <c r="E79" s="822">
        <v>0</v>
      </c>
      <c r="F79" s="797">
        <f t="shared" si="3"/>
        <v>0</v>
      </c>
      <c r="G79" s="267">
        <v>0</v>
      </c>
      <c r="H79" s="267">
        <v>0</v>
      </c>
      <c r="I79" s="267">
        <v>0</v>
      </c>
      <c r="J79" s="267">
        <v>0</v>
      </c>
      <c r="K79" s="267">
        <v>0</v>
      </c>
      <c r="M79" s="65">
        <v>0</v>
      </c>
      <c r="N79" s="877">
        <v>0</v>
      </c>
      <c r="O79" s="777">
        <v>0</v>
      </c>
      <c r="P79" s="792">
        <f t="shared" si="4"/>
        <v>0</v>
      </c>
    </row>
    <row r="80" spans="1:16" ht="12.75" customHeight="1">
      <c r="A80" s="560" t="s">
        <v>155</v>
      </c>
      <c r="B80" s="655">
        <v>43983</v>
      </c>
      <c r="C80" s="656">
        <v>0</v>
      </c>
      <c r="D80" s="655">
        <v>44013</v>
      </c>
      <c r="E80" s="822">
        <v>0</v>
      </c>
      <c r="F80" s="797">
        <f t="shared" si="3"/>
        <v>0</v>
      </c>
      <c r="G80" s="267">
        <v>0</v>
      </c>
      <c r="H80" s="267">
        <v>0</v>
      </c>
      <c r="I80" s="267">
        <v>0</v>
      </c>
      <c r="J80" s="267">
        <v>0</v>
      </c>
      <c r="K80" s="267">
        <v>0</v>
      </c>
      <c r="M80" s="65">
        <v>0</v>
      </c>
      <c r="N80" s="877">
        <v>0</v>
      </c>
      <c r="O80" s="777">
        <v>0</v>
      </c>
      <c r="P80" s="792">
        <f t="shared" si="4"/>
        <v>0</v>
      </c>
    </row>
    <row r="81" spans="1:16" ht="12.75" customHeight="1" thickBot="1">
      <c r="A81" s="752" t="s">
        <v>154</v>
      </c>
      <c r="B81" s="655">
        <v>43952</v>
      </c>
      <c r="C81" s="345">
        <v>1</v>
      </c>
      <c r="D81" s="655">
        <v>44013</v>
      </c>
      <c r="E81" s="823">
        <v>0</v>
      </c>
      <c r="F81" s="793">
        <f t="shared" si="3"/>
        <v>0</v>
      </c>
      <c r="G81" s="340">
        <v>0</v>
      </c>
      <c r="H81" s="340">
        <v>0</v>
      </c>
      <c r="I81" s="340">
        <v>0</v>
      </c>
      <c r="J81" s="340">
        <v>0</v>
      </c>
      <c r="K81" s="340">
        <v>0</v>
      </c>
      <c r="M81" s="65">
        <v>0</v>
      </c>
      <c r="N81" s="877">
        <v>0</v>
      </c>
      <c r="O81" s="777">
        <v>0</v>
      </c>
      <c r="P81" s="792">
        <f t="shared" si="4"/>
        <v>0</v>
      </c>
    </row>
    <row r="82" spans="1:16" ht="12.75" customHeight="1" thickBot="1">
      <c r="A82" s="657" t="s">
        <v>154</v>
      </c>
      <c r="B82" s="655">
        <v>43983</v>
      </c>
      <c r="C82" s="656">
        <v>0</v>
      </c>
      <c r="D82" s="655">
        <v>44013</v>
      </c>
      <c r="E82" s="823">
        <v>0</v>
      </c>
      <c r="F82" s="793">
        <f t="shared" si="3"/>
        <v>0</v>
      </c>
      <c r="G82" s="340">
        <v>0</v>
      </c>
      <c r="H82" s="340">
        <v>0</v>
      </c>
      <c r="I82" s="340">
        <v>0</v>
      </c>
      <c r="J82" s="340">
        <v>0</v>
      </c>
      <c r="K82" s="340">
        <v>0</v>
      </c>
      <c r="M82" s="65">
        <v>0</v>
      </c>
      <c r="N82" s="877">
        <v>0</v>
      </c>
      <c r="O82" s="777">
        <v>0</v>
      </c>
      <c r="P82" s="792">
        <f t="shared" si="4"/>
        <v>0</v>
      </c>
    </row>
    <row r="83" spans="1:16" ht="3.65" customHeight="1">
      <c r="A83" s="662"/>
      <c r="B83" s="663"/>
      <c r="C83" s="664"/>
      <c r="D83" s="665"/>
      <c r="E83" s="666"/>
      <c r="F83" s="666"/>
      <c r="G83" s="666"/>
      <c r="H83" s="666"/>
      <c r="I83" s="666"/>
      <c r="J83" s="667"/>
      <c r="K83" s="667"/>
      <c r="M83" s="726"/>
      <c r="N83" s="727"/>
      <c r="O83" s="727"/>
      <c r="P83" s="727"/>
    </row>
    <row r="84" spans="1:16">
      <c r="A84" s="784" t="s">
        <v>59</v>
      </c>
      <c r="B84" s="784"/>
      <c r="C84" s="65"/>
      <c r="D84" s="655">
        <v>43971</v>
      </c>
      <c r="E84" s="65">
        <f t="shared" ref="E84:K84" si="5">SUM(E4:E29)</f>
        <v>111799</v>
      </c>
      <c r="F84" s="65">
        <f t="shared" si="5"/>
        <v>111799</v>
      </c>
      <c r="G84" s="65">
        <f t="shared" si="5"/>
        <v>83849</v>
      </c>
      <c r="H84" s="65">
        <f t="shared" si="5"/>
        <v>0</v>
      </c>
      <c r="I84" s="65">
        <f t="shared" si="5"/>
        <v>27950</v>
      </c>
      <c r="J84" s="65">
        <f t="shared" si="5"/>
        <v>0</v>
      </c>
      <c r="K84" s="65">
        <f t="shared" si="5"/>
        <v>0</v>
      </c>
      <c r="M84" s="65">
        <f>SUM(M4:M29)</f>
        <v>0</v>
      </c>
      <c r="N84" s="65">
        <f>SUM(N4:N29)</f>
        <v>0</v>
      </c>
      <c r="O84" s="65">
        <f>SUM(O4:O29)</f>
        <v>0</v>
      </c>
      <c r="P84" s="65">
        <f>SUM(P4:P29)</f>
        <v>0</v>
      </c>
    </row>
    <row r="85" spans="1:16">
      <c r="A85" s="784" t="s">
        <v>59</v>
      </c>
      <c r="B85" s="785"/>
      <c r="C85" s="65"/>
      <c r="D85" s="655">
        <v>44002</v>
      </c>
      <c r="E85" s="65">
        <f t="shared" ref="E85:K85" si="6">SUM(E30:E55)</f>
        <v>123408</v>
      </c>
      <c r="F85" s="65">
        <f t="shared" si="6"/>
        <v>123408</v>
      </c>
      <c r="G85" s="65">
        <f t="shared" si="6"/>
        <v>92556</v>
      </c>
      <c r="H85" s="65">
        <f t="shared" si="6"/>
        <v>0</v>
      </c>
      <c r="I85" s="65">
        <f t="shared" si="6"/>
        <v>30852</v>
      </c>
      <c r="J85" s="65">
        <f t="shared" si="6"/>
        <v>0</v>
      </c>
      <c r="K85" s="65">
        <f t="shared" si="6"/>
        <v>0</v>
      </c>
      <c r="M85" s="65">
        <f>SUM(M30:M55)</f>
        <v>0</v>
      </c>
      <c r="N85" s="65">
        <f>SUM(N30:N55)</f>
        <v>0</v>
      </c>
      <c r="O85" s="65">
        <f>SUM(O30:O55)</f>
        <v>0</v>
      </c>
      <c r="P85" s="65">
        <f>SUM(P30:P55)</f>
        <v>0</v>
      </c>
    </row>
    <row r="86" spans="1:16" ht="13" thickBot="1">
      <c r="A86" s="786" t="s">
        <v>59</v>
      </c>
      <c r="B86" s="787"/>
      <c r="C86" s="668"/>
      <c r="D86" s="658">
        <v>44032</v>
      </c>
      <c r="E86" s="668">
        <f t="shared" ref="E86:K86" si="7">SUM(E56:E82)</f>
        <v>120911</v>
      </c>
      <c r="F86" s="668">
        <f t="shared" si="7"/>
        <v>120911</v>
      </c>
      <c r="G86" s="668">
        <f t="shared" si="7"/>
        <v>90683</v>
      </c>
      <c r="H86" s="668">
        <f t="shared" si="7"/>
        <v>0</v>
      </c>
      <c r="I86" s="668">
        <f t="shared" si="7"/>
        <v>30228</v>
      </c>
      <c r="J86" s="668">
        <f t="shared" si="7"/>
        <v>0</v>
      </c>
      <c r="K86" s="668">
        <f t="shared" si="7"/>
        <v>0</v>
      </c>
      <c r="M86" s="668">
        <f>SUM(M56:M82)</f>
        <v>0</v>
      </c>
      <c r="N86" s="668">
        <f>SUM(N56:N82)</f>
        <v>0</v>
      </c>
      <c r="O86" s="668">
        <f>SUM(O56:O82)</f>
        <v>0</v>
      </c>
      <c r="P86" s="668">
        <f>SUM(P56:P82)</f>
        <v>0</v>
      </c>
    </row>
    <row r="87" spans="1:16" ht="13" thickBot="1">
      <c r="A87" s="670" t="s">
        <v>58</v>
      </c>
      <c r="B87" s="671"/>
      <c r="C87" s="668"/>
      <c r="D87" s="671"/>
      <c r="E87" s="668">
        <f t="shared" ref="E87:K87" si="8">SUM(E84:E86)</f>
        <v>356118</v>
      </c>
      <c r="F87" s="668">
        <f t="shared" si="8"/>
        <v>356118</v>
      </c>
      <c r="G87" s="668">
        <f t="shared" si="8"/>
        <v>267088</v>
      </c>
      <c r="H87" s="668">
        <f t="shared" si="8"/>
        <v>0</v>
      </c>
      <c r="I87" s="668">
        <f t="shared" si="8"/>
        <v>89030</v>
      </c>
      <c r="J87" s="668">
        <f t="shared" si="8"/>
        <v>0</v>
      </c>
      <c r="K87" s="668">
        <f t="shared" si="8"/>
        <v>0</v>
      </c>
      <c r="M87" s="668">
        <f t="shared" ref="M87:P87" si="9">SUM(M84:M86)</f>
        <v>0</v>
      </c>
      <c r="N87" s="668">
        <f t="shared" si="9"/>
        <v>0</v>
      </c>
      <c r="O87" s="668">
        <f t="shared" si="9"/>
        <v>0</v>
      </c>
      <c r="P87" s="668">
        <f t="shared" si="9"/>
        <v>0</v>
      </c>
    </row>
    <row r="88" spans="1:16">
      <c r="A88" s="58" t="s">
        <v>57</v>
      </c>
      <c r="B88" s="655"/>
      <c r="C88" s="655"/>
      <c r="D88" s="655"/>
      <c r="E88" s="65"/>
      <c r="F88" s="65"/>
      <c r="G88" s="65">
        <v>0</v>
      </c>
      <c r="H88" s="65">
        <v>0</v>
      </c>
      <c r="I88" s="65">
        <v>0</v>
      </c>
      <c r="J88" s="65">
        <v>0</v>
      </c>
      <c r="K88" s="65">
        <v>0</v>
      </c>
      <c r="M88" s="777">
        <v>0</v>
      </c>
      <c r="N88" s="777">
        <v>0</v>
      </c>
      <c r="O88" s="777">
        <v>0</v>
      </c>
      <c r="P88" s="777">
        <v>0</v>
      </c>
    </row>
    <row r="89" spans="1:16" ht="3" customHeight="1">
      <c r="A89" s="672"/>
      <c r="B89" s="673"/>
      <c r="C89" s="674"/>
      <c r="D89" s="674"/>
      <c r="E89" s="674"/>
      <c r="F89" s="674"/>
      <c r="G89" s="674"/>
      <c r="H89" s="674"/>
      <c r="I89" s="674"/>
      <c r="J89" s="869"/>
      <c r="K89" s="869"/>
      <c r="M89" s="789"/>
      <c r="N89" s="674"/>
      <c r="O89" s="674"/>
      <c r="P89" s="674"/>
    </row>
    <row r="90" spans="1:16" ht="13">
      <c r="A90" s="16" t="s">
        <v>48</v>
      </c>
      <c r="B90" s="105" t="s">
        <v>303</v>
      </c>
      <c r="C90" s="62"/>
      <c r="D90" s="62"/>
      <c r="E90" s="62">
        <f t="shared" ref="E90:P90" si="10">SUM(E87:E88)</f>
        <v>356118</v>
      </c>
      <c r="F90" s="62">
        <f t="shared" si="10"/>
        <v>356118</v>
      </c>
      <c r="G90" s="62">
        <f t="shared" si="10"/>
        <v>267088</v>
      </c>
      <c r="H90" s="62">
        <f t="shared" si="10"/>
        <v>0</v>
      </c>
      <c r="I90" s="62">
        <f t="shared" si="10"/>
        <v>89030</v>
      </c>
      <c r="J90" s="62">
        <f t="shared" si="10"/>
        <v>0</v>
      </c>
      <c r="K90" s="62">
        <f t="shared" si="10"/>
        <v>0</v>
      </c>
      <c r="M90" s="62">
        <f t="shared" si="10"/>
        <v>0</v>
      </c>
      <c r="N90" s="62">
        <f t="shared" si="10"/>
        <v>0</v>
      </c>
      <c r="O90" s="62">
        <f t="shared" si="10"/>
        <v>0</v>
      </c>
      <c r="P90" s="62">
        <f t="shared" si="10"/>
        <v>0</v>
      </c>
    </row>
    <row r="91" spans="1:16">
      <c r="M91" s="89"/>
      <c r="N91" s="89"/>
      <c r="O91" s="89"/>
      <c r="P91" s="12"/>
    </row>
    <row r="92" spans="1:16">
      <c r="E92" s="675"/>
      <c r="F92" s="12"/>
      <c r="G92" s="764"/>
      <c r="H92" s="764"/>
      <c r="I92" s="764"/>
      <c r="J92" s="764"/>
      <c r="K92" s="764"/>
      <c r="M92" s="89"/>
      <c r="N92" s="89"/>
      <c r="O92" s="89"/>
      <c r="P92" s="12"/>
    </row>
    <row r="93" spans="1:16">
      <c r="E93" s="675"/>
      <c r="F93" s="12"/>
      <c r="G93" s="12"/>
      <c r="H93" s="12"/>
      <c r="M93" s="96"/>
      <c r="N93" s="96"/>
      <c r="O93" s="96"/>
      <c r="P93" s="675"/>
    </row>
    <row r="94" spans="1:16">
      <c r="E94" s="675"/>
      <c r="M94" s="91"/>
      <c r="N94" s="91"/>
      <c r="O94" s="91"/>
      <c r="P94" s="675"/>
    </row>
    <row r="95" spans="1:16">
      <c r="E95" s="12"/>
      <c r="M95" s="91"/>
      <c r="N95" s="91"/>
      <c r="O95" s="91"/>
      <c r="P95" s="85"/>
    </row>
    <row r="96" spans="1:16">
      <c r="E96" s="12"/>
      <c r="M96" s="12"/>
      <c r="N96" s="12"/>
      <c r="O96" s="12"/>
      <c r="P96" s="12"/>
    </row>
    <row r="97" spans="8:16">
      <c r="M97" s="12"/>
      <c r="N97" s="12"/>
      <c r="O97" s="12"/>
      <c r="P97" s="12"/>
    </row>
    <row r="98" spans="8:16">
      <c r="M98" s="12"/>
      <c r="N98" s="12"/>
      <c r="O98" s="12"/>
      <c r="P98" s="12"/>
    </row>
    <row r="99" spans="8:16">
      <c r="M99" s="12"/>
      <c r="N99" s="12"/>
      <c r="O99" s="12"/>
      <c r="P99" s="12"/>
    </row>
    <row r="100" spans="8:16">
      <c r="M100" s="12"/>
      <c r="N100" s="12"/>
      <c r="O100" s="12"/>
      <c r="P100" s="12"/>
    </row>
    <row r="101" spans="8:16">
      <c r="M101" s="12"/>
      <c r="N101" s="12"/>
      <c r="O101" s="12"/>
      <c r="P101" s="12"/>
    </row>
    <row r="104" spans="8:16">
      <c r="H104" s="676"/>
    </row>
  </sheetData>
  <mergeCells count="1">
    <mergeCell ref="A1:K1"/>
  </mergeCells>
  <pageMargins left="0.25" right="0.25" top="0.25" bottom="0.25" header="0.34" footer="0.5"/>
  <pageSetup scale="63" orientation="landscape" r:id="rId1"/>
  <headerFooter>
    <oddHeader>&amp;CCalWIN Maintenance and Operations Project County Claim Summary</oddHeader>
    <oddFooter>&amp;Cpage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59999389629810485"/>
    <pageSetUpPr fitToPage="1"/>
  </sheetPr>
  <dimension ref="A1:P104"/>
  <sheetViews>
    <sheetView showGridLines="0" zoomScaleNormal="100" workbookViewId="0">
      <pane xSplit="3" ySplit="1" topLeftCell="D62" activePane="bottomRight" state="frozen"/>
      <selection pane="topRight" activeCell="D1" sqref="D1"/>
      <selection pane="bottomLeft" activeCell="A4" sqref="A4"/>
      <selection pane="bottomRight" activeCell="A3" sqref="A3"/>
    </sheetView>
  </sheetViews>
  <sheetFormatPr defaultColWidth="9.1796875" defaultRowHeight="12.5"/>
  <cols>
    <col min="1" max="1" width="32.1796875" style="1" bestFit="1" customWidth="1"/>
    <col min="2" max="2" width="14.81640625" style="1" customWidth="1"/>
    <col min="3" max="3" width="9.1796875" style="1"/>
    <col min="4" max="4" width="10.54296875" style="1" customWidth="1"/>
    <col min="5" max="5" width="13.7265625" style="1" customWidth="1"/>
    <col min="6" max="6" width="12.453125" style="1" bestFit="1" customWidth="1"/>
    <col min="7" max="7" width="14.54296875" style="1" bestFit="1" customWidth="1"/>
    <col min="8" max="10" width="11.54296875" style="1" customWidth="1"/>
    <col min="11" max="11" width="6" style="1" customWidth="1"/>
    <col min="12" max="15" width="11.54296875" style="1" customWidth="1"/>
    <col min="16" max="16384" width="9.1796875" style="1"/>
  </cols>
  <sheetData>
    <row r="1" spans="1:16" ht="14">
      <c r="A1" s="999" t="s">
        <v>314</v>
      </c>
      <c r="B1" s="999"/>
      <c r="C1" s="999"/>
      <c r="D1" s="999"/>
      <c r="E1" s="999"/>
      <c r="F1" s="999"/>
      <c r="G1" s="999"/>
      <c r="H1" s="999"/>
      <c r="I1" s="999"/>
      <c r="J1" s="999"/>
      <c r="K1" s="999"/>
    </row>
    <row r="2" spans="1:16" ht="12.75" customHeight="1"/>
    <row r="3" spans="1:16" ht="42.75" customHeight="1" thickBot="1">
      <c r="A3" s="848" t="s">
        <v>44</v>
      </c>
      <c r="B3" s="848" t="s">
        <v>68</v>
      </c>
      <c r="C3" s="848" t="s">
        <v>67</v>
      </c>
      <c r="D3" s="848" t="s">
        <v>66</v>
      </c>
      <c r="E3" s="848" t="s">
        <v>217</v>
      </c>
      <c r="F3" s="848" t="s">
        <v>48</v>
      </c>
      <c r="G3" s="848" t="s">
        <v>65</v>
      </c>
      <c r="H3" s="848" t="s">
        <v>64</v>
      </c>
      <c r="I3" s="848" t="s">
        <v>63</v>
      </c>
      <c r="J3" s="853" t="s">
        <v>276</v>
      </c>
      <c r="L3" s="140" t="s">
        <v>43</v>
      </c>
      <c r="M3" s="24" t="s">
        <v>42</v>
      </c>
      <c r="N3" s="24" t="s">
        <v>138</v>
      </c>
      <c r="O3" s="24" t="s">
        <v>60</v>
      </c>
    </row>
    <row r="4" spans="1:16" ht="12.75" customHeight="1">
      <c r="A4" s="560" t="s">
        <v>171</v>
      </c>
      <c r="B4" s="655">
        <v>43922</v>
      </c>
      <c r="C4" s="656">
        <v>0</v>
      </c>
      <c r="D4" s="655">
        <v>43952</v>
      </c>
      <c r="E4" s="339">
        <v>0</v>
      </c>
      <c r="F4" s="805">
        <f t="shared" ref="F4:F55" si="0">SUM(G4:J4)</f>
        <v>0</v>
      </c>
      <c r="G4" s="592">
        <v>0</v>
      </c>
      <c r="H4" s="592">
        <v>0</v>
      </c>
      <c r="I4" s="592">
        <v>0</v>
      </c>
      <c r="J4" s="592">
        <v>0</v>
      </c>
      <c r="L4" s="592">
        <v>0</v>
      </c>
      <c r="M4" s="592">
        <v>0</v>
      </c>
      <c r="N4" s="592">
        <v>0</v>
      </c>
      <c r="O4" s="795">
        <f>SUM(L4:N4)</f>
        <v>0</v>
      </c>
      <c r="P4" s="731"/>
    </row>
    <row r="5" spans="1:16" ht="12.75" customHeight="1">
      <c r="A5" s="560" t="s">
        <v>170</v>
      </c>
      <c r="B5" s="655">
        <v>43922</v>
      </c>
      <c r="C5" s="656">
        <v>0</v>
      </c>
      <c r="D5" s="655">
        <v>43952</v>
      </c>
      <c r="E5" s="267">
        <v>0</v>
      </c>
      <c r="F5" s="797">
        <f t="shared" si="0"/>
        <v>0</v>
      </c>
      <c r="G5" s="267">
        <v>0</v>
      </c>
      <c r="H5" s="267">
        <v>0</v>
      </c>
      <c r="I5" s="267">
        <v>0</v>
      </c>
      <c r="J5" s="267">
        <v>0</v>
      </c>
      <c r="L5" s="267">
        <v>0</v>
      </c>
      <c r="M5" s="267">
        <v>0</v>
      </c>
      <c r="N5" s="267">
        <v>0</v>
      </c>
      <c r="O5" s="792">
        <f t="shared" ref="O5:O55" si="1">SUM(L5:N5)</f>
        <v>0</v>
      </c>
      <c r="P5" s="731"/>
    </row>
    <row r="6" spans="1:16" ht="12.75" customHeight="1">
      <c r="A6" s="560" t="s">
        <v>169</v>
      </c>
      <c r="B6" s="655">
        <v>43922</v>
      </c>
      <c r="C6" s="656">
        <v>0</v>
      </c>
      <c r="D6" s="655">
        <v>43952</v>
      </c>
      <c r="E6" s="267">
        <v>0</v>
      </c>
      <c r="F6" s="797">
        <f t="shared" si="0"/>
        <v>0</v>
      </c>
      <c r="G6" s="267">
        <v>0</v>
      </c>
      <c r="H6" s="267">
        <v>0</v>
      </c>
      <c r="I6" s="267">
        <v>0</v>
      </c>
      <c r="J6" s="267">
        <v>0</v>
      </c>
      <c r="L6" s="267">
        <v>0</v>
      </c>
      <c r="M6" s="267">
        <v>0</v>
      </c>
      <c r="N6" s="267">
        <v>0</v>
      </c>
      <c r="O6" s="792">
        <f t="shared" si="1"/>
        <v>0</v>
      </c>
      <c r="P6" s="731"/>
    </row>
    <row r="7" spans="1:16" ht="12.75" customHeight="1">
      <c r="A7" s="560" t="s">
        <v>168</v>
      </c>
      <c r="B7" s="655">
        <v>43922</v>
      </c>
      <c r="C7" s="656">
        <v>0</v>
      </c>
      <c r="D7" s="655">
        <v>43952</v>
      </c>
      <c r="E7" s="267">
        <v>0</v>
      </c>
      <c r="F7" s="797">
        <f t="shared" si="0"/>
        <v>0</v>
      </c>
      <c r="G7" s="267">
        <v>0</v>
      </c>
      <c r="H7" s="267">
        <v>0</v>
      </c>
      <c r="I7" s="267">
        <v>0</v>
      </c>
      <c r="J7" s="267">
        <v>0</v>
      </c>
      <c r="L7" s="267">
        <v>0</v>
      </c>
      <c r="M7" s="267">
        <v>0</v>
      </c>
      <c r="N7" s="267">
        <v>0</v>
      </c>
      <c r="O7" s="792">
        <f t="shared" si="1"/>
        <v>0</v>
      </c>
      <c r="P7" s="731"/>
    </row>
    <row r="8" spans="1:16" ht="12.75" customHeight="1">
      <c r="A8" s="560" t="s">
        <v>167</v>
      </c>
      <c r="B8" s="655">
        <v>43922</v>
      </c>
      <c r="C8" s="656">
        <v>0</v>
      </c>
      <c r="D8" s="655">
        <v>43952</v>
      </c>
      <c r="E8" s="267">
        <v>0</v>
      </c>
      <c r="F8" s="797">
        <f t="shared" si="0"/>
        <v>0</v>
      </c>
      <c r="G8" s="267">
        <v>0</v>
      </c>
      <c r="H8" s="267">
        <v>0</v>
      </c>
      <c r="I8" s="267">
        <v>0</v>
      </c>
      <c r="J8" s="267">
        <v>0</v>
      </c>
      <c r="L8" s="267">
        <v>0</v>
      </c>
      <c r="M8" s="267">
        <v>0</v>
      </c>
      <c r="N8" s="267">
        <v>0</v>
      </c>
      <c r="O8" s="792">
        <f t="shared" si="1"/>
        <v>0</v>
      </c>
      <c r="P8" s="731"/>
    </row>
    <row r="9" spans="1:16" ht="12.75" customHeight="1">
      <c r="A9" s="560" t="s">
        <v>166</v>
      </c>
      <c r="B9" s="655">
        <v>43922</v>
      </c>
      <c r="C9" s="656">
        <v>0</v>
      </c>
      <c r="D9" s="655">
        <v>43952</v>
      </c>
      <c r="E9" s="267">
        <v>0</v>
      </c>
      <c r="F9" s="797">
        <f t="shared" si="0"/>
        <v>0</v>
      </c>
      <c r="G9" s="267">
        <v>0</v>
      </c>
      <c r="H9" s="267">
        <v>0</v>
      </c>
      <c r="I9" s="267">
        <v>0</v>
      </c>
      <c r="J9" s="267">
        <v>0</v>
      </c>
      <c r="L9" s="267">
        <v>0</v>
      </c>
      <c r="M9" s="267">
        <v>0</v>
      </c>
      <c r="N9" s="267">
        <v>0</v>
      </c>
      <c r="O9" s="792">
        <f t="shared" si="1"/>
        <v>0</v>
      </c>
      <c r="P9" s="731"/>
    </row>
    <row r="10" spans="1:16" ht="12.75" customHeight="1">
      <c r="A10" s="560" t="s">
        <v>11</v>
      </c>
      <c r="B10" s="655">
        <v>43922</v>
      </c>
      <c r="C10" s="656">
        <v>0</v>
      </c>
      <c r="D10" s="655">
        <v>43952</v>
      </c>
      <c r="E10" s="267">
        <v>0</v>
      </c>
      <c r="F10" s="797">
        <f t="shared" si="0"/>
        <v>0</v>
      </c>
      <c r="G10" s="267">
        <v>0</v>
      </c>
      <c r="H10" s="267">
        <v>0</v>
      </c>
      <c r="I10" s="267">
        <v>0</v>
      </c>
      <c r="J10" s="267">
        <v>0</v>
      </c>
      <c r="L10" s="267">
        <v>0</v>
      </c>
      <c r="M10" s="267">
        <v>0</v>
      </c>
      <c r="N10" s="267">
        <v>0</v>
      </c>
      <c r="O10" s="792">
        <f t="shared" si="1"/>
        <v>0</v>
      </c>
      <c r="P10" s="731"/>
    </row>
    <row r="11" spans="1:16" ht="12.75" customHeight="1">
      <c r="A11" s="560" t="s">
        <v>165</v>
      </c>
      <c r="B11" s="655">
        <v>43922</v>
      </c>
      <c r="C11" s="656">
        <v>0</v>
      </c>
      <c r="D11" s="655">
        <v>43952</v>
      </c>
      <c r="E11" s="267">
        <v>0</v>
      </c>
      <c r="F11" s="797">
        <f t="shared" si="0"/>
        <v>0</v>
      </c>
      <c r="G11" s="267">
        <v>0</v>
      </c>
      <c r="H11" s="267">
        <v>0</v>
      </c>
      <c r="I11" s="267">
        <v>0</v>
      </c>
      <c r="J11" s="267">
        <v>0</v>
      </c>
      <c r="L11" s="267">
        <v>0</v>
      </c>
      <c r="M11" s="267">
        <v>0</v>
      </c>
      <c r="N11" s="267">
        <v>0</v>
      </c>
      <c r="O11" s="792">
        <f t="shared" si="1"/>
        <v>0</v>
      </c>
      <c r="P11" s="731"/>
    </row>
    <row r="12" spans="1:16" ht="12.75" customHeight="1">
      <c r="A12" s="560" t="s">
        <v>164</v>
      </c>
      <c r="B12" s="655">
        <v>43739</v>
      </c>
      <c r="C12" s="345">
        <v>1</v>
      </c>
      <c r="D12" s="655">
        <v>43952</v>
      </c>
      <c r="E12" s="267">
        <v>0</v>
      </c>
      <c r="F12" s="797">
        <f t="shared" si="0"/>
        <v>0</v>
      </c>
      <c r="G12" s="267">
        <v>0</v>
      </c>
      <c r="H12" s="267">
        <v>0</v>
      </c>
      <c r="I12" s="267">
        <v>0</v>
      </c>
      <c r="J12" s="267">
        <v>0</v>
      </c>
      <c r="L12" s="267">
        <v>0</v>
      </c>
      <c r="M12" s="267">
        <v>0</v>
      </c>
      <c r="N12" s="267">
        <v>0</v>
      </c>
      <c r="O12" s="792">
        <f t="shared" si="1"/>
        <v>0</v>
      </c>
      <c r="P12" s="731"/>
    </row>
    <row r="13" spans="1:16" ht="12.75" customHeight="1">
      <c r="A13" s="560" t="s">
        <v>164</v>
      </c>
      <c r="B13" s="655">
        <v>43922</v>
      </c>
      <c r="C13" s="656">
        <v>0</v>
      </c>
      <c r="D13" s="655">
        <v>43952</v>
      </c>
      <c r="E13" s="267">
        <v>0</v>
      </c>
      <c r="F13" s="797">
        <f t="shared" si="0"/>
        <v>0</v>
      </c>
      <c r="G13" s="267">
        <v>0</v>
      </c>
      <c r="H13" s="267">
        <v>0</v>
      </c>
      <c r="I13" s="267">
        <v>0</v>
      </c>
      <c r="J13" s="267">
        <v>0</v>
      </c>
      <c r="L13" s="267">
        <v>0</v>
      </c>
      <c r="M13" s="267">
        <v>0</v>
      </c>
      <c r="N13" s="267">
        <v>0</v>
      </c>
      <c r="O13" s="792">
        <f t="shared" si="1"/>
        <v>0</v>
      </c>
      <c r="P13" s="731"/>
    </row>
    <row r="14" spans="1:16" ht="12.75" customHeight="1">
      <c r="A14" s="560" t="s">
        <v>163</v>
      </c>
      <c r="B14" s="655">
        <v>43922</v>
      </c>
      <c r="C14" s="656">
        <v>0</v>
      </c>
      <c r="D14" s="655">
        <v>43952</v>
      </c>
      <c r="E14" s="267">
        <v>0</v>
      </c>
      <c r="F14" s="797">
        <f t="shared" si="0"/>
        <v>0</v>
      </c>
      <c r="G14" s="267">
        <v>0</v>
      </c>
      <c r="H14" s="267">
        <v>0</v>
      </c>
      <c r="I14" s="267">
        <v>0</v>
      </c>
      <c r="J14" s="267">
        <v>0</v>
      </c>
      <c r="L14" s="267">
        <v>0</v>
      </c>
      <c r="M14" s="267">
        <v>0</v>
      </c>
      <c r="N14" s="267">
        <v>0</v>
      </c>
      <c r="O14" s="792">
        <f t="shared" si="1"/>
        <v>0</v>
      </c>
      <c r="P14" s="731"/>
    </row>
    <row r="15" spans="1:16" ht="12.75" customHeight="1">
      <c r="A15" s="560" t="s">
        <v>162</v>
      </c>
      <c r="B15" s="655">
        <v>43922</v>
      </c>
      <c r="C15" s="656">
        <v>0</v>
      </c>
      <c r="D15" s="655">
        <v>43952</v>
      </c>
      <c r="E15" s="267">
        <v>0</v>
      </c>
      <c r="F15" s="797">
        <f t="shared" si="0"/>
        <v>0</v>
      </c>
      <c r="G15" s="267">
        <v>0</v>
      </c>
      <c r="H15" s="267">
        <v>0</v>
      </c>
      <c r="I15" s="267">
        <v>0</v>
      </c>
      <c r="J15" s="267">
        <v>0</v>
      </c>
      <c r="L15" s="267">
        <v>0</v>
      </c>
      <c r="M15" s="267">
        <v>0</v>
      </c>
      <c r="N15" s="267">
        <v>0</v>
      </c>
      <c r="O15" s="792">
        <f t="shared" si="1"/>
        <v>0</v>
      </c>
      <c r="P15" s="731"/>
    </row>
    <row r="16" spans="1:16" ht="12.75" customHeight="1">
      <c r="A16" s="560" t="s">
        <v>161</v>
      </c>
      <c r="B16" s="655">
        <v>43922</v>
      </c>
      <c r="C16" s="656">
        <v>0</v>
      </c>
      <c r="D16" s="655">
        <v>43952</v>
      </c>
      <c r="E16" s="267">
        <v>0</v>
      </c>
      <c r="F16" s="797">
        <f t="shared" si="0"/>
        <v>0</v>
      </c>
      <c r="G16" s="267">
        <v>0</v>
      </c>
      <c r="H16" s="267">
        <v>0</v>
      </c>
      <c r="I16" s="267">
        <v>0</v>
      </c>
      <c r="J16" s="267">
        <v>0</v>
      </c>
      <c r="L16" s="267">
        <v>0</v>
      </c>
      <c r="M16" s="267">
        <v>0</v>
      </c>
      <c r="N16" s="267">
        <v>0</v>
      </c>
      <c r="O16" s="792">
        <f t="shared" si="1"/>
        <v>0</v>
      </c>
      <c r="P16" s="731"/>
    </row>
    <row r="17" spans="1:16" ht="12.75" customHeight="1">
      <c r="A17" s="560" t="s">
        <v>160</v>
      </c>
      <c r="B17" s="655">
        <v>44105</v>
      </c>
      <c r="C17" s="345">
        <v>2</v>
      </c>
      <c r="D17" s="655">
        <v>43952</v>
      </c>
      <c r="E17" s="267">
        <v>0</v>
      </c>
      <c r="F17" s="797">
        <f t="shared" si="0"/>
        <v>0</v>
      </c>
      <c r="G17" s="267">
        <v>0</v>
      </c>
      <c r="H17" s="267">
        <v>0</v>
      </c>
      <c r="I17" s="267">
        <v>0</v>
      </c>
      <c r="J17" s="267">
        <v>0</v>
      </c>
      <c r="L17" s="267">
        <v>0</v>
      </c>
      <c r="M17" s="267">
        <v>0</v>
      </c>
      <c r="N17" s="267">
        <v>0</v>
      </c>
      <c r="O17" s="792">
        <f t="shared" si="1"/>
        <v>0</v>
      </c>
      <c r="P17" s="731"/>
    </row>
    <row r="18" spans="1:16" ht="12.75" customHeight="1">
      <c r="A18" s="560" t="s">
        <v>160</v>
      </c>
      <c r="B18" s="655">
        <v>44136</v>
      </c>
      <c r="C18" s="345">
        <v>2</v>
      </c>
      <c r="D18" s="655">
        <v>43952</v>
      </c>
      <c r="E18" s="267">
        <v>0</v>
      </c>
      <c r="F18" s="797">
        <f t="shared" si="0"/>
        <v>0</v>
      </c>
      <c r="G18" s="267">
        <v>0</v>
      </c>
      <c r="H18" s="267">
        <v>0</v>
      </c>
      <c r="I18" s="267">
        <v>0</v>
      </c>
      <c r="J18" s="267">
        <v>0</v>
      </c>
      <c r="L18" s="267">
        <v>0</v>
      </c>
      <c r="M18" s="267">
        <v>0</v>
      </c>
      <c r="N18" s="267">
        <v>0</v>
      </c>
      <c r="O18" s="792">
        <f t="shared" si="1"/>
        <v>0</v>
      </c>
      <c r="P18" s="731"/>
    </row>
    <row r="19" spans="1:16" ht="12.75" customHeight="1">
      <c r="A19" s="560" t="s">
        <v>160</v>
      </c>
      <c r="B19" s="655">
        <v>44166</v>
      </c>
      <c r="C19" s="345">
        <v>2</v>
      </c>
      <c r="D19" s="655">
        <v>43952</v>
      </c>
      <c r="E19" s="267">
        <v>0</v>
      </c>
      <c r="F19" s="797">
        <f t="shared" si="0"/>
        <v>0</v>
      </c>
      <c r="G19" s="267">
        <v>0</v>
      </c>
      <c r="H19" s="267">
        <v>0</v>
      </c>
      <c r="I19" s="267">
        <v>0</v>
      </c>
      <c r="J19" s="267">
        <v>0</v>
      </c>
      <c r="L19" s="267">
        <v>0</v>
      </c>
      <c r="M19" s="267">
        <v>0</v>
      </c>
      <c r="N19" s="267">
        <v>0</v>
      </c>
      <c r="O19" s="792">
        <f t="shared" si="1"/>
        <v>0</v>
      </c>
      <c r="P19" s="731"/>
    </row>
    <row r="20" spans="1:16" ht="12.75" customHeight="1">
      <c r="A20" s="560" t="s">
        <v>160</v>
      </c>
      <c r="B20" s="655">
        <v>43831</v>
      </c>
      <c r="C20" s="345">
        <v>2</v>
      </c>
      <c r="D20" s="655">
        <v>43952</v>
      </c>
      <c r="E20" s="267">
        <v>0</v>
      </c>
      <c r="F20" s="797">
        <f t="shared" si="0"/>
        <v>0</v>
      </c>
      <c r="G20" s="267">
        <v>0</v>
      </c>
      <c r="H20" s="267">
        <v>0</v>
      </c>
      <c r="I20" s="267">
        <v>0</v>
      </c>
      <c r="J20" s="267">
        <v>0</v>
      </c>
      <c r="L20" s="267">
        <v>0</v>
      </c>
      <c r="M20" s="267">
        <v>0</v>
      </c>
      <c r="N20" s="267">
        <v>0</v>
      </c>
      <c r="O20" s="792">
        <f t="shared" si="1"/>
        <v>0</v>
      </c>
      <c r="P20" s="731"/>
    </row>
    <row r="21" spans="1:16" ht="12.75" customHeight="1">
      <c r="A21" s="560" t="s">
        <v>160</v>
      </c>
      <c r="B21" s="655">
        <v>43862</v>
      </c>
      <c r="C21" s="345">
        <v>2</v>
      </c>
      <c r="D21" s="655">
        <v>43952</v>
      </c>
      <c r="E21" s="267">
        <v>0</v>
      </c>
      <c r="F21" s="797">
        <f t="shared" si="0"/>
        <v>0</v>
      </c>
      <c r="G21" s="267">
        <v>0</v>
      </c>
      <c r="H21" s="267">
        <v>0</v>
      </c>
      <c r="I21" s="267">
        <v>0</v>
      </c>
      <c r="J21" s="267">
        <v>0</v>
      </c>
      <c r="L21" s="267">
        <v>0</v>
      </c>
      <c r="M21" s="267">
        <v>0</v>
      </c>
      <c r="N21" s="267">
        <v>0</v>
      </c>
      <c r="O21" s="792">
        <f t="shared" si="1"/>
        <v>0</v>
      </c>
      <c r="P21" s="731"/>
    </row>
    <row r="22" spans="1:16" ht="12.75" customHeight="1">
      <c r="A22" s="560" t="s">
        <v>160</v>
      </c>
      <c r="B22" s="655">
        <v>43891</v>
      </c>
      <c r="C22" s="345">
        <v>1</v>
      </c>
      <c r="D22" s="655">
        <v>43952</v>
      </c>
      <c r="E22" s="267">
        <v>0</v>
      </c>
      <c r="F22" s="797">
        <f t="shared" si="0"/>
        <v>0</v>
      </c>
      <c r="G22" s="267">
        <v>0</v>
      </c>
      <c r="H22" s="267">
        <v>0</v>
      </c>
      <c r="I22" s="267">
        <v>0</v>
      </c>
      <c r="J22" s="267">
        <v>0</v>
      </c>
      <c r="L22" s="267">
        <v>0</v>
      </c>
      <c r="M22" s="267">
        <v>0</v>
      </c>
      <c r="N22" s="267">
        <v>0</v>
      </c>
      <c r="O22" s="792">
        <f t="shared" si="1"/>
        <v>0</v>
      </c>
      <c r="P22" s="731"/>
    </row>
    <row r="23" spans="1:16" ht="12.75" customHeight="1">
      <c r="A23" s="560" t="s">
        <v>160</v>
      </c>
      <c r="B23" s="655">
        <v>43922</v>
      </c>
      <c r="C23" s="656">
        <v>0</v>
      </c>
      <c r="D23" s="655">
        <v>43952</v>
      </c>
      <c r="E23" s="267">
        <v>0</v>
      </c>
      <c r="F23" s="797">
        <f t="shared" si="0"/>
        <v>0</v>
      </c>
      <c r="G23" s="267">
        <v>0</v>
      </c>
      <c r="H23" s="267">
        <v>0</v>
      </c>
      <c r="I23" s="267">
        <v>0</v>
      </c>
      <c r="J23" s="267">
        <v>0</v>
      </c>
      <c r="L23" s="267">
        <v>0</v>
      </c>
      <c r="M23" s="267">
        <v>0</v>
      </c>
      <c r="N23" s="267">
        <v>0</v>
      </c>
      <c r="O23" s="792">
        <f t="shared" si="1"/>
        <v>0</v>
      </c>
      <c r="P23" s="731"/>
    </row>
    <row r="24" spans="1:16" ht="12.75" customHeight="1">
      <c r="A24" s="560" t="s">
        <v>159</v>
      </c>
      <c r="B24" s="655">
        <v>43922</v>
      </c>
      <c r="C24" s="656">
        <v>0</v>
      </c>
      <c r="D24" s="655">
        <v>43952</v>
      </c>
      <c r="E24" s="267">
        <v>0</v>
      </c>
      <c r="F24" s="797">
        <f t="shared" si="0"/>
        <v>0</v>
      </c>
      <c r="G24" s="267">
        <v>0</v>
      </c>
      <c r="H24" s="267">
        <v>0</v>
      </c>
      <c r="I24" s="267">
        <v>0</v>
      </c>
      <c r="J24" s="267">
        <v>0</v>
      </c>
      <c r="L24" s="267">
        <v>0</v>
      </c>
      <c r="M24" s="267">
        <v>0</v>
      </c>
      <c r="N24" s="267">
        <v>0</v>
      </c>
      <c r="O24" s="792">
        <f t="shared" si="1"/>
        <v>0</v>
      </c>
      <c r="P24" s="731"/>
    </row>
    <row r="25" spans="1:16" ht="12.75" customHeight="1">
      <c r="A25" s="560" t="s">
        <v>158</v>
      </c>
      <c r="B25" s="655">
        <v>43922</v>
      </c>
      <c r="C25" s="656">
        <v>0</v>
      </c>
      <c r="D25" s="655">
        <v>43952</v>
      </c>
      <c r="E25" s="267">
        <v>0</v>
      </c>
      <c r="F25" s="797">
        <f t="shared" si="0"/>
        <v>0</v>
      </c>
      <c r="G25" s="267">
        <v>0</v>
      </c>
      <c r="H25" s="267">
        <v>0</v>
      </c>
      <c r="I25" s="267">
        <v>0</v>
      </c>
      <c r="J25" s="267">
        <v>0</v>
      </c>
      <c r="L25" s="267">
        <v>0</v>
      </c>
      <c r="M25" s="267">
        <v>0</v>
      </c>
      <c r="N25" s="267">
        <v>0</v>
      </c>
      <c r="O25" s="792">
        <f t="shared" si="1"/>
        <v>0</v>
      </c>
      <c r="P25" s="731"/>
    </row>
    <row r="26" spans="1:16" ht="12.75" customHeight="1">
      <c r="A26" s="560" t="s">
        <v>157</v>
      </c>
      <c r="B26" s="655">
        <v>43922</v>
      </c>
      <c r="C26" s="656">
        <v>0</v>
      </c>
      <c r="D26" s="655">
        <v>43952</v>
      </c>
      <c r="E26" s="267">
        <v>0</v>
      </c>
      <c r="F26" s="797">
        <f t="shared" si="0"/>
        <v>0</v>
      </c>
      <c r="G26" s="267">
        <v>0</v>
      </c>
      <c r="H26" s="267">
        <v>0</v>
      </c>
      <c r="I26" s="267">
        <v>0</v>
      </c>
      <c r="J26" s="267">
        <v>0</v>
      </c>
      <c r="L26" s="267">
        <v>0</v>
      </c>
      <c r="M26" s="267">
        <v>0</v>
      </c>
      <c r="N26" s="267">
        <v>0</v>
      </c>
      <c r="O26" s="792">
        <f t="shared" si="1"/>
        <v>0</v>
      </c>
      <c r="P26" s="731"/>
    </row>
    <row r="27" spans="1:16" ht="12.75" customHeight="1">
      <c r="A27" s="560" t="s">
        <v>156</v>
      </c>
      <c r="B27" s="655">
        <v>43922</v>
      </c>
      <c r="C27" s="656">
        <v>0</v>
      </c>
      <c r="D27" s="655">
        <v>43952</v>
      </c>
      <c r="E27" s="267">
        <v>0</v>
      </c>
      <c r="F27" s="797">
        <f t="shared" si="0"/>
        <v>0</v>
      </c>
      <c r="G27" s="267">
        <v>0</v>
      </c>
      <c r="H27" s="267">
        <v>0</v>
      </c>
      <c r="I27" s="267">
        <v>0</v>
      </c>
      <c r="J27" s="267">
        <v>0</v>
      </c>
      <c r="L27" s="267">
        <v>0</v>
      </c>
      <c r="M27" s="267">
        <v>0</v>
      </c>
      <c r="N27" s="267">
        <v>0</v>
      </c>
      <c r="O27" s="792">
        <f t="shared" si="1"/>
        <v>0</v>
      </c>
      <c r="P27" s="731"/>
    </row>
    <row r="28" spans="1:16" ht="12.75" customHeight="1">
      <c r="A28" s="560" t="s">
        <v>155</v>
      </c>
      <c r="B28" s="655">
        <v>43922</v>
      </c>
      <c r="C28" s="656">
        <v>0</v>
      </c>
      <c r="D28" s="655">
        <v>43952</v>
      </c>
      <c r="E28" s="267">
        <v>0</v>
      </c>
      <c r="F28" s="797">
        <f t="shared" si="0"/>
        <v>0</v>
      </c>
      <c r="G28" s="267">
        <v>0</v>
      </c>
      <c r="H28" s="267">
        <v>0</v>
      </c>
      <c r="I28" s="267">
        <v>0</v>
      </c>
      <c r="J28" s="267">
        <v>0</v>
      </c>
      <c r="L28" s="267">
        <v>0</v>
      </c>
      <c r="M28" s="267">
        <v>0</v>
      </c>
      <c r="N28" s="267">
        <v>0</v>
      </c>
      <c r="O28" s="792">
        <f t="shared" si="1"/>
        <v>0</v>
      </c>
      <c r="P28" s="731"/>
    </row>
    <row r="29" spans="1:16" ht="12.75" customHeight="1" thickBot="1">
      <c r="A29" s="657" t="s">
        <v>154</v>
      </c>
      <c r="B29" s="844">
        <v>43922</v>
      </c>
      <c r="C29" s="659">
        <v>0</v>
      </c>
      <c r="D29" s="844">
        <v>43952</v>
      </c>
      <c r="E29" s="753">
        <v>0</v>
      </c>
      <c r="F29" s="806">
        <f t="shared" si="0"/>
        <v>0</v>
      </c>
      <c r="G29" s="753">
        <v>0</v>
      </c>
      <c r="H29" s="753">
        <v>0</v>
      </c>
      <c r="I29" s="753">
        <v>0</v>
      </c>
      <c r="J29" s="753">
        <v>0</v>
      </c>
      <c r="L29" s="340">
        <v>0</v>
      </c>
      <c r="M29" s="340">
        <v>0</v>
      </c>
      <c r="N29" s="340">
        <v>0</v>
      </c>
      <c r="O29" s="794">
        <f t="shared" si="1"/>
        <v>0</v>
      </c>
      <c r="P29" s="731"/>
    </row>
    <row r="30" spans="1:16" ht="12.75" customHeight="1">
      <c r="A30" s="892" t="s">
        <v>171</v>
      </c>
      <c r="B30" s="876">
        <v>43800</v>
      </c>
      <c r="C30" s="868">
        <v>2</v>
      </c>
      <c r="D30" s="876">
        <v>43983</v>
      </c>
      <c r="E30" s="592">
        <v>0</v>
      </c>
      <c r="F30" s="805">
        <f t="shared" si="0"/>
        <v>0</v>
      </c>
      <c r="G30" s="592">
        <v>0</v>
      </c>
      <c r="H30" s="592">
        <v>0</v>
      </c>
      <c r="I30" s="592">
        <v>0</v>
      </c>
      <c r="J30" s="592">
        <v>0</v>
      </c>
      <c r="K30" s="850"/>
      <c r="L30" s="65">
        <v>0</v>
      </c>
      <c r="M30" s="65">
        <v>0</v>
      </c>
      <c r="N30" s="65">
        <v>0</v>
      </c>
      <c r="O30" s="795">
        <f t="shared" si="1"/>
        <v>0</v>
      </c>
      <c r="P30" s="731"/>
    </row>
    <row r="31" spans="1:16" ht="12.75" customHeight="1">
      <c r="A31" s="565" t="s">
        <v>171</v>
      </c>
      <c r="B31" s="660">
        <v>43952</v>
      </c>
      <c r="C31" s="661">
        <v>0</v>
      </c>
      <c r="D31" s="660">
        <v>43983</v>
      </c>
      <c r="E31" s="339">
        <v>0</v>
      </c>
      <c r="F31" s="791">
        <f t="shared" si="0"/>
        <v>0</v>
      </c>
      <c r="G31" s="339">
        <v>0</v>
      </c>
      <c r="H31" s="339">
        <v>0</v>
      </c>
      <c r="I31" s="339">
        <v>0</v>
      </c>
      <c r="J31" s="339">
        <v>0</v>
      </c>
      <c r="K31" s="850"/>
      <c r="L31" s="65">
        <v>0</v>
      </c>
      <c r="M31" s="65">
        <v>0</v>
      </c>
      <c r="N31" s="65">
        <v>0</v>
      </c>
      <c r="O31" s="800">
        <f t="shared" si="1"/>
        <v>0</v>
      </c>
      <c r="P31" s="731"/>
    </row>
    <row r="32" spans="1:16" ht="12.75" customHeight="1">
      <c r="A32" s="560" t="s">
        <v>170</v>
      </c>
      <c r="B32" s="660">
        <v>43800</v>
      </c>
      <c r="C32" s="756">
        <v>1</v>
      </c>
      <c r="D32" s="660">
        <v>43983</v>
      </c>
      <c r="E32" s="267">
        <v>0</v>
      </c>
      <c r="F32" s="797">
        <f t="shared" si="0"/>
        <v>0</v>
      </c>
      <c r="G32" s="267">
        <v>0</v>
      </c>
      <c r="H32" s="267">
        <v>0</v>
      </c>
      <c r="I32" s="267">
        <v>0</v>
      </c>
      <c r="J32" s="267">
        <v>0</v>
      </c>
      <c r="K32" s="850"/>
      <c r="L32" s="65">
        <v>0</v>
      </c>
      <c r="M32" s="877">
        <v>0</v>
      </c>
      <c r="N32" s="777">
        <v>0</v>
      </c>
      <c r="O32" s="792">
        <f t="shared" si="1"/>
        <v>0</v>
      </c>
      <c r="P32" s="731"/>
    </row>
    <row r="33" spans="1:16" ht="12.75" customHeight="1">
      <c r="A33" s="560" t="s">
        <v>170</v>
      </c>
      <c r="B33" s="660">
        <v>43831</v>
      </c>
      <c r="C33" s="756">
        <v>1</v>
      </c>
      <c r="D33" s="660">
        <v>43983</v>
      </c>
      <c r="E33" s="267">
        <v>0</v>
      </c>
      <c r="F33" s="797">
        <f t="shared" si="0"/>
        <v>0</v>
      </c>
      <c r="G33" s="267">
        <v>0</v>
      </c>
      <c r="H33" s="267">
        <v>0</v>
      </c>
      <c r="I33" s="267">
        <v>0</v>
      </c>
      <c r="J33" s="267">
        <v>0</v>
      </c>
      <c r="K33" s="850"/>
      <c r="L33" s="65">
        <v>0</v>
      </c>
      <c r="M33" s="877">
        <v>0</v>
      </c>
      <c r="N33" s="777">
        <v>0</v>
      </c>
      <c r="O33" s="792">
        <f t="shared" si="1"/>
        <v>0</v>
      </c>
      <c r="P33" s="731"/>
    </row>
    <row r="34" spans="1:16" ht="12.75" customHeight="1">
      <c r="A34" s="560" t="s">
        <v>170</v>
      </c>
      <c r="B34" s="660">
        <v>43862</v>
      </c>
      <c r="C34" s="756">
        <v>1</v>
      </c>
      <c r="D34" s="660">
        <v>43983</v>
      </c>
      <c r="E34" s="267">
        <v>0</v>
      </c>
      <c r="F34" s="797">
        <f t="shared" si="0"/>
        <v>0</v>
      </c>
      <c r="G34" s="267">
        <v>0</v>
      </c>
      <c r="H34" s="267">
        <v>0</v>
      </c>
      <c r="I34" s="267">
        <v>0</v>
      </c>
      <c r="J34" s="267">
        <v>0</v>
      </c>
      <c r="K34" s="850"/>
      <c r="L34" s="65">
        <v>0</v>
      </c>
      <c r="M34" s="877">
        <v>0</v>
      </c>
      <c r="N34" s="777">
        <v>0</v>
      </c>
      <c r="O34" s="792">
        <f t="shared" si="1"/>
        <v>0</v>
      </c>
      <c r="P34" s="731"/>
    </row>
    <row r="35" spans="1:16" ht="12.75" customHeight="1">
      <c r="A35" s="560" t="s">
        <v>170</v>
      </c>
      <c r="B35" s="660">
        <v>43891</v>
      </c>
      <c r="C35" s="756">
        <v>1</v>
      </c>
      <c r="D35" s="660">
        <v>43983</v>
      </c>
      <c r="E35" s="267">
        <v>0</v>
      </c>
      <c r="F35" s="797">
        <f t="shared" si="0"/>
        <v>0</v>
      </c>
      <c r="G35" s="267">
        <v>0</v>
      </c>
      <c r="H35" s="267">
        <v>0</v>
      </c>
      <c r="I35" s="267">
        <v>0</v>
      </c>
      <c r="J35" s="267">
        <v>0</v>
      </c>
      <c r="K35" s="850"/>
      <c r="L35" s="65">
        <v>0</v>
      </c>
      <c r="M35" s="877">
        <v>0</v>
      </c>
      <c r="N35" s="777">
        <v>0</v>
      </c>
      <c r="O35" s="792">
        <f t="shared" si="1"/>
        <v>0</v>
      </c>
      <c r="P35" s="731"/>
    </row>
    <row r="36" spans="1:16" ht="12.75" customHeight="1">
      <c r="A36" s="560" t="s">
        <v>170</v>
      </c>
      <c r="B36" s="660">
        <v>43922</v>
      </c>
      <c r="C36" s="756">
        <v>1</v>
      </c>
      <c r="D36" s="660">
        <v>43983</v>
      </c>
      <c r="E36" s="267">
        <v>0</v>
      </c>
      <c r="F36" s="797">
        <f t="shared" si="0"/>
        <v>0</v>
      </c>
      <c r="G36" s="267">
        <v>0</v>
      </c>
      <c r="H36" s="267">
        <v>0</v>
      </c>
      <c r="I36" s="267">
        <v>0</v>
      </c>
      <c r="J36" s="267">
        <v>0</v>
      </c>
      <c r="K36" s="850"/>
      <c r="L36" s="65">
        <v>0</v>
      </c>
      <c r="M36" s="877">
        <v>0</v>
      </c>
      <c r="N36" s="777">
        <v>0</v>
      </c>
      <c r="O36" s="792">
        <f t="shared" si="1"/>
        <v>0</v>
      </c>
      <c r="P36" s="731"/>
    </row>
    <row r="37" spans="1:16" ht="12.75" customHeight="1">
      <c r="A37" s="560" t="s">
        <v>170</v>
      </c>
      <c r="B37" s="660">
        <v>43952</v>
      </c>
      <c r="C37" s="661">
        <v>0</v>
      </c>
      <c r="D37" s="660">
        <v>43983</v>
      </c>
      <c r="E37" s="267">
        <v>0</v>
      </c>
      <c r="F37" s="797">
        <f t="shared" si="0"/>
        <v>0</v>
      </c>
      <c r="G37" s="267">
        <v>0</v>
      </c>
      <c r="H37" s="267">
        <v>0</v>
      </c>
      <c r="I37" s="267">
        <v>0</v>
      </c>
      <c r="J37" s="267">
        <v>0</v>
      </c>
      <c r="K37" s="850"/>
      <c r="L37" s="65">
        <v>0</v>
      </c>
      <c r="M37" s="877">
        <v>0</v>
      </c>
      <c r="N37" s="777">
        <v>0</v>
      </c>
      <c r="O37" s="792">
        <f t="shared" si="1"/>
        <v>0</v>
      </c>
      <c r="P37" s="731"/>
    </row>
    <row r="38" spans="1:16" ht="12.75" customHeight="1">
      <c r="A38" s="560" t="s">
        <v>169</v>
      </c>
      <c r="B38" s="660">
        <v>43952</v>
      </c>
      <c r="C38" s="656">
        <v>0</v>
      </c>
      <c r="D38" s="660">
        <v>43983</v>
      </c>
      <c r="E38" s="267">
        <v>0</v>
      </c>
      <c r="F38" s="797">
        <f t="shared" si="0"/>
        <v>0</v>
      </c>
      <c r="G38" s="267">
        <v>0</v>
      </c>
      <c r="H38" s="267">
        <v>0</v>
      </c>
      <c r="I38" s="267">
        <v>0</v>
      </c>
      <c r="J38" s="267">
        <v>0</v>
      </c>
      <c r="K38" s="850"/>
      <c r="L38" s="65">
        <v>0</v>
      </c>
      <c r="M38" s="877">
        <v>0</v>
      </c>
      <c r="N38" s="777">
        <v>0</v>
      </c>
      <c r="O38" s="792">
        <f t="shared" si="1"/>
        <v>0</v>
      </c>
      <c r="P38" s="731"/>
    </row>
    <row r="39" spans="1:16" ht="12.75" customHeight="1">
      <c r="A39" s="560" t="s">
        <v>168</v>
      </c>
      <c r="B39" s="660">
        <v>43922</v>
      </c>
      <c r="C39" s="345">
        <v>1</v>
      </c>
      <c r="D39" s="660">
        <v>43983</v>
      </c>
      <c r="E39" s="267">
        <v>0</v>
      </c>
      <c r="F39" s="797">
        <f t="shared" si="0"/>
        <v>0</v>
      </c>
      <c r="G39" s="267">
        <v>0</v>
      </c>
      <c r="H39" s="267">
        <v>0</v>
      </c>
      <c r="I39" s="267">
        <v>0</v>
      </c>
      <c r="J39" s="267">
        <v>0</v>
      </c>
      <c r="K39" s="850"/>
      <c r="L39" s="65">
        <v>0</v>
      </c>
      <c r="M39" s="877">
        <v>0</v>
      </c>
      <c r="N39" s="777">
        <v>0</v>
      </c>
      <c r="O39" s="792">
        <f t="shared" si="1"/>
        <v>0</v>
      </c>
      <c r="P39" s="731"/>
    </row>
    <row r="40" spans="1:16" ht="12.75" customHeight="1">
      <c r="A40" s="560" t="s">
        <v>168</v>
      </c>
      <c r="B40" s="660">
        <v>43952</v>
      </c>
      <c r="C40" s="656">
        <v>0</v>
      </c>
      <c r="D40" s="660">
        <v>43983</v>
      </c>
      <c r="E40" s="267">
        <v>0</v>
      </c>
      <c r="F40" s="797">
        <f t="shared" si="0"/>
        <v>0</v>
      </c>
      <c r="G40" s="267">
        <v>0</v>
      </c>
      <c r="H40" s="267">
        <v>0</v>
      </c>
      <c r="I40" s="267">
        <v>0</v>
      </c>
      <c r="J40" s="267">
        <v>0</v>
      </c>
      <c r="K40" s="850"/>
      <c r="L40" s="65">
        <v>0</v>
      </c>
      <c r="M40" s="877">
        <v>0</v>
      </c>
      <c r="N40" s="777">
        <v>0</v>
      </c>
      <c r="O40" s="792">
        <f t="shared" si="1"/>
        <v>0</v>
      </c>
      <c r="P40" s="731"/>
    </row>
    <row r="41" spans="1:16" ht="12.75" customHeight="1">
      <c r="A41" s="560" t="s">
        <v>167</v>
      </c>
      <c r="B41" s="660">
        <v>43952</v>
      </c>
      <c r="C41" s="656">
        <v>0</v>
      </c>
      <c r="D41" s="660">
        <v>43983</v>
      </c>
      <c r="E41" s="267">
        <v>0</v>
      </c>
      <c r="F41" s="797">
        <f t="shared" si="0"/>
        <v>0</v>
      </c>
      <c r="G41" s="267">
        <v>0</v>
      </c>
      <c r="H41" s="267">
        <v>0</v>
      </c>
      <c r="I41" s="267">
        <v>0</v>
      </c>
      <c r="J41" s="267">
        <v>0</v>
      </c>
      <c r="K41" s="850"/>
      <c r="L41" s="65">
        <v>0</v>
      </c>
      <c r="M41" s="877">
        <v>0</v>
      </c>
      <c r="N41" s="777">
        <v>0</v>
      </c>
      <c r="O41" s="792">
        <f t="shared" si="1"/>
        <v>0</v>
      </c>
      <c r="P41" s="731"/>
    </row>
    <row r="42" spans="1:16" ht="12.75" customHeight="1">
      <c r="A42" s="560" t="s">
        <v>166</v>
      </c>
      <c r="B42" s="660">
        <v>43952</v>
      </c>
      <c r="C42" s="656">
        <v>0</v>
      </c>
      <c r="D42" s="660">
        <v>43983</v>
      </c>
      <c r="E42" s="267">
        <v>0</v>
      </c>
      <c r="F42" s="797">
        <f t="shared" si="0"/>
        <v>0</v>
      </c>
      <c r="G42" s="267">
        <v>0</v>
      </c>
      <c r="H42" s="267">
        <v>0</v>
      </c>
      <c r="I42" s="267">
        <v>0</v>
      </c>
      <c r="J42" s="267">
        <v>0</v>
      </c>
      <c r="K42" s="850"/>
      <c r="L42" s="65">
        <v>0</v>
      </c>
      <c r="M42" s="877">
        <v>0</v>
      </c>
      <c r="N42" s="777">
        <v>0</v>
      </c>
      <c r="O42" s="792">
        <f t="shared" si="1"/>
        <v>0</v>
      </c>
      <c r="P42" s="731"/>
    </row>
    <row r="43" spans="1:16" ht="12.75" customHeight="1">
      <c r="A43" s="560" t="s">
        <v>11</v>
      </c>
      <c r="B43" s="660">
        <v>43952</v>
      </c>
      <c r="C43" s="656">
        <v>0</v>
      </c>
      <c r="D43" s="660">
        <v>43983</v>
      </c>
      <c r="E43" s="339">
        <v>261278</v>
      </c>
      <c r="F43" s="797">
        <v>261278</v>
      </c>
      <c r="G43" s="267">
        <v>130639</v>
      </c>
      <c r="H43" s="267">
        <v>91447</v>
      </c>
      <c r="I43" s="267">
        <v>0</v>
      </c>
      <c r="J43" s="267">
        <v>39192</v>
      </c>
      <c r="K43" s="850"/>
      <c r="L43" s="65">
        <v>39192</v>
      </c>
      <c r="M43" s="877">
        <v>0</v>
      </c>
      <c r="N43" s="777">
        <v>0</v>
      </c>
      <c r="O43" s="792">
        <f t="shared" si="1"/>
        <v>39192</v>
      </c>
      <c r="P43" s="731"/>
    </row>
    <row r="44" spans="1:16" ht="12.75" customHeight="1">
      <c r="A44" s="560" t="s">
        <v>165</v>
      </c>
      <c r="B44" s="660">
        <v>43952</v>
      </c>
      <c r="C44" s="656">
        <v>0</v>
      </c>
      <c r="D44" s="660">
        <v>43983</v>
      </c>
      <c r="E44" s="267">
        <v>0</v>
      </c>
      <c r="F44" s="797">
        <f t="shared" si="0"/>
        <v>0</v>
      </c>
      <c r="G44" s="267">
        <v>0</v>
      </c>
      <c r="H44" s="267">
        <v>0</v>
      </c>
      <c r="I44" s="267">
        <v>0</v>
      </c>
      <c r="J44" s="267">
        <v>0</v>
      </c>
      <c r="K44" s="850"/>
      <c r="L44" s="65">
        <v>0</v>
      </c>
      <c r="M44" s="877">
        <v>0</v>
      </c>
      <c r="N44" s="777">
        <v>0</v>
      </c>
      <c r="O44" s="792">
        <f t="shared" si="1"/>
        <v>0</v>
      </c>
      <c r="P44" s="731"/>
    </row>
    <row r="45" spans="1:16" ht="12.75" customHeight="1">
      <c r="A45" s="560" t="s">
        <v>164</v>
      </c>
      <c r="B45" s="660">
        <v>43952</v>
      </c>
      <c r="C45" s="656">
        <v>0</v>
      </c>
      <c r="D45" s="660">
        <v>43983</v>
      </c>
      <c r="E45" s="267">
        <v>0</v>
      </c>
      <c r="F45" s="797">
        <f t="shared" si="0"/>
        <v>0</v>
      </c>
      <c r="G45" s="267">
        <v>0</v>
      </c>
      <c r="H45" s="267">
        <v>0</v>
      </c>
      <c r="I45" s="267">
        <v>0</v>
      </c>
      <c r="J45" s="267">
        <v>0</v>
      </c>
      <c r="K45" s="850"/>
      <c r="L45" s="65">
        <v>0</v>
      </c>
      <c r="M45" s="877">
        <v>0</v>
      </c>
      <c r="N45" s="777">
        <v>0</v>
      </c>
      <c r="O45" s="792">
        <f t="shared" si="1"/>
        <v>0</v>
      </c>
      <c r="P45" s="731"/>
    </row>
    <row r="46" spans="1:16" ht="12.75" customHeight="1">
      <c r="A46" s="560" t="s">
        <v>163</v>
      </c>
      <c r="B46" s="660">
        <v>43952</v>
      </c>
      <c r="C46" s="656">
        <v>0</v>
      </c>
      <c r="D46" s="660">
        <v>43983</v>
      </c>
      <c r="E46" s="267">
        <v>0</v>
      </c>
      <c r="F46" s="797">
        <f t="shared" si="0"/>
        <v>0</v>
      </c>
      <c r="G46" s="267">
        <v>0</v>
      </c>
      <c r="H46" s="267">
        <v>0</v>
      </c>
      <c r="I46" s="267">
        <v>0</v>
      </c>
      <c r="J46" s="267">
        <v>0</v>
      </c>
      <c r="K46" s="850"/>
      <c r="L46" s="65">
        <v>0</v>
      </c>
      <c r="M46" s="877">
        <v>0</v>
      </c>
      <c r="N46" s="777">
        <v>0</v>
      </c>
      <c r="O46" s="792">
        <f t="shared" si="1"/>
        <v>0</v>
      </c>
      <c r="P46" s="731"/>
    </row>
    <row r="47" spans="1:16" ht="12.75" customHeight="1">
      <c r="A47" s="560" t="s">
        <v>162</v>
      </c>
      <c r="B47" s="660">
        <v>43952</v>
      </c>
      <c r="C47" s="656">
        <v>0</v>
      </c>
      <c r="D47" s="660">
        <v>43983</v>
      </c>
      <c r="E47" s="267">
        <v>0</v>
      </c>
      <c r="F47" s="797">
        <f t="shared" si="0"/>
        <v>0</v>
      </c>
      <c r="G47" s="267">
        <v>0</v>
      </c>
      <c r="H47" s="267">
        <v>0</v>
      </c>
      <c r="I47" s="267">
        <v>0</v>
      </c>
      <c r="J47" s="267">
        <v>0</v>
      </c>
      <c r="K47" s="850"/>
      <c r="L47" s="65">
        <v>0</v>
      </c>
      <c r="M47" s="877">
        <v>0</v>
      </c>
      <c r="N47" s="777">
        <v>0</v>
      </c>
      <c r="O47" s="792">
        <f t="shared" si="1"/>
        <v>0</v>
      </c>
      <c r="P47" s="731"/>
    </row>
    <row r="48" spans="1:16" ht="12.75" customHeight="1">
      <c r="A48" s="560" t="s">
        <v>161</v>
      </c>
      <c r="B48" s="660">
        <v>43952</v>
      </c>
      <c r="C48" s="656">
        <v>0</v>
      </c>
      <c r="D48" s="660">
        <v>43983</v>
      </c>
      <c r="E48" s="267">
        <v>0</v>
      </c>
      <c r="F48" s="797">
        <f t="shared" si="0"/>
        <v>0</v>
      </c>
      <c r="G48" s="267">
        <v>0</v>
      </c>
      <c r="H48" s="267">
        <v>0</v>
      </c>
      <c r="I48" s="267">
        <v>0</v>
      </c>
      <c r="J48" s="267">
        <v>0</v>
      </c>
      <c r="K48" s="850"/>
      <c r="L48" s="65">
        <v>0</v>
      </c>
      <c r="M48" s="877">
        <v>0</v>
      </c>
      <c r="N48" s="777">
        <v>0</v>
      </c>
      <c r="O48" s="792">
        <f t="shared" si="1"/>
        <v>0</v>
      </c>
      <c r="P48" s="731"/>
    </row>
    <row r="49" spans="1:16" ht="12.75" customHeight="1">
      <c r="A49" s="560" t="s">
        <v>160</v>
      </c>
      <c r="B49" s="660">
        <v>43952</v>
      </c>
      <c r="C49" s="656">
        <v>0</v>
      </c>
      <c r="D49" s="660">
        <v>43983</v>
      </c>
      <c r="E49" s="267">
        <v>0</v>
      </c>
      <c r="F49" s="797">
        <f t="shared" si="0"/>
        <v>0</v>
      </c>
      <c r="G49" s="267">
        <v>0</v>
      </c>
      <c r="H49" s="267">
        <v>0</v>
      </c>
      <c r="I49" s="267">
        <v>0</v>
      </c>
      <c r="J49" s="267">
        <v>0</v>
      </c>
      <c r="K49" s="850"/>
      <c r="L49" s="65">
        <v>0</v>
      </c>
      <c r="M49" s="877">
        <v>0</v>
      </c>
      <c r="N49" s="777">
        <v>0</v>
      </c>
      <c r="O49" s="792">
        <f t="shared" si="1"/>
        <v>0</v>
      </c>
      <c r="P49" s="731"/>
    </row>
    <row r="50" spans="1:16" ht="12.75" customHeight="1">
      <c r="A50" s="560" t="s">
        <v>159</v>
      </c>
      <c r="B50" s="660">
        <v>43952</v>
      </c>
      <c r="C50" s="656">
        <v>0</v>
      </c>
      <c r="D50" s="660">
        <v>43983</v>
      </c>
      <c r="E50" s="267">
        <v>0</v>
      </c>
      <c r="F50" s="797">
        <f t="shared" si="0"/>
        <v>0</v>
      </c>
      <c r="G50" s="267">
        <v>0</v>
      </c>
      <c r="H50" s="267">
        <v>0</v>
      </c>
      <c r="I50" s="267">
        <v>0</v>
      </c>
      <c r="J50" s="267">
        <v>0</v>
      </c>
      <c r="L50" s="65">
        <v>0</v>
      </c>
      <c r="M50" s="877">
        <v>0</v>
      </c>
      <c r="N50" s="777">
        <v>0</v>
      </c>
      <c r="O50" s="792">
        <f t="shared" si="1"/>
        <v>0</v>
      </c>
      <c r="P50" s="731"/>
    </row>
    <row r="51" spans="1:16" ht="12.75" customHeight="1">
      <c r="A51" s="560" t="s">
        <v>158</v>
      </c>
      <c r="B51" s="660">
        <v>43952</v>
      </c>
      <c r="C51" s="656">
        <v>0</v>
      </c>
      <c r="D51" s="660">
        <v>43983</v>
      </c>
      <c r="E51" s="267">
        <v>0</v>
      </c>
      <c r="F51" s="797">
        <f t="shared" si="0"/>
        <v>0</v>
      </c>
      <c r="G51" s="267">
        <v>0</v>
      </c>
      <c r="H51" s="267">
        <v>0</v>
      </c>
      <c r="I51" s="267">
        <v>0</v>
      </c>
      <c r="J51" s="267">
        <v>0</v>
      </c>
      <c r="L51" s="65">
        <v>0</v>
      </c>
      <c r="M51" s="877">
        <v>0</v>
      </c>
      <c r="N51" s="777">
        <v>0</v>
      </c>
      <c r="O51" s="792">
        <f t="shared" si="1"/>
        <v>0</v>
      </c>
      <c r="P51" s="731"/>
    </row>
    <row r="52" spans="1:16" ht="12.75" customHeight="1">
      <c r="A52" s="560" t="s">
        <v>157</v>
      </c>
      <c r="B52" s="660">
        <v>43952</v>
      </c>
      <c r="C52" s="656">
        <v>0</v>
      </c>
      <c r="D52" s="660">
        <v>43983</v>
      </c>
      <c r="E52" s="267">
        <v>0</v>
      </c>
      <c r="F52" s="797">
        <f t="shared" si="0"/>
        <v>0</v>
      </c>
      <c r="G52" s="267">
        <v>0</v>
      </c>
      <c r="H52" s="267">
        <v>0</v>
      </c>
      <c r="I52" s="267">
        <v>0</v>
      </c>
      <c r="J52" s="267">
        <v>0</v>
      </c>
      <c r="L52" s="65">
        <v>0</v>
      </c>
      <c r="M52" s="877">
        <v>0</v>
      </c>
      <c r="N52" s="777">
        <v>0</v>
      </c>
      <c r="O52" s="792">
        <f t="shared" si="1"/>
        <v>0</v>
      </c>
      <c r="P52" s="731"/>
    </row>
    <row r="53" spans="1:16" ht="12.75" customHeight="1">
      <c r="A53" s="560" t="s">
        <v>156</v>
      </c>
      <c r="B53" s="660">
        <v>43952</v>
      </c>
      <c r="C53" s="656">
        <v>0</v>
      </c>
      <c r="D53" s="660">
        <v>43983</v>
      </c>
      <c r="E53" s="267">
        <v>0</v>
      </c>
      <c r="F53" s="797">
        <f t="shared" si="0"/>
        <v>0</v>
      </c>
      <c r="G53" s="267">
        <v>0</v>
      </c>
      <c r="H53" s="267">
        <v>0</v>
      </c>
      <c r="I53" s="267">
        <v>0</v>
      </c>
      <c r="J53" s="267">
        <v>0</v>
      </c>
      <c r="L53" s="65">
        <v>0</v>
      </c>
      <c r="M53" s="877">
        <v>0</v>
      </c>
      <c r="N53" s="777">
        <v>0</v>
      </c>
      <c r="O53" s="792">
        <f t="shared" si="1"/>
        <v>0</v>
      </c>
      <c r="P53" s="731"/>
    </row>
    <row r="54" spans="1:16" ht="12.75" customHeight="1">
      <c r="A54" s="560" t="s">
        <v>155</v>
      </c>
      <c r="B54" s="660">
        <v>43952</v>
      </c>
      <c r="C54" s="656">
        <v>0</v>
      </c>
      <c r="D54" s="660">
        <v>43983</v>
      </c>
      <c r="E54" s="267">
        <v>0</v>
      </c>
      <c r="F54" s="797">
        <f t="shared" si="0"/>
        <v>0</v>
      </c>
      <c r="G54" s="267">
        <v>0</v>
      </c>
      <c r="H54" s="267">
        <v>0</v>
      </c>
      <c r="I54" s="267">
        <v>0</v>
      </c>
      <c r="J54" s="267">
        <v>0</v>
      </c>
      <c r="L54" s="65">
        <v>0</v>
      </c>
      <c r="M54" s="877">
        <v>0</v>
      </c>
      <c r="N54" s="777">
        <v>0</v>
      </c>
      <c r="O54" s="792">
        <f t="shared" si="1"/>
        <v>0</v>
      </c>
      <c r="P54" s="731"/>
    </row>
    <row r="55" spans="1:16" ht="12.75" customHeight="1" thickBot="1">
      <c r="A55" s="752" t="s">
        <v>154</v>
      </c>
      <c r="B55" s="863">
        <v>43952</v>
      </c>
      <c r="C55" s="893">
        <v>0</v>
      </c>
      <c r="D55" s="863">
        <v>43983</v>
      </c>
      <c r="E55" s="753">
        <v>0</v>
      </c>
      <c r="F55" s="806">
        <f t="shared" si="0"/>
        <v>0</v>
      </c>
      <c r="G55" s="753">
        <v>0</v>
      </c>
      <c r="H55" s="753">
        <v>0</v>
      </c>
      <c r="I55" s="753">
        <v>0</v>
      </c>
      <c r="J55" s="753">
        <v>0</v>
      </c>
      <c r="L55" s="779">
        <v>0</v>
      </c>
      <c r="M55" s="799">
        <v>0</v>
      </c>
      <c r="N55" s="798">
        <v>0</v>
      </c>
      <c r="O55" s="794">
        <f t="shared" si="1"/>
        <v>0</v>
      </c>
      <c r="P55" s="731"/>
    </row>
    <row r="56" spans="1:16" ht="12.75" customHeight="1">
      <c r="A56" s="892" t="s">
        <v>171</v>
      </c>
      <c r="B56" s="876">
        <v>43881</v>
      </c>
      <c r="C56" s="868">
        <v>1</v>
      </c>
      <c r="D56" s="876">
        <v>44013</v>
      </c>
      <c r="E56" s="592">
        <v>0</v>
      </c>
      <c r="F56" s="805">
        <f>SUM(G56:J56)</f>
        <v>0</v>
      </c>
      <c r="G56" s="592">
        <v>0</v>
      </c>
      <c r="H56" s="592">
        <v>0</v>
      </c>
      <c r="I56" s="592">
        <v>0</v>
      </c>
      <c r="J56" s="592">
        <v>0</v>
      </c>
      <c r="L56" s="781">
        <v>0</v>
      </c>
      <c r="M56" s="781">
        <v>0</v>
      </c>
      <c r="N56" s="781">
        <v>0</v>
      </c>
      <c r="O56" s="795">
        <f>SUM(L56:N56)</f>
        <v>0</v>
      </c>
      <c r="P56" s="731"/>
    </row>
    <row r="57" spans="1:16" ht="12.75" customHeight="1">
      <c r="A57" s="560" t="s">
        <v>171</v>
      </c>
      <c r="B57" s="655">
        <v>43910</v>
      </c>
      <c r="C57" s="345">
        <v>1</v>
      </c>
      <c r="D57" s="655">
        <v>44013</v>
      </c>
      <c r="E57" s="267">
        <v>0</v>
      </c>
      <c r="F57" s="797">
        <f t="shared" ref="F57:F82" si="2">SUM(G57:J57)</f>
        <v>0</v>
      </c>
      <c r="G57" s="267">
        <v>0</v>
      </c>
      <c r="H57" s="267">
        <v>0</v>
      </c>
      <c r="I57" s="267">
        <v>0</v>
      </c>
      <c r="J57" s="267">
        <v>0</v>
      </c>
      <c r="L57" s="65">
        <v>0</v>
      </c>
      <c r="M57" s="65">
        <v>0</v>
      </c>
      <c r="N57" s="65">
        <v>0</v>
      </c>
      <c r="O57" s="800">
        <f t="shared" ref="O57:O82" si="3">SUM(L57:N57)</f>
        <v>0</v>
      </c>
      <c r="P57" s="731"/>
    </row>
    <row r="58" spans="1:16" ht="12.75" customHeight="1">
      <c r="A58" s="560" t="s">
        <v>171</v>
      </c>
      <c r="B58" s="655">
        <v>43941</v>
      </c>
      <c r="C58" s="345">
        <v>1</v>
      </c>
      <c r="D58" s="655">
        <v>44013</v>
      </c>
      <c r="E58" s="267">
        <v>0</v>
      </c>
      <c r="F58" s="797">
        <f t="shared" si="2"/>
        <v>0</v>
      </c>
      <c r="G58" s="267">
        <v>0</v>
      </c>
      <c r="H58" s="267">
        <v>0</v>
      </c>
      <c r="I58" s="267">
        <v>0</v>
      </c>
      <c r="J58" s="267">
        <v>0</v>
      </c>
      <c r="L58" s="65">
        <v>0</v>
      </c>
      <c r="M58" s="65">
        <v>0</v>
      </c>
      <c r="N58" s="65">
        <v>0</v>
      </c>
      <c r="O58" s="800">
        <f t="shared" si="3"/>
        <v>0</v>
      </c>
      <c r="P58" s="731"/>
    </row>
    <row r="59" spans="1:16" ht="12.75" customHeight="1">
      <c r="A59" s="560" t="s">
        <v>171</v>
      </c>
      <c r="B59" s="655">
        <v>43983</v>
      </c>
      <c r="C59" s="656">
        <v>0</v>
      </c>
      <c r="D59" s="655">
        <v>44013</v>
      </c>
      <c r="E59" s="267">
        <v>0</v>
      </c>
      <c r="F59" s="797">
        <f t="shared" si="2"/>
        <v>0</v>
      </c>
      <c r="G59" s="267">
        <v>0</v>
      </c>
      <c r="H59" s="267">
        <v>0</v>
      </c>
      <c r="I59" s="267">
        <v>0</v>
      </c>
      <c r="J59" s="267">
        <v>0</v>
      </c>
      <c r="L59" s="65">
        <v>0</v>
      </c>
      <c r="M59" s="65">
        <v>0</v>
      </c>
      <c r="N59" s="65">
        <v>0</v>
      </c>
      <c r="O59" s="800">
        <f t="shared" si="3"/>
        <v>0</v>
      </c>
      <c r="P59" s="731"/>
    </row>
    <row r="60" spans="1:16" ht="12.75" customHeight="1">
      <c r="A60" s="565" t="s">
        <v>170</v>
      </c>
      <c r="B60" s="660">
        <v>43983</v>
      </c>
      <c r="C60" s="661">
        <v>0</v>
      </c>
      <c r="D60" s="660">
        <v>44013</v>
      </c>
      <c r="E60" s="339">
        <v>0</v>
      </c>
      <c r="F60" s="791">
        <f t="shared" si="2"/>
        <v>0</v>
      </c>
      <c r="G60" s="339">
        <v>0</v>
      </c>
      <c r="H60" s="339">
        <v>0</v>
      </c>
      <c r="I60" s="339">
        <v>0</v>
      </c>
      <c r="J60" s="339">
        <v>0</v>
      </c>
      <c r="L60" s="65">
        <v>0</v>
      </c>
      <c r="M60" s="65">
        <v>0</v>
      </c>
      <c r="N60" s="65">
        <v>0</v>
      </c>
      <c r="O60" s="792">
        <f t="shared" si="3"/>
        <v>0</v>
      </c>
      <c r="P60" s="731"/>
    </row>
    <row r="61" spans="1:16" ht="12.75" customHeight="1">
      <c r="A61" s="560" t="s">
        <v>169</v>
      </c>
      <c r="B61" s="655">
        <v>43983</v>
      </c>
      <c r="C61" s="656">
        <v>0</v>
      </c>
      <c r="D61" s="655">
        <v>44013</v>
      </c>
      <c r="E61" s="267">
        <v>0</v>
      </c>
      <c r="F61" s="797">
        <f t="shared" si="2"/>
        <v>0</v>
      </c>
      <c r="G61" s="267">
        <v>0</v>
      </c>
      <c r="H61" s="267">
        <v>0</v>
      </c>
      <c r="I61" s="267">
        <v>0</v>
      </c>
      <c r="J61" s="267">
        <v>0</v>
      </c>
      <c r="K61" s="850"/>
      <c r="L61" s="65">
        <v>0</v>
      </c>
      <c r="M61" s="877">
        <v>0</v>
      </c>
      <c r="N61" s="777">
        <v>0</v>
      </c>
      <c r="O61" s="792">
        <f t="shared" si="3"/>
        <v>0</v>
      </c>
      <c r="P61" s="731"/>
    </row>
    <row r="62" spans="1:16" ht="12.75" customHeight="1">
      <c r="A62" s="560" t="s">
        <v>168</v>
      </c>
      <c r="B62" s="655">
        <v>43983</v>
      </c>
      <c r="C62" s="656">
        <v>0</v>
      </c>
      <c r="D62" s="655">
        <v>44013</v>
      </c>
      <c r="E62" s="267">
        <v>0</v>
      </c>
      <c r="F62" s="797">
        <f t="shared" si="2"/>
        <v>0</v>
      </c>
      <c r="G62" s="267">
        <v>0</v>
      </c>
      <c r="H62" s="267">
        <v>0</v>
      </c>
      <c r="I62" s="267">
        <v>0</v>
      </c>
      <c r="J62" s="267">
        <v>0</v>
      </c>
      <c r="L62" s="65">
        <v>0</v>
      </c>
      <c r="M62" s="877">
        <v>0</v>
      </c>
      <c r="N62" s="777">
        <v>0</v>
      </c>
      <c r="O62" s="792">
        <f t="shared" si="3"/>
        <v>0</v>
      </c>
      <c r="P62" s="731"/>
    </row>
    <row r="63" spans="1:16" ht="12.75" customHeight="1">
      <c r="A63" s="560" t="s">
        <v>167</v>
      </c>
      <c r="B63" s="655">
        <v>43983</v>
      </c>
      <c r="C63" s="656">
        <v>0</v>
      </c>
      <c r="D63" s="655">
        <v>44013</v>
      </c>
      <c r="E63" s="267">
        <v>0</v>
      </c>
      <c r="F63" s="797">
        <f t="shared" si="2"/>
        <v>0</v>
      </c>
      <c r="G63" s="267">
        <v>0</v>
      </c>
      <c r="H63" s="267">
        <v>0</v>
      </c>
      <c r="I63" s="267">
        <v>0</v>
      </c>
      <c r="J63" s="267">
        <v>0</v>
      </c>
      <c r="L63" s="65">
        <v>0</v>
      </c>
      <c r="M63" s="877">
        <v>0</v>
      </c>
      <c r="N63" s="777">
        <v>0</v>
      </c>
      <c r="O63" s="792">
        <f t="shared" si="3"/>
        <v>0</v>
      </c>
      <c r="P63" s="731"/>
    </row>
    <row r="64" spans="1:16" ht="12.75" customHeight="1">
      <c r="A64" s="560" t="s">
        <v>166</v>
      </c>
      <c r="B64" s="655">
        <v>43983</v>
      </c>
      <c r="C64" s="656">
        <v>0</v>
      </c>
      <c r="D64" s="655">
        <v>44013</v>
      </c>
      <c r="E64" s="267">
        <v>0</v>
      </c>
      <c r="F64" s="797">
        <f t="shared" si="2"/>
        <v>0</v>
      </c>
      <c r="G64" s="267">
        <v>0</v>
      </c>
      <c r="H64" s="267">
        <v>0</v>
      </c>
      <c r="I64" s="267">
        <v>0</v>
      </c>
      <c r="J64" s="267">
        <v>0</v>
      </c>
      <c r="L64" s="65">
        <v>0</v>
      </c>
      <c r="M64" s="877">
        <v>0</v>
      </c>
      <c r="N64" s="777">
        <v>0</v>
      </c>
      <c r="O64" s="792">
        <f t="shared" si="3"/>
        <v>0</v>
      </c>
      <c r="P64" s="731"/>
    </row>
    <row r="65" spans="1:16" ht="12.75" customHeight="1">
      <c r="A65" s="560" t="s">
        <v>11</v>
      </c>
      <c r="B65" s="655">
        <v>43983</v>
      </c>
      <c r="C65" s="656">
        <v>0</v>
      </c>
      <c r="D65" s="655">
        <v>44013</v>
      </c>
      <c r="E65" s="267">
        <v>0</v>
      </c>
      <c r="F65" s="797">
        <f t="shared" si="2"/>
        <v>0</v>
      </c>
      <c r="G65" s="267">
        <v>0</v>
      </c>
      <c r="H65" s="267">
        <v>0</v>
      </c>
      <c r="I65" s="267">
        <v>0</v>
      </c>
      <c r="J65" s="267">
        <v>0</v>
      </c>
      <c r="L65" s="65">
        <v>0</v>
      </c>
      <c r="M65" s="877">
        <v>0</v>
      </c>
      <c r="N65" s="777">
        <v>0</v>
      </c>
      <c r="O65" s="792">
        <f t="shared" si="3"/>
        <v>0</v>
      </c>
      <c r="P65" s="731"/>
    </row>
    <row r="66" spans="1:16" ht="12.75" customHeight="1">
      <c r="A66" s="560" t="s">
        <v>165</v>
      </c>
      <c r="B66" s="655">
        <v>43983</v>
      </c>
      <c r="C66" s="656">
        <v>0</v>
      </c>
      <c r="D66" s="655">
        <v>44013</v>
      </c>
      <c r="E66" s="267">
        <v>0</v>
      </c>
      <c r="F66" s="797">
        <f t="shared" si="2"/>
        <v>0</v>
      </c>
      <c r="G66" s="267">
        <v>0</v>
      </c>
      <c r="H66" s="267">
        <v>0</v>
      </c>
      <c r="I66" s="267">
        <v>0</v>
      </c>
      <c r="J66" s="267">
        <v>0</v>
      </c>
      <c r="L66" s="65">
        <v>0</v>
      </c>
      <c r="M66" s="877">
        <v>0</v>
      </c>
      <c r="N66" s="777">
        <v>0</v>
      </c>
      <c r="O66" s="792">
        <f t="shared" si="3"/>
        <v>0</v>
      </c>
      <c r="P66" s="731"/>
    </row>
    <row r="67" spans="1:16" ht="12.75" customHeight="1">
      <c r="A67" s="560" t="s">
        <v>164</v>
      </c>
      <c r="B67" s="655">
        <v>43739</v>
      </c>
      <c r="C67" s="345">
        <v>2</v>
      </c>
      <c r="D67" s="655">
        <v>44013</v>
      </c>
      <c r="E67" s="267">
        <v>0</v>
      </c>
      <c r="F67" s="797">
        <f t="shared" si="2"/>
        <v>0</v>
      </c>
      <c r="G67" s="267">
        <v>0</v>
      </c>
      <c r="H67" s="267">
        <v>0</v>
      </c>
      <c r="I67" s="267">
        <v>0</v>
      </c>
      <c r="J67" s="267">
        <v>0</v>
      </c>
      <c r="L67" s="65">
        <v>0</v>
      </c>
      <c r="M67" s="877">
        <v>0</v>
      </c>
      <c r="N67" s="777">
        <v>0</v>
      </c>
      <c r="O67" s="792">
        <f t="shared" si="3"/>
        <v>0</v>
      </c>
      <c r="P67" s="731"/>
    </row>
    <row r="68" spans="1:16" ht="12.75" customHeight="1">
      <c r="A68" s="560" t="s">
        <v>164</v>
      </c>
      <c r="B68" s="655">
        <v>43862</v>
      </c>
      <c r="C68" s="345">
        <v>1</v>
      </c>
      <c r="D68" s="655">
        <v>44013</v>
      </c>
      <c r="E68" s="267">
        <v>0</v>
      </c>
      <c r="F68" s="797">
        <f t="shared" si="2"/>
        <v>0</v>
      </c>
      <c r="G68" s="267">
        <v>0</v>
      </c>
      <c r="H68" s="267">
        <v>0</v>
      </c>
      <c r="I68" s="267">
        <v>0</v>
      </c>
      <c r="J68" s="267">
        <v>0</v>
      </c>
      <c r="L68" s="65">
        <v>0</v>
      </c>
      <c r="M68" s="877">
        <v>0</v>
      </c>
      <c r="N68" s="777">
        <v>0</v>
      </c>
      <c r="O68" s="792">
        <f t="shared" si="3"/>
        <v>0</v>
      </c>
      <c r="P68" s="731"/>
    </row>
    <row r="69" spans="1:16" ht="12.75" customHeight="1">
      <c r="A69" s="560" t="s">
        <v>164</v>
      </c>
      <c r="B69" s="655">
        <v>43922</v>
      </c>
      <c r="C69" s="345">
        <v>1</v>
      </c>
      <c r="D69" s="655">
        <v>44013</v>
      </c>
      <c r="E69" s="267">
        <v>0</v>
      </c>
      <c r="F69" s="797">
        <f t="shared" si="2"/>
        <v>0</v>
      </c>
      <c r="G69" s="267">
        <v>0</v>
      </c>
      <c r="H69" s="267">
        <v>0</v>
      </c>
      <c r="I69" s="267">
        <v>0</v>
      </c>
      <c r="J69" s="267">
        <v>0</v>
      </c>
      <c r="L69" s="65">
        <v>0</v>
      </c>
      <c r="M69" s="877">
        <v>0</v>
      </c>
      <c r="N69" s="777">
        <v>0</v>
      </c>
      <c r="O69" s="792">
        <f t="shared" si="3"/>
        <v>0</v>
      </c>
      <c r="P69" s="731"/>
    </row>
    <row r="70" spans="1:16" ht="12.75" customHeight="1">
      <c r="A70" s="560" t="s">
        <v>164</v>
      </c>
      <c r="B70" s="655">
        <v>43952</v>
      </c>
      <c r="C70" s="345">
        <v>1</v>
      </c>
      <c r="D70" s="655">
        <v>44013</v>
      </c>
      <c r="E70" s="267">
        <v>0</v>
      </c>
      <c r="F70" s="797">
        <f t="shared" si="2"/>
        <v>0</v>
      </c>
      <c r="G70" s="267">
        <v>0</v>
      </c>
      <c r="H70" s="267">
        <v>0</v>
      </c>
      <c r="I70" s="267">
        <v>0</v>
      </c>
      <c r="J70" s="267">
        <v>0</v>
      </c>
      <c r="L70" s="65">
        <v>0</v>
      </c>
      <c r="M70" s="877">
        <v>0</v>
      </c>
      <c r="N70" s="777">
        <v>0</v>
      </c>
      <c r="O70" s="792">
        <f t="shared" si="3"/>
        <v>0</v>
      </c>
      <c r="P70" s="731"/>
    </row>
    <row r="71" spans="1:16" ht="12.75" customHeight="1">
      <c r="A71" s="560" t="s">
        <v>164</v>
      </c>
      <c r="B71" s="655">
        <v>43983</v>
      </c>
      <c r="C71" s="656">
        <v>0</v>
      </c>
      <c r="D71" s="655">
        <v>44013</v>
      </c>
      <c r="E71" s="267">
        <v>0</v>
      </c>
      <c r="F71" s="797">
        <f t="shared" si="2"/>
        <v>0</v>
      </c>
      <c r="G71" s="267">
        <v>0</v>
      </c>
      <c r="H71" s="267">
        <v>0</v>
      </c>
      <c r="I71" s="267">
        <v>0</v>
      </c>
      <c r="J71" s="267">
        <v>0</v>
      </c>
      <c r="L71" s="65">
        <v>0</v>
      </c>
      <c r="M71" s="877">
        <v>0</v>
      </c>
      <c r="N71" s="777">
        <v>0</v>
      </c>
      <c r="O71" s="792">
        <f t="shared" si="3"/>
        <v>0</v>
      </c>
      <c r="P71" s="731"/>
    </row>
    <row r="72" spans="1:16" ht="12.75" customHeight="1">
      <c r="A72" s="560" t="s">
        <v>163</v>
      </c>
      <c r="B72" s="655">
        <v>43983</v>
      </c>
      <c r="C72" s="656">
        <v>0</v>
      </c>
      <c r="D72" s="655">
        <v>44013</v>
      </c>
      <c r="E72" s="267">
        <v>0</v>
      </c>
      <c r="F72" s="797">
        <f t="shared" si="2"/>
        <v>0</v>
      </c>
      <c r="G72" s="267">
        <v>0</v>
      </c>
      <c r="H72" s="267">
        <v>0</v>
      </c>
      <c r="I72" s="267">
        <v>0</v>
      </c>
      <c r="J72" s="267">
        <v>0</v>
      </c>
      <c r="K72" s="850"/>
      <c r="L72" s="65">
        <v>0</v>
      </c>
      <c r="M72" s="877">
        <v>0</v>
      </c>
      <c r="N72" s="777">
        <v>0</v>
      </c>
      <c r="O72" s="792">
        <f t="shared" si="3"/>
        <v>0</v>
      </c>
      <c r="P72" s="731"/>
    </row>
    <row r="73" spans="1:16" ht="12.75" customHeight="1">
      <c r="A73" s="560" t="s">
        <v>162</v>
      </c>
      <c r="B73" s="655">
        <v>43983</v>
      </c>
      <c r="C73" s="656">
        <v>0</v>
      </c>
      <c r="D73" s="655">
        <v>44013</v>
      </c>
      <c r="E73" s="267">
        <v>0</v>
      </c>
      <c r="F73" s="797">
        <f t="shared" si="2"/>
        <v>0</v>
      </c>
      <c r="G73" s="267">
        <v>0</v>
      </c>
      <c r="H73" s="267">
        <v>0</v>
      </c>
      <c r="I73" s="267">
        <v>0</v>
      </c>
      <c r="J73" s="267">
        <v>0</v>
      </c>
      <c r="K73" s="850"/>
      <c r="L73" s="65">
        <v>0</v>
      </c>
      <c r="M73" s="877">
        <v>0</v>
      </c>
      <c r="N73" s="777">
        <v>0</v>
      </c>
      <c r="O73" s="792">
        <f t="shared" si="3"/>
        <v>0</v>
      </c>
      <c r="P73" s="731"/>
    </row>
    <row r="74" spans="1:16" ht="12.75" customHeight="1">
      <c r="A74" s="560" t="s">
        <v>161</v>
      </c>
      <c r="B74" s="655">
        <v>43983</v>
      </c>
      <c r="C74" s="656">
        <v>0</v>
      </c>
      <c r="D74" s="655">
        <v>44013</v>
      </c>
      <c r="E74" s="267">
        <v>0</v>
      </c>
      <c r="F74" s="797">
        <f t="shared" si="2"/>
        <v>0</v>
      </c>
      <c r="G74" s="267">
        <v>0</v>
      </c>
      <c r="H74" s="267">
        <v>0</v>
      </c>
      <c r="I74" s="267">
        <v>0</v>
      </c>
      <c r="J74" s="267">
        <v>0</v>
      </c>
      <c r="L74" s="65">
        <v>0</v>
      </c>
      <c r="M74" s="877">
        <v>0</v>
      </c>
      <c r="N74" s="777">
        <v>0</v>
      </c>
      <c r="O74" s="792">
        <f t="shared" si="3"/>
        <v>0</v>
      </c>
      <c r="P74" s="731"/>
    </row>
    <row r="75" spans="1:16" ht="12.75" customHeight="1">
      <c r="A75" s="560" t="s">
        <v>160</v>
      </c>
      <c r="B75" s="655">
        <v>43983</v>
      </c>
      <c r="C75" s="656">
        <v>0</v>
      </c>
      <c r="D75" s="655">
        <v>44013</v>
      </c>
      <c r="E75" s="267">
        <v>0</v>
      </c>
      <c r="F75" s="797">
        <f>SUM(G75:J75)</f>
        <v>0</v>
      </c>
      <c r="G75" s="267">
        <v>0</v>
      </c>
      <c r="H75" s="267">
        <v>0</v>
      </c>
      <c r="I75" s="267">
        <v>0</v>
      </c>
      <c r="J75" s="267">
        <v>0</v>
      </c>
      <c r="L75" s="65">
        <v>0</v>
      </c>
      <c r="M75" s="877">
        <v>0</v>
      </c>
      <c r="N75" s="777">
        <v>0</v>
      </c>
      <c r="O75" s="792">
        <f>SUM(L75:N75)</f>
        <v>0</v>
      </c>
      <c r="P75" s="731"/>
    </row>
    <row r="76" spans="1:16" ht="12.75" customHeight="1">
      <c r="A76" s="560" t="s">
        <v>159</v>
      </c>
      <c r="B76" s="655">
        <v>43983</v>
      </c>
      <c r="C76" s="656">
        <v>0</v>
      </c>
      <c r="D76" s="655">
        <v>44013</v>
      </c>
      <c r="E76" s="267">
        <v>0</v>
      </c>
      <c r="F76" s="797">
        <f t="shared" si="2"/>
        <v>0</v>
      </c>
      <c r="G76" s="267">
        <v>0</v>
      </c>
      <c r="H76" s="267">
        <v>0</v>
      </c>
      <c r="I76" s="267">
        <v>0</v>
      </c>
      <c r="J76" s="267">
        <v>0</v>
      </c>
      <c r="L76" s="65">
        <v>0</v>
      </c>
      <c r="M76" s="877">
        <v>0</v>
      </c>
      <c r="N76" s="777">
        <v>0</v>
      </c>
      <c r="O76" s="792">
        <f t="shared" si="3"/>
        <v>0</v>
      </c>
      <c r="P76" s="731"/>
    </row>
    <row r="77" spans="1:16" ht="12.75" customHeight="1">
      <c r="A77" s="560" t="s">
        <v>158</v>
      </c>
      <c r="B77" s="655">
        <v>43983</v>
      </c>
      <c r="C77" s="656">
        <v>0</v>
      </c>
      <c r="D77" s="655">
        <v>44013</v>
      </c>
      <c r="E77" s="267">
        <v>0</v>
      </c>
      <c r="F77" s="797">
        <f t="shared" si="2"/>
        <v>0</v>
      </c>
      <c r="G77" s="267">
        <v>0</v>
      </c>
      <c r="H77" s="267">
        <v>0</v>
      </c>
      <c r="I77" s="267">
        <v>0</v>
      </c>
      <c r="J77" s="267">
        <v>0</v>
      </c>
      <c r="L77" s="65">
        <v>0</v>
      </c>
      <c r="M77" s="877">
        <v>0</v>
      </c>
      <c r="N77" s="777">
        <v>0</v>
      </c>
      <c r="O77" s="792">
        <f t="shared" si="3"/>
        <v>0</v>
      </c>
      <c r="P77" s="731"/>
    </row>
    <row r="78" spans="1:16" ht="12.75" customHeight="1">
      <c r="A78" s="560" t="s">
        <v>157</v>
      </c>
      <c r="B78" s="655">
        <v>43983</v>
      </c>
      <c r="C78" s="656">
        <v>0</v>
      </c>
      <c r="D78" s="655">
        <v>44013</v>
      </c>
      <c r="E78" s="267">
        <v>0</v>
      </c>
      <c r="F78" s="797">
        <f t="shared" si="2"/>
        <v>0</v>
      </c>
      <c r="G78" s="267">
        <v>0</v>
      </c>
      <c r="H78" s="267">
        <v>0</v>
      </c>
      <c r="I78" s="267">
        <v>0</v>
      </c>
      <c r="J78" s="267">
        <v>0</v>
      </c>
      <c r="L78" s="65">
        <v>0</v>
      </c>
      <c r="M78" s="877">
        <v>0</v>
      </c>
      <c r="N78" s="777">
        <v>0</v>
      </c>
      <c r="O78" s="792">
        <f t="shared" si="3"/>
        <v>0</v>
      </c>
      <c r="P78" s="731"/>
    </row>
    <row r="79" spans="1:16" ht="12.75" customHeight="1">
      <c r="A79" s="560" t="s">
        <v>156</v>
      </c>
      <c r="B79" s="655">
        <v>43983</v>
      </c>
      <c r="C79" s="656">
        <v>0</v>
      </c>
      <c r="D79" s="655">
        <v>44013</v>
      </c>
      <c r="E79" s="267">
        <v>0</v>
      </c>
      <c r="F79" s="797">
        <f t="shared" si="2"/>
        <v>0</v>
      </c>
      <c r="G79" s="267">
        <v>0</v>
      </c>
      <c r="H79" s="267">
        <v>0</v>
      </c>
      <c r="I79" s="267">
        <v>0</v>
      </c>
      <c r="J79" s="267">
        <v>0</v>
      </c>
      <c r="L79" s="65">
        <v>0</v>
      </c>
      <c r="M79" s="877">
        <v>0</v>
      </c>
      <c r="N79" s="777">
        <v>0</v>
      </c>
      <c r="O79" s="792">
        <f t="shared" si="3"/>
        <v>0</v>
      </c>
      <c r="P79" s="731"/>
    </row>
    <row r="80" spans="1:16" ht="12.75" customHeight="1">
      <c r="A80" s="560" t="s">
        <v>155</v>
      </c>
      <c r="B80" s="655">
        <v>43983</v>
      </c>
      <c r="C80" s="656">
        <v>0</v>
      </c>
      <c r="D80" s="655">
        <v>44013</v>
      </c>
      <c r="E80" s="267">
        <v>0</v>
      </c>
      <c r="F80" s="797">
        <f t="shared" si="2"/>
        <v>0</v>
      </c>
      <c r="G80" s="267">
        <v>0</v>
      </c>
      <c r="H80" s="267">
        <v>0</v>
      </c>
      <c r="I80" s="267">
        <v>0</v>
      </c>
      <c r="J80" s="267">
        <v>0</v>
      </c>
      <c r="L80" s="65">
        <v>0</v>
      </c>
      <c r="M80" s="877">
        <v>0</v>
      </c>
      <c r="N80" s="777">
        <v>0</v>
      </c>
      <c r="O80" s="792">
        <f t="shared" si="3"/>
        <v>0</v>
      </c>
      <c r="P80" s="731"/>
    </row>
    <row r="81" spans="1:16" ht="12.75" customHeight="1" thickBot="1">
      <c r="A81" s="752" t="s">
        <v>154</v>
      </c>
      <c r="B81" s="655">
        <v>43952</v>
      </c>
      <c r="C81" s="345">
        <v>1</v>
      </c>
      <c r="D81" s="655">
        <v>44013</v>
      </c>
      <c r="E81" s="340">
        <v>0</v>
      </c>
      <c r="F81" s="793">
        <f t="shared" si="2"/>
        <v>0</v>
      </c>
      <c r="G81" s="340">
        <v>0</v>
      </c>
      <c r="H81" s="340">
        <v>0</v>
      </c>
      <c r="I81" s="340">
        <v>0</v>
      </c>
      <c r="J81" s="340">
        <v>0</v>
      </c>
      <c r="L81" s="65">
        <v>0</v>
      </c>
      <c r="M81" s="799">
        <v>0</v>
      </c>
      <c r="N81" s="798">
        <v>0</v>
      </c>
      <c r="O81" s="794">
        <f t="shared" si="3"/>
        <v>0</v>
      </c>
      <c r="P81" s="731"/>
    </row>
    <row r="82" spans="1:16" ht="12.75" customHeight="1" thickBot="1">
      <c r="A82" s="657" t="s">
        <v>154</v>
      </c>
      <c r="B82" s="655">
        <v>43983</v>
      </c>
      <c r="C82" s="656">
        <v>0</v>
      </c>
      <c r="D82" s="655">
        <v>44013</v>
      </c>
      <c r="E82" s="340">
        <v>0</v>
      </c>
      <c r="F82" s="793">
        <f t="shared" si="2"/>
        <v>0</v>
      </c>
      <c r="G82" s="340">
        <v>0</v>
      </c>
      <c r="H82" s="340">
        <v>0</v>
      </c>
      <c r="I82" s="340">
        <v>0</v>
      </c>
      <c r="J82" s="340">
        <v>0</v>
      </c>
      <c r="L82" s="65">
        <v>0</v>
      </c>
      <c r="M82" s="799">
        <v>0</v>
      </c>
      <c r="N82" s="798">
        <v>0</v>
      </c>
      <c r="O82" s="794">
        <f t="shared" si="3"/>
        <v>0</v>
      </c>
      <c r="P82" s="731"/>
    </row>
    <row r="83" spans="1:16" ht="3.65" customHeight="1">
      <c r="A83" s="662"/>
      <c r="B83" s="663"/>
      <c r="C83" s="664"/>
      <c r="D83" s="665"/>
      <c r="E83" s="666"/>
      <c r="F83" s="666"/>
      <c r="G83" s="666"/>
      <c r="H83" s="666"/>
      <c r="I83" s="666"/>
      <c r="J83" s="667"/>
      <c r="L83" s="726"/>
      <c r="M83" s="727"/>
      <c r="N83" s="727"/>
      <c r="O83" s="727"/>
    </row>
    <row r="84" spans="1:16">
      <c r="A84" s="784" t="s">
        <v>59</v>
      </c>
      <c r="B84" s="784"/>
      <c r="C84" s="65"/>
      <c r="D84" s="655">
        <v>43971</v>
      </c>
      <c r="E84" s="65">
        <f t="shared" ref="E84:J84" si="4">SUM(E4:E29)</f>
        <v>0</v>
      </c>
      <c r="F84" s="65">
        <f t="shared" si="4"/>
        <v>0</v>
      </c>
      <c r="G84" s="65">
        <f t="shared" si="4"/>
        <v>0</v>
      </c>
      <c r="H84" s="65">
        <f t="shared" si="4"/>
        <v>0</v>
      </c>
      <c r="I84" s="65">
        <f t="shared" si="4"/>
        <v>0</v>
      </c>
      <c r="J84" s="65">
        <f t="shared" si="4"/>
        <v>0</v>
      </c>
      <c r="L84" s="65">
        <f>SUM(L4:L29)</f>
        <v>0</v>
      </c>
      <c r="M84" s="65">
        <f>SUM(M4:M29)</f>
        <v>0</v>
      </c>
      <c r="N84" s="65">
        <f>SUM(N4:N29)</f>
        <v>0</v>
      </c>
      <c r="O84" s="65">
        <f>SUM(O4:O29)</f>
        <v>0</v>
      </c>
      <c r="P84" s="731"/>
    </row>
    <row r="85" spans="1:16">
      <c r="A85" s="784" t="s">
        <v>59</v>
      </c>
      <c r="B85" s="785"/>
      <c r="C85" s="65"/>
      <c r="D85" s="655">
        <v>44002</v>
      </c>
      <c r="E85" s="65">
        <f t="shared" ref="E85:J85" si="5">SUM(E30:E55)</f>
        <v>261278</v>
      </c>
      <c r="F85" s="65">
        <f t="shared" si="5"/>
        <v>261278</v>
      </c>
      <c r="G85" s="65">
        <f t="shared" si="5"/>
        <v>130639</v>
      </c>
      <c r="H85" s="65">
        <f t="shared" si="5"/>
        <v>91447</v>
      </c>
      <c r="I85" s="65">
        <f t="shared" si="5"/>
        <v>0</v>
      </c>
      <c r="J85" s="65">
        <f t="shared" si="5"/>
        <v>39192</v>
      </c>
      <c r="L85" s="65">
        <f>SUM(L30:L55)</f>
        <v>39192</v>
      </c>
      <c r="M85" s="65">
        <f>SUM(M30:M55)</f>
        <v>0</v>
      </c>
      <c r="N85" s="65">
        <f>SUM(N30:N55)</f>
        <v>0</v>
      </c>
      <c r="O85" s="65">
        <f>SUM(O30:O55)</f>
        <v>39192</v>
      </c>
      <c r="P85" s="731"/>
    </row>
    <row r="86" spans="1:16" ht="13" thickBot="1">
      <c r="A86" s="786" t="s">
        <v>59</v>
      </c>
      <c r="B86" s="787"/>
      <c r="C86" s="668"/>
      <c r="D86" s="658">
        <v>44032</v>
      </c>
      <c r="E86" s="668">
        <f t="shared" ref="E86:J86" si="6">SUM(E56:E82)</f>
        <v>0</v>
      </c>
      <c r="F86" s="668">
        <f t="shared" si="6"/>
        <v>0</v>
      </c>
      <c r="G86" s="668">
        <f t="shared" si="6"/>
        <v>0</v>
      </c>
      <c r="H86" s="668">
        <f t="shared" si="6"/>
        <v>0</v>
      </c>
      <c r="I86" s="668">
        <f t="shared" si="6"/>
        <v>0</v>
      </c>
      <c r="J86" s="668">
        <f t="shared" si="6"/>
        <v>0</v>
      </c>
      <c r="L86" s="668">
        <f>SUM(L56:L82)</f>
        <v>0</v>
      </c>
      <c r="M86" s="668">
        <f>SUM(M56:M82)</f>
        <v>0</v>
      </c>
      <c r="N86" s="668">
        <f>SUM(N56:N82)</f>
        <v>0</v>
      </c>
      <c r="O86" s="668">
        <f>SUM(O56:O82)</f>
        <v>0</v>
      </c>
      <c r="P86" s="731"/>
    </row>
    <row r="87" spans="1:16" ht="13" thickBot="1">
      <c r="A87" s="670" t="s">
        <v>58</v>
      </c>
      <c r="B87" s="671"/>
      <c r="C87" s="668"/>
      <c r="D87" s="671"/>
      <c r="E87" s="668">
        <f t="shared" ref="E87:J87" si="7">SUM(E84:E86)</f>
        <v>261278</v>
      </c>
      <c r="F87" s="668">
        <f t="shared" si="7"/>
        <v>261278</v>
      </c>
      <c r="G87" s="668">
        <f t="shared" si="7"/>
        <v>130639</v>
      </c>
      <c r="H87" s="668">
        <f t="shared" si="7"/>
        <v>91447</v>
      </c>
      <c r="I87" s="668">
        <f t="shared" si="7"/>
        <v>0</v>
      </c>
      <c r="J87" s="668">
        <f t="shared" si="7"/>
        <v>39192</v>
      </c>
      <c r="K87" s="12"/>
      <c r="L87" s="668">
        <f t="shared" ref="L87:O87" si="8">SUM(L84:L86)</f>
        <v>39192</v>
      </c>
      <c r="M87" s="668">
        <f t="shared" si="8"/>
        <v>0</v>
      </c>
      <c r="N87" s="668">
        <f t="shared" si="8"/>
        <v>0</v>
      </c>
      <c r="O87" s="668">
        <f t="shared" si="8"/>
        <v>39192</v>
      </c>
    </row>
    <row r="88" spans="1:16">
      <c r="A88" s="58" t="s">
        <v>57</v>
      </c>
      <c r="B88" s="655"/>
      <c r="C88" s="655"/>
      <c r="D88" s="655"/>
      <c r="E88" s="65"/>
      <c r="F88" s="65"/>
      <c r="G88" s="65">
        <v>0</v>
      </c>
      <c r="H88" s="65">
        <v>0</v>
      </c>
      <c r="I88" s="65">
        <v>0</v>
      </c>
      <c r="J88" s="65">
        <v>0</v>
      </c>
      <c r="K88" s="12"/>
      <c r="L88" s="777">
        <v>0</v>
      </c>
      <c r="M88" s="777">
        <v>0</v>
      </c>
      <c r="N88" s="777">
        <v>0</v>
      </c>
      <c r="O88" s="777">
        <v>0</v>
      </c>
    </row>
    <row r="89" spans="1:16" ht="3" customHeight="1">
      <c r="A89" s="672"/>
      <c r="B89" s="673"/>
      <c r="C89" s="674"/>
      <c r="D89" s="674"/>
      <c r="E89" s="674"/>
      <c r="F89" s="674"/>
      <c r="G89" s="674"/>
      <c r="H89" s="674"/>
      <c r="I89" s="674"/>
      <c r="J89" s="869"/>
      <c r="L89" s="789"/>
      <c r="M89" s="674"/>
      <c r="N89" s="674"/>
      <c r="O89" s="674"/>
    </row>
    <row r="90" spans="1:16" ht="13">
      <c r="A90" s="16" t="s">
        <v>48</v>
      </c>
      <c r="B90" s="105" t="s">
        <v>303</v>
      </c>
      <c r="C90" s="62"/>
      <c r="D90" s="62"/>
      <c r="E90" s="62">
        <f t="shared" ref="E90:O90" si="9">SUM(E87:E88)</f>
        <v>261278</v>
      </c>
      <c r="F90" s="62">
        <f t="shared" si="9"/>
        <v>261278</v>
      </c>
      <c r="G90" s="62">
        <f t="shared" si="9"/>
        <v>130639</v>
      </c>
      <c r="H90" s="62">
        <f t="shared" si="9"/>
        <v>91447</v>
      </c>
      <c r="I90" s="62">
        <f t="shared" si="9"/>
        <v>0</v>
      </c>
      <c r="J90" s="62">
        <f t="shared" si="9"/>
        <v>39192</v>
      </c>
      <c r="K90" s="790"/>
      <c r="L90" s="62">
        <f t="shared" si="9"/>
        <v>39192</v>
      </c>
      <c r="M90" s="62">
        <f t="shared" si="9"/>
        <v>0</v>
      </c>
      <c r="N90" s="62">
        <f t="shared" si="9"/>
        <v>0</v>
      </c>
      <c r="O90" s="62">
        <f t="shared" si="9"/>
        <v>39192</v>
      </c>
    </row>
    <row r="91" spans="1:16">
      <c r="F91" s="731"/>
      <c r="G91" s="741"/>
      <c r="L91" s="89"/>
      <c r="M91" s="89"/>
      <c r="N91" s="89"/>
      <c r="O91" s="12"/>
    </row>
    <row r="92" spans="1:16">
      <c r="E92" s="675"/>
      <c r="F92" s="12"/>
      <c r="G92" s="764"/>
      <c r="H92" s="764"/>
      <c r="I92" s="764"/>
      <c r="J92" s="764"/>
      <c r="L92" s="89"/>
      <c r="M92" s="89"/>
      <c r="N92" s="89"/>
      <c r="O92" s="12"/>
    </row>
    <row r="93" spans="1:16">
      <c r="E93" s="675"/>
      <c r="F93" s="12"/>
      <c r="G93" s="12"/>
      <c r="H93" s="12"/>
      <c r="L93" s="96"/>
      <c r="M93" s="96"/>
      <c r="N93" s="96"/>
      <c r="O93" s="675"/>
    </row>
    <row r="94" spans="1:16">
      <c r="E94" s="675"/>
      <c r="L94" s="91"/>
      <c r="M94" s="91"/>
      <c r="N94" s="91"/>
      <c r="O94" s="675"/>
    </row>
    <row r="95" spans="1:16">
      <c r="E95" s="12"/>
      <c r="L95" s="91"/>
      <c r="M95" s="91"/>
      <c r="N95" s="91"/>
      <c r="O95" s="85"/>
    </row>
    <row r="96" spans="1:16">
      <c r="E96" s="12"/>
      <c r="L96" s="12"/>
      <c r="M96" s="12"/>
      <c r="N96" s="12"/>
      <c r="O96" s="12"/>
    </row>
    <row r="97" spans="8:15">
      <c r="L97" s="12"/>
      <c r="M97" s="12"/>
      <c r="N97" s="12"/>
      <c r="O97" s="12"/>
    </row>
    <row r="98" spans="8:15">
      <c r="L98" s="12"/>
      <c r="M98" s="12"/>
      <c r="N98" s="12"/>
      <c r="O98" s="12"/>
    </row>
    <row r="99" spans="8:15">
      <c r="L99" s="12"/>
      <c r="M99" s="12"/>
      <c r="N99" s="12"/>
      <c r="O99" s="12"/>
    </row>
    <row r="100" spans="8:15">
      <c r="L100" s="12"/>
      <c r="M100" s="12"/>
      <c r="N100" s="12"/>
      <c r="O100" s="12"/>
    </row>
    <row r="101" spans="8:15">
      <c r="L101" s="12"/>
      <c r="M101" s="12"/>
      <c r="N101" s="12"/>
      <c r="O101" s="12"/>
    </row>
    <row r="104" spans="8:15">
      <c r="H104" s="676"/>
    </row>
  </sheetData>
  <mergeCells count="1">
    <mergeCell ref="A1:K1"/>
  </mergeCells>
  <pageMargins left="0.7" right="0.7" top="0.75" bottom="0.75" header="0.3" footer="0.3"/>
  <pageSetup scale="59" orientation="landscape" r:id="rId1"/>
  <headerFooter>
    <oddHeader>&amp;CCalWIN ABAWD Project County Claim Summary</oddHeader>
    <oddFooter>&amp;Cpage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U98"/>
  <sheetViews>
    <sheetView topLeftCell="A64" zoomScale="90" zoomScaleNormal="90" workbookViewId="0">
      <selection activeCell="E19" sqref="E19"/>
    </sheetView>
  </sheetViews>
  <sheetFormatPr defaultColWidth="9.453125" defaultRowHeight="12.5"/>
  <cols>
    <col min="1" max="1" width="15.54296875" style="827" customWidth="1"/>
    <col min="2" max="3" width="13.54296875" style="827" customWidth="1"/>
    <col min="4" max="4" width="17.7265625" style="827" customWidth="1"/>
    <col min="5" max="9" width="14.54296875" style="827" customWidth="1"/>
    <col min="10" max="11" width="9" style="827" customWidth="1"/>
    <col min="12" max="12" width="28.7265625" style="827" customWidth="1"/>
    <col min="13" max="99" width="9" style="827" customWidth="1"/>
    <col min="100" max="16384" width="9.453125" style="827"/>
  </cols>
  <sheetData>
    <row r="1" spans="1:12" ht="16.399999999999999" customHeight="1">
      <c r="A1" s="677"/>
      <c r="B1" s="677"/>
      <c r="C1" s="678"/>
      <c r="D1" s="677"/>
      <c r="E1" s="677"/>
      <c r="F1" s="677"/>
      <c r="G1" s="678"/>
      <c r="H1" s="677"/>
    </row>
    <row r="2" spans="1:12" ht="16.399999999999999" customHeight="1">
      <c r="A2" s="679" t="s">
        <v>137</v>
      </c>
      <c r="B2" s="1004"/>
      <c r="C2" s="1004"/>
      <c r="D2" s="677"/>
      <c r="E2" s="677"/>
      <c r="F2" s="680" t="s">
        <v>230</v>
      </c>
      <c r="H2" s="681"/>
    </row>
    <row r="3" spans="1:12" ht="16.399999999999999" customHeight="1">
      <c r="A3" s="679"/>
      <c r="B3" s="679"/>
      <c r="C3" s="677"/>
      <c r="D3" s="677"/>
      <c r="E3" s="677"/>
      <c r="F3" s="682"/>
      <c r="G3" s="683"/>
      <c r="H3" s="684"/>
    </row>
    <row r="4" spans="1:12" ht="16.399999999999999" customHeight="1">
      <c r="A4" s="679"/>
      <c r="B4" s="679"/>
      <c r="C4" s="679"/>
      <c r="D4" s="677"/>
      <c r="E4" s="677"/>
      <c r="F4" s="685" t="s">
        <v>229</v>
      </c>
      <c r="G4" s="679" t="s">
        <v>228</v>
      </c>
      <c r="H4" s="686"/>
    </row>
    <row r="5" spans="1:12" ht="16.399999999999999" customHeight="1">
      <c r="A5" s="687"/>
      <c r="B5" s="687"/>
      <c r="C5" s="575"/>
      <c r="D5" s="682"/>
      <c r="E5" s="682"/>
      <c r="F5" s="682"/>
      <c r="G5" s="683"/>
      <c r="H5" s="688"/>
    </row>
    <row r="6" spans="1:12" ht="17.25" customHeight="1" thickBot="1">
      <c r="A6" s="689" t="s">
        <v>227</v>
      </c>
      <c r="B6" s="690"/>
      <c r="C6" s="690"/>
      <c r="D6" s="690"/>
      <c r="E6" s="690"/>
      <c r="F6" s="690"/>
      <c r="G6" s="690"/>
      <c r="H6" s="691"/>
      <c r="I6" s="691"/>
    </row>
    <row r="7" spans="1:12" ht="17.25" customHeight="1" thickTop="1">
      <c r="A7" s="692"/>
      <c r="B7" s="693" t="s">
        <v>93</v>
      </c>
      <c r="C7" s="693" t="s">
        <v>93</v>
      </c>
      <c r="D7" s="693" t="s">
        <v>97</v>
      </c>
      <c r="E7" s="693" t="s">
        <v>96</v>
      </c>
      <c r="F7" s="693" t="s">
        <v>95</v>
      </c>
      <c r="G7" s="693" t="s">
        <v>94</v>
      </c>
      <c r="H7" s="693" t="s">
        <v>44</v>
      </c>
      <c r="I7" s="693" t="s">
        <v>61</v>
      </c>
    </row>
    <row r="8" spans="1:12" ht="17.25" customHeight="1">
      <c r="A8" s="694" t="s">
        <v>93</v>
      </c>
      <c r="B8" s="887" t="s">
        <v>92</v>
      </c>
      <c r="C8" s="887" t="s">
        <v>91</v>
      </c>
      <c r="D8" s="887" t="s">
        <v>176</v>
      </c>
      <c r="E8" s="887" t="s">
        <v>89</v>
      </c>
      <c r="F8" s="887" t="s">
        <v>89</v>
      </c>
      <c r="G8" s="887" t="s">
        <v>89</v>
      </c>
      <c r="H8" s="887" t="s">
        <v>89</v>
      </c>
      <c r="I8" s="887" t="s">
        <v>89</v>
      </c>
    </row>
    <row r="9" spans="1:12" ht="17.25" customHeight="1">
      <c r="A9" s="709" t="s">
        <v>88</v>
      </c>
      <c r="B9" s="589">
        <v>3.9399999999999998E-2</v>
      </c>
      <c r="C9" s="859">
        <f>C19-SUM(C10:C18)</f>
        <v>607975</v>
      </c>
      <c r="D9" s="896" t="s">
        <v>106</v>
      </c>
      <c r="E9" s="859">
        <f>ROUND($C9*1,0)</f>
        <v>607975</v>
      </c>
      <c r="F9" s="859">
        <f>ROUND($C9*0,0)</f>
        <v>0</v>
      </c>
      <c r="G9" s="859">
        <f>ROUND($C9*0,0)</f>
        <v>0</v>
      </c>
      <c r="H9" s="859">
        <f>ROUND($C9*0,0)</f>
        <v>0</v>
      </c>
      <c r="I9" s="859">
        <f>ROUND($C9*0,0)</f>
        <v>0</v>
      </c>
      <c r="L9" s="828"/>
    </row>
    <row r="10" spans="1:12" ht="17.25" customHeight="1">
      <c r="A10" s="591" t="s">
        <v>43</v>
      </c>
      <c r="B10" s="589">
        <v>0.2477</v>
      </c>
      <c r="C10" s="859">
        <f t="shared" ref="C10:C18" si="0">ROUND($C$19*B10,0)</f>
        <v>3822219</v>
      </c>
      <c r="D10" s="896" t="s">
        <v>109</v>
      </c>
      <c r="E10" s="859">
        <f>ROUND($C10*0.5,0)</f>
        <v>1911110</v>
      </c>
      <c r="F10" s="859">
        <f>ROUND($C10*0.35,0)</f>
        <v>1337777</v>
      </c>
      <c r="G10" s="859">
        <f>ROUND($C10*0,0)</f>
        <v>0</v>
      </c>
      <c r="H10" s="859">
        <f>C10-E10-F10</f>
        <v>573332</v>
      </c>
      <c r="I10" s="859">
        <f t="shared" ref="I10:I18" si="1">ROUND($C10*0,0)</f>
        <v>0</v>
      </c>
      <c r="L10" s="828"/>
    </row>
    <row r="11" spans="1:12" ht="17.25" customHeight="1">
      <c r="A11" s="591" t="s">
        <v>87</v>
      </c>
      <c r="B11" s="589">
        <v>3.5999999999999999E-3</v>
      </c>
      <c r="C11" s="859">
        <f t="shared" si="0"/>
        <v>55551</v>
      </c>
      <c r="D11" s="896" t="s">
        <v>105</v>
      </c>
      <c r="E11" s="859">
        <f>ROUND($C11*0,0)</f>
        <v>0</v>
      </c>
      <c r="F11" s="859">
        <f>ROUND($C11*1,0)</f>
        <v>55551</v>
      </c>
      <c r="G11" s="859">
        <f>ROUND($C11*0,0)</f>
        <v>0</v>
      </c>
      <c r="H11" s="859">
        <f>ROUND($C11*0,0)</f>
        <v>0</v>
      </c>
      <c r="I11" s="859">
        <f t="shared" si="1"/>
        <v>0</v>
      </c>
      <c r="L11" s="828"/>
    </row>
    <row r="12" spans="1:12" ht="17.25" customHeight="1">
      <c r="A12" s="591" t="s">
        <v>42</v>
      </c>
      <c r="B12" s="589">
        <v>1.9E-3</v>
      </c>
      <c r="C12" s="859">
        <f t="shared" si="0"/>
        <v>29319</v>
      </c>
      <c r="D12" s="896" t="s">
        <v>107</v>
      </c>
      <c r="E12" s="859">
        <f>ROUND($C12*0,0)</f>
        <v>0</v>
      </c>
      <c r="F12" s="859">
        <f>ROUND($C12*0.7,0)</f>
        <v>20523</v>
      </c>
      <c r="G12" s="859">
        <f>ROUND($C12*0,0)</f>
        <v>0</v>
      </c>
      <c r="H12" s="859">
        <f>C12-F12</f>
        <v>8796</v>
      </c>
      <c r="I12" s="859">
        <f t="shared" si="1"/>
        <v>0</v>
      </c>
      <c r="L12" s="828"/>
    </row>
    <row r="13" spans="1:12" ht="17.25" customHeight="1">
      <c r="A13" s="591" t="s">
        <v>83</v>
      </c>
      <c r="B13" s="589">
        <v>8.9999999999999998E-4</v>
      </c>
      <c r="C13" s="859">
        <f t="shared" si="0"/>
        <v>13888</v>
      </c>
      <c r="D13" s="896" t="s">
        <v>105</v>
      </c>
      <c r="E13" s="859">
        <f>ROUND($C13*0,0)</f>
        <v>0</v>
      </c>
      <c r="F13" s="859">
        <f>ROUND($C13*1,0)</f>
        <v>13888</v>
      </c>
      <c r="G13" s="859">
        <f>ROUND($C13*0,0)</f>
        <v>0</v>
      </c>
      <c r="H13" s="859">
        <f>ROUND($C13*0,0)</f>
        <v>0</v>
      </c>
      <c r="I13" s="859">
        <f t="shared" si="1"/>
        <v>0</v>
      </c>
      <c r="L13" s="828"/>
    </row>
    <row r="14" spans="1:12" ht="17.25" customHeight="1">
      <c r="A14" s="591" t="s">
        <v>84</v>
      </c>
      <c r="B14" s="589">
        <v>1E-3</v>
      </c>
      <c r="C14" s="859">
        <f t="shared" si="0"/>
        <v>15431</v>
      </c>
      <c r="D14" s="896" t="s">
        <v>105</v>
      </c>
      <c r="E14" s="859">
        <f>ROUND($C14*0,0)</f>
        <v>0</v>
      </c>
      <c r="F14" s="859">
        <f>ROUND($C14*1,0)</f>
        <v>15431</v>
      </c>
      <c r="G14" s="859">
        <f>ROUND($C14*0,0)</f>
        <v>0</v>
      </c>
      <c r="H14" s="859">
        <f>ROUND($C14*0,0)</f>
        <v>0</v>
      </c>
      <c r="I14" s="859">
        <f t="shared" si="1"/>
        <v>0</v>
      </c>
      <c r="L14" s="828"/>
    </row>
    <row r="15" spans="1:12" ht="17.25" customHeight="1">
      <c r="A15" s="591" t="s">
        <v>86</v>
      </c>
      <c r="B15" s="589">
        <v>0.69950000000000001</v>
      </c>
      <c r="C15" s="859">
        <f t="shared" si="0"/>
        <v>10793873</v>
      </c>
      <c r="D15" s="695" t="s">
        <v>187</v>
      </c>
      <c r="E15" s="859">
        <f>ROUNDDOWN($C15*0.5,0)</f>
        <v>5396936</v>
      </c>
      <c r="F15" s="859">
        <f>ROUND($C15*0,0)</f>
        <v>0</v>
      </c>
      <c r="G15" s="859">
        <f>ROUNDUP($C15*0.5,0)</f>
        <v>5396937</v>
      </c>
      <c r="H15" s="859">
        <f>ROUND($C15*0,0)</f>
        <v>0</v>
      </c>
      <c r="I15" s="859">
        <f t="shared" si="1"/>
        <v>0</v>
      </c>
      <c r="L15" s="828"/>
    </row>
    <row r="16" spans="1:12" ht="17.25" customHeight="1">
      <c r="A16" s="591" t="s">
        <v>82</v>
      </c>
      <c r="B16" s="589">
        <v>1E-4</v>
      </c>
      <c r="C16" s="859">
        <f t="shared" si="0"/>
        <v>1543</v>
      </c>
      <c r="D16" s="696" t="s">
        <v>179</v>
      </c>
      <c r="E16" s="859">
        <f>ROUND($C16*0,0)</f>
        <v>0</v>
      </c>
      <c r="F16" s="859">
        <f>ROUND($C16*0,0)</f>
        <v>0</v>
      </c>
      <c r="G16" s="859">
        <f>ROUND($C16*1,0)</f>
        <v>1543</v>
      </c>
      <c r="H16" s="859">
        <f>ROUND($C16*0,0)</f>
        <v>0</v>
      </c>
      <c r="I16" s="859">
        <f t="shared" si="1"/>
        <v>0</v>
      </c>
      <c r="L16" s="828"/>
    </row>
    <row r="17" spans="1:12" ht="17.25" customHeight="1">
      <c r="A17" s="591" t="s">
        <v>85</v>
      </c>
      <c r="B17" s="589">
        <v>1E-4</v>
      </c>
      <c r="C17" s="859">
        <f t="shared" si="0"/>
        <v>1543</v>
      </c>
      <c r="D17" s="696" t="s">
        <v>106</v>
      </c>
      <c r="E17" s="859">
        <f>ROUND($C17*1,0)</f>
        <v>1543</v>
      </c>
      <c r="F17" s="859">
        <f>ROUND($C17*0,0)</f>
        <v>0</v>
      </c>
      <c r="G17" s="859">
        <f>ROUND($C17*0,0)</f>
        <v>0</v>
      </c>
      <c r="H17" s="859">
        <f>ROUND($C17*0,0)</f>
        <v>0</v>
      </c>
      <c r="I17" s="859">
        <f t="shared" si="1"/>
        <v>0</v>
      </c>
      <c r="L17" s="828"/>
    </row>
    <row r="18" spans="1:12" ht="17.25" customHeight="1" thickBot="1">
      <c r="A18" s="590" t="s">
        <v>138</v>
      </c>
      <c r="B18" s="589">
        <v>5.7999999999999996E-3</v>
      </c>
      <c r="C18" s="572">
        <f t="shared" si="0"/>
        <v>89499</v>
      </c>
      <c r="D18" s="829" t="s">
        <v>104</v>
      </c>
      <c r="E18" s="572">
        <f>ROUND($C18*0,0)</f>
        <v>0</v>
      </c>
      <c r="F18" s="572">
        <f>ROUND($C18*0,0)</f>
        <v>0</v>
      </c>
      <c r="G18" s="572">
        <f>ROUND($C18*0,0)</f>
        <v>0</v>
      </c>
      <c r="H18" s="572">
        <f>ROUND($C18*1,0)</f>
        <v>89499</v>
      </c>
      <c r="I18" s="859">
        <f t="shared" si="1"/>
        <v>0</v>
      </c>
      <c r="L18" s="828"/>
    </row>
    <row r="19" spans="1:12" ht="17.25" customHeight="1" thickTop="1" thickBot="1">
      <c r="A19" s="697" t="s">
        <v>103</v>
      </c>
      <c r="B19" s="697">
        <f>SUM(B9:B18)</f>
        <v>1</v>
      </c>
      <c r="C19" s="570">
        <f>'4th Q CalWIN M&amp;O'!E90</f>
        <v>15430841</v>
      </c>
      <c r="D19" s="698"/>
      <c r="E19" s="570">
        <f>SUM(E9:E18)</f>
        <v>7917564</v>
      </c>
      <c r="F19" s="570">
        <f>SUM(F9:F18)</f>
        <v>1443170</v>
      </c>
      <c r="G19" s="570">
        <f>SUM(G9:G18)</f>
        <v>5398480</v>
      </c>
      <c r="H19" s="570">
        <f>SUM(H9:H18)</f>
        <v>671627</v>
      </c>
      <c r="I19" s="570">
        <f>SUM(I9:I18)</f>
        <v>0</v>
      </c>
      <c r="J19" s="830"/>
      <c r="L19" s="62">
        <v>7917560</v>
      </c>
    </row>
    <row r="20" spans="1:12" ht="17.25" customHeight="1" thickTop="1" thickBot="1">
      <c r="A20" s="699" t="s">
        <v>112</v>
      </c>
      <c r="B20" s="700"/>
      <c r="C20" s="701"/>
      <c r="D20" s="702"/>
      <c r="E20" s="701"/>
      <c r="F20" s="880">
        <f>-H20</f>
        <v>671627</v>
      </c>
      <c r="G20" s="872"/>
      <c r="H20" s="880">
        <f>-H19</f>
        <v>-671627</v>
      </c>
      <c r="I20" s="880"/>
      <c r="J20" s="830"/>
    </row>
    <row r="21" spans="1:12" ht="17.25" customHeight="1" thickTop="1" thickBot="1">
      <c r="A21" s="703" t="s">
        <v>48</v>
      </c>
      <c r="B21" s="704"/>
      <c r="C21" s="570">
        <f>SUM(C19:C20)</f>
        <v>15430841</v>
      </c>
      <c r="D21" s="588"/>
      <c r="E21" s="570">
        <f>SUM(E19:E20)</f>
        <v>7917564</v>
      </c>
      <c r="F21" s="570">
        <f>SUM(F19:F20)</f>
        <v>2114797</v>
      </c>
      <c r="G21" s="570">
        <f>SUM(G19:G20)</f>
        <v>5398480</v>
      </c>
      <c r="H21" s="570">
        <f>SUM(H19:H20)</f>
        <v>0</v>
      </c>
      <c r="I21" s="570">
        <f>SUM(I19:I20)</f>
        <v>0</v>
      </c>
    </row>
    <row r="22" spans="1:12" ht="17.25" customHeight="1" thickTop="1">
      <c r="A22" s="579" t="s">
        <v>78</v>
      </c>
      <c r="B22" s="579"/>
      <c r="C22" s="705"/>
      <c r="D22" s="705"/>
      <c r="E22" s="706"/>
      <c r="F22" s="1002">
        <f>SUM(F21:G21)</f>
        <v>7513277</v>
      </c>
      <c r="G22" s="1003"/>
      <c r="H22" s="706"/>
      <c r="I22" s="706"/>
    </row>
    <row r="23" spans="1:12" ht="16.5" customHeight="1">
      <c r="A23" s="687"/>
      <c r="B23" s="687"/>
      <c r="C23" s="575"/>
      <c r="D23" s="682"/>
      <c r="E23" s="682"/>
      <c r="F23" s="682"/>
      <c r="G23" s="683"/>
      <c r="H23" s="688"/>
    </row>
    <row r="24" spans="1:12" ht="17.25" customHeight="1" thickBot="1">
      <c r="A24" s="714" t="s">
        <v>277</v>
      </c>
      <c r="B24" s="690"/>
      <c r="C24" s="690"/>
      <c r="D24" s="690"/>
      <c r="E24" s="713"/>
      <c r="F24" s="690"/>
      <c r="G24" s="690"/>
      <c r="H24" s="691"/>
      <c r="I24" s="691"/>
    </row>
    <row r="25" spans="1:12" ht="17.25" customHeight="1" thickTop="1">
      <c r="A25" s="692"/>
      <c r="B25" s="693" t="s">
        <v>93</v>
      </c>
      <c r="C25" s="693" t="s">
        <v>93</v>
      </c>
      <c r="D25" s="693" t="s">
        <v>97</v>
      </c>
      <c r="E25" s="693" t="s">
        <v>96</v>
      </c>
      <c r="F25" s="693" t="s">
        <v>95</v>
      </c>
      <c r="G25" s="693" t="s">
        <v>94</v>
      </c>
      <c r="H25" s="693" t="s">
        <v>44</v>
      </c>
      <c r="I25" s="693" t="s">
        <v>61</v>
      </c>
    </row>
    <row r="26" spans="1:12" ht="17.25" customHeight="1">
      <c r="A26" s="694" t="s">
        <v>93</v>
      </c>
      <c r="B26" s="887" t="s">
        <v>92</v>
      </c>
      <c r="C26" s="887" t="s">
        <v>91</v>
      </c>
      <c r="D26" s="887" t="s">
        <v>176</v>
      </c>
      <c r="E26" s="887" t="s">
        <v>89</v>
      </c>
      <c r="F26" s="887" t="s">
        <v>89</v>
      </c>
      <c r="G26" s="887" t="s">
        <v>89</v>
      </c>
      <c r="H26" s="887" t="s">
        <v>89</v>
      </c>
      <c r="I26" s="887" t="s">
        <v>89</v>
      </c>
    </row>
    <row r="27" spans="1:12" ht="17.25" customHeight="1">
      <c r="A27" s="709" t="s">
        <v>88</v>
      </c>
      <c r="B27" s="589">
        <v>3.9399999999999998E-2</v>
      </c>
      <c r="C27" s="859">
        <f>C37-SUM(C28:C36)</f>
        <v>319102</v>
      </c>
      <c r="D27" s="896" t="s">
        <v>106</v>
      </c>
      <c r="E27" s="859">
        <f>ROUND($C27*1,0)</f>
        <v>319102</v>
      </c>
      <c r="F27" s="859">
        <f>ROUND($C27*0,0)</f>
        <v>0</v>
      </c>
      <c r="G27" s="859">
        <f>ROUND($C27*0,0)</f>
        <v>0</v>
      </c>
      <c r="H27" s="859">
        <f>ROUND($C27*0,0)</f>
        <v>0</v>
      </c>
      <c r="I27" s="859">
        <f>ROUND($C27*0,0)</f>
        <v>0</v>
      </c>
      <c r="L27" s="828"/>
    </row>
    <row r="28" spans="1:12" ht="17.25" customHeight="1">
      <c r="A28" s="591" t="s">
        <v>43</v>
      </c>
      <c r="B28" s="589">
        <v>0.2477</v>
      </c>
      <c r="C28" s="859">
        <f t="shared" ref="C28:C36" si="2">ROUND($C$37*B28,0)</f>
        <v>2006123</v>
      </c>
      <c r="D28" s="896" t="s">
        <v>109</v>
      </c>
      <c r="E28" s="859">
        <f>ROUND($C28*0.5,0)</f>
        <v>1003062</v>
      </c>
      <c r="F28" s="859">
        <f>ROUND($C28*0.35,0)</f>
        <v>702143</v>
      </c>
      <c r="G28" s="859">
        <f>ROUND($C28*0,0)</f>
        <v>0</v>
      </c>
      <c r="H28" s="859">
        <f>C28-E28-F28</f>
        <v>300918</v>
      </c>
      <c r="I28" s="859">
        <f t="shared" ref="I28:I36" si="3">ROUND($C28*0,0)</f>
        <v>0</v>
      </c>
      <c r="L28" s="828"/>
    </row>
    <row r="29" spans="1:12" ht="17.25" customHeight="1">
      <c r="A29" s="591" t="s">
        <v>87</v>
      </c>
      <c r="B29" s="589">
        <v>3.5999999999999999E-3</v>
      </c>
      <c r="C29" s="859">
        <f t="shared" si="2"/>
        <v>29156</v>
      </c>
      <c r="D29" s="896" t="s">
        <v>105</v>
      </c>
      <c r="E29" s="859">
        <f>ROUND($C29*0,0)</f>
        <v>0</v>
      </c>
      <c r="F29" s="859">
        <f>ROUND($C29*1,0)</f>
        <v>29156</v>
      </c>
      <c r="G29" s="859">
        <f>ROUND($C29*0,0)</f>
        <v>0</v>
      </c>
      <c r="H29" s="859">
        <f>ROUND($C29*0,0)</f>
        <v>0</v>
      </c>
      <c r="I29" s="859">
        <f t="shared" si="3"/>
        <v>0</v>
      </c>
      <c r="L29" s="828"/>
    </row>
    <row r="30" spans="1:12" ht="17.25" customHeight="1">
      <c r="A30" s="591" t="s">
        <v>42</v>
      </c>
      <c r="B30" s="589">
        <v>1.9E-3</v>
      </c>
      <c r="C30" s="859">
        <f t="shared" si="2"/>
        <v>15388</v>
      </c>
      <c r="D30" s="896" t="s">
        <v>107</v>
      </c>
      <c r="E30" s="859">
        <f>ROUND($C30*0,0)</f>
        <v>0</v>
      </c>
      <c r="F30" s="859">
        <f>ROUND($C30*0.7,0)</f>
        <v>10772</v>
      </c>
      <c r="G30" s="859">
        <f>ROUND($C30*0,0)</f>
        <v>0</v>
      </c>
      <c r="H30" s="859">
        <f>C30-F30</f>
        <v>4616</v>
      </c>
      <c r="I30" s="859">
        <f t="shared" si="3"/>
        <v>0</v>
      </c>
      <c r="L30" s="828"/>
    </row>
    <row r="31" spans="1:12" ht="17.25" customHeight="1">
      <c r="A31" s="591" t="s">
        <v>83</v>
      </c>
      <c r="B31" s="589">
        <v>8.9999999999999998E-4</v>
      </c>
      <c r="C31" s="859">
        <f t="shared" si="2"/>
        <v>7289</v>
      </c>
      <c r="D31" s="896" t="s">
        <v>105</v>
      </c>
      <c r="E31" s="859">
        <f>ROUND($C31*0,0)</f>
        <v>0</v>
      </c>
      <c r="F31" s="859">
        <f>ROUND($C31*1,0)</f>
        <v>7289</v>
      </c>
      <c r="G31" s="859">
        <f>ROUND($C31*0,0)</f>
        <v>0</v>
      </c>
      <c r="H31" s="859">
        <f>ROUND($C31*0,0)</f>
        <v>0</v>
      </c>
      <c r="I31" s="859">
        <f t="shared" si="3"/>
        <v>0</v>
      </c>
      <c r="L31" s="828"/>
    </row>
    <row r="32" spans="1:12" ht="17.25" customHeight="1">
      <c r="A32" s="591" t="s">
        <v>84</v>
      </c>
      <c r="B32" s="589">
        <v>1E-3</v>
      </c>
      <c r="C32" s="859">
        <f t="shared" si="2"/>
        <v>8099</v>
      </c>
      <c r="D32" s="896" t="s">
        <v>105</v>
      </c>
      <c r="E32" s="859">
        <f>ROUND($C32*0,0)</f>
        <v>0</v>
      </c>
      <c r="F32" s="859">
        <f>ROUND($C32*1,0)</f>
        <v>8099</v>
      </c>
      <c r="G32" s="859">
        <f>ROUND($C32*0,0)</f>
        <v>0</v>
      </c>
      <c r="H32" s="859">
        <f>ROUND($C32*0,0)</f>
        <v>0</v>
      </c>
      <c r="I32" s="859">
        <f t="shared" si="3"/>
        <v>0</v>
      </c>
      <c r="L32" s="828"/>
    </row>
    <row r="33" spans="1:12" ht="17.25" customHeight="1">
      <c r="A33" s="591" t="s">
        <v>86</v>
      </c>
      <c r="B33" s="589">
        <v>0.69950000000000001</v>
      </c>
      <c r="C33" s="859">
        <f t="shared" si="2"/>
        <v>5665253</v>
      </c>
      <c r="D33" s="695" t="s">
        <v>187</v>
      </c>
      <c r="E33" s="859">
        <f>ROUNDDOWN($C33*0.5,0)</f>
        <v>2832626</v>
      </c>
      <c r="F33" s="859">
        <f>ROUND($C33*0,0)</f>
        <v>0</v>
      </c>
      <c r="G33" s="859">
        <f>ROUNDUP($C33*0.5,0)</f>
        <v>2832627</v>
      </c>
      <c r="H33" s="859">
        <f>ROUND($C33*0,0)</f>
        <v>0</v>
      </c>
      <c r="I33" s="859">
        <f t="shared" si="3"/>
        <v>0</v>
      </c>
      <c r="L33" s="828"/>
    </row>
    <row r="34" spans="1:12" ht="17.25" customHeight="1">
      <c r="A34" s="591" t="s">
        <v>82</v>
      </c>
      <c r="B34" s="589">
        <v>1E-4</v>
      </c>
      <c r="C34" s="859">
        <f t="shared" si="2"/>
        <v>810</v>
      </c>
      <c r="D34" s="696" t="s">
        <v>179</v>
      </c>
      <c r="E34" s="859">
        <f>ROUND($C34*0,0)</f>
        <v>0</v>
      </c>
      <c r="F34" s="859">
        <f>ROUND($C34*0,0)</f>
        <v>0</v>
      </c>
      <c r="G34" s="859">
        <f>ROUND($C34*1,0)</f>
        <v>810</v>
      </c>
      <c r="H34" s="859">
        <f>ROUND($C34*0,0)</f>
        <v>0</v>
      </c>
      <c r="I34" s="859">
        <f t="shared" si="3"/>
        <v>0</v>
      </c>
      <c r="L34" s="828"/>
    </row>
    <row r="35" spans="1:12" ht="17.25" customHeight="1">
      <c r="A35" s="591" t="s">
        <v>85</v>
      </c>
      <c r="B35" s="589">
        <v>1E-4</v>
      </c>
      <c r="C35" s="859">
        <f t="shared" si="2"/>
        <v>810</v>
      </c>
      <c r="D35" s="696" t="s">
        <v>106</v>
      </c>
      <c r="E35" s="859">
        <f>ROUND($C35*1,0)</f>
        <v>810</v>
      </c>
      <c r="F35" s="859">
        <f>ROUND($C35*0,0)</f>
        <v>0</v>
      </c>
      <c r="G35" s="859">
        <f>ROUND($C35*0,0)</f>
        <v>0</v>
      </c>
      <c r="H35" s="859">
        <f>ROUND($C35*0,0)</f>
        <v>0</v>
      </c>
      <c r="I35" s="859">
        <f t="shared" si="3"/>
        <v>0</v>
      </c>
      <c r="L35" s="828"/>
    </row>
    <row r="36" spans="1:12" ht="17.25" customHeight="1" thickBot="1">
      <c r="A36" s="590" t="s">
        <v>138</v>
      </c>
      <c r="B36" s="589">
        <v>5.7999999999999996E-3</v>
      </c>
      <c r="C36" s="572">
        <f t="shared" si="2"/>
        <v>46974</v>
      </c>
      <c r="D36" s="829" t="s">
        <v>104</v>
      </c>
      <c r="E36" s="572">
        <f>ROUND($C36*0,0)</f>
        <v>0</v>
      </c>
      <c r="F36" s="572">
        <f>ROUND($C36*0,0)</f>
        <v>0</v>
      </c>
      <c r="G36" s="572">
        <f>ROUND($C36*0,0)</f>
        <v>0</v>
      </c>
      <c r="H36" s="572">
        <f>ROUND($C36*1,0)</f>
        <v>46974</v>
      </c>
      <c r="I36" s="859">
        <f t="shared" si="3"/>
        <v>0</v>
      </c>
      <c r="L36" s="828"/>
    </row>
    <row r="37" spans="1:12" ht="17.25" customHeight="1" thickTop="1" thickBot="1">
      <c r="A37" s="697" t="s">
        <v>103</v>
      </c>
      <c r="B37" s="697">
        <f>SUM(B27:B36)</f>
        <v>1</v>
      </c>
      <c r="C37" s="570">
        <f>'4th Q CalWIN M&amp;O (County)'!E90</f>
        <v>8099004</v>
      </c>
      <c r="D37" s="698"/>
      <c r="E37" s="570">
        <f>SUM(E27:E36)</f>
        <v>4155600</v>
      </c>
      <c r="F37" s="570">
        <f>SUM(F27:F36)</f>
        <v>757459</v>
      </c>
      <c r="G37" s="570">
        <f>SUM(G27:G36)</f>
        <v>2833437</v>
      </c>
      <c r="H37" s="570">
        <f>SUM(H27:H36)</f>
        <v>352508</v>
      </c>
      <c r="I37" s="570">
        <f>SUM(I27:I36)</f>
        <v>0</v>
      </c>
      <c r="J37" s="830"/>
      <c r="K37" s="831"/>
    </row>
    <row r="38" spans="1:12" ht="17.25" customHeight="1" thickTop="1" thickBot="1">
      <c r="A38" s="699" t="s">
        <v>112</v>
      </c>
      <c r="B38" s="700"/>
      <c r="C38" s="701"/>
      <c r="D38" s="702"/>
      <c r="E38" s="701"/>
      <c r="F38" s="880">
        <f>-H38</f>
        <v>352508</v>
      </c>
      <c r="G38" s="872"/>
      <c r="H38" s="880">
        <f>-H37</f>
        <v>-352508</v>
      </c>
      <c r="I38" s="880"/>
      <c r="J38" s="830"/>
    </row>
    <row r="39" spans="1:12" ht="17.25" customHeight="1" thickTop="1" thickBot="1">
      <c r="A39" s="703" t="s">
        <v>48</v>
      </c>
      <c r="B39" s="704"/>
      <c r="C39" s="570">
        <f>SUM(C37:C38)</f>
        <v>8099004</v>
      </c>
      <c r="D39" s="588"/>
      <c r="E39" s="570">
        <f>SUM(E37:E38)</f>
        <v>4155600</v>
      </c>
      <c r="F39" s="570">
        <f>SUM(F37:F38)</f>
        <v>1109967</v>
      </c>
      <c r="G39" s="570">
        <f>SUM(G37:G38)</f>
        <v>2833437</v>
      </c>
      <c r="H39" s="570">
        <f>SUM(H37:H38)</f>
        <v>0</v>
      </c>
      <c r="I39" s="570">
        <f>SUM(I37:I38)</f>
        <v>0</v>
      </c>
    </row>
    <row r="40" spans="1:12" ht="17.25" customHeight="1" thickTop="1">
      <c r="A40" s="579" t="s">
        <v>78</v>
      </c>
      <c r="B40" s="579"/>
      <c r="C40" s="705"/>
      <c r="D40" s="705"/>
      <c r="E40" s="706"/>
      <c r="F40" s="1002">
        <f>SUM(F39:G39)</f>
        <v>3943404</v>
      </c>
      <c r="G40" s="1003"/>
      <c r="H40" s="706"/>
      <c r="I40" s="706"/>
    </row>
    <row r="41" spans="1:12" ht="16.5" customHeight="1">
      <c r="A41" s="687"/>
      <c r="B41" s="687"/>
      <c r="C41" s="575"/>
      <c r="D41" s="682"/>
      <c r="E41" s="682"/>
      <c r="F41" s="682"/>
      <c r="G41" s="683"/>
      <c r="H41" s="688"/>
    </row>
    <row r="42" spans="1:12" ht="17.25" customHeight="1" thickBot="1">
      <c r="A42" s="689" t="s">
        <v>226</v>
      </c>
      <c r="B42" s="690"/>
      <c r="C42" s="690"/>
      <c r="D42" s="690"/>
      <c r="E42" s="690"/>
      <c r="F42" s="690"/>
      <c r="G42" s="690"/>
      <c r="H42" s="691"/>
      <c r="I42" s="691"/>
    </row>
    <row r="43" spans="1:12" ht="17.25" customHeight="1" thickTop="1">
      <c r="A43" s="692"/>
      <c r="B43" s="693" t="s">
        <v>93</v>
      </c>
      <c r="C43" s="693" t="s">
        <v>93</v>
      </c>
      <c r="D43" s="693" t="s">
        <v>97</v>
      </c>
      <c r="E43" s="693" t="s">
        <v>96</v>
      </c>
      <c r="F43" s="693" t="s">
        <v>95</v>
      </c>
      <c r="G43" s="693" t="s">
        <v>94</v>
      </c>
      <c r="H43" s="693" t="s">
        <v>44</v>
      </c>
      <c r="I43" s="693" t="s">
        <v>61</v>
      </c>
    </row>
    <row r="44" spans="1:12" ht="17.25" customHeight="1">
      <c r="A44" s="694" t="s">
        <v>93</v>
      </c>
      <c r="B44" s="887" t="s">
        <v>92</v>
      </c>
      <c r="C44" s="887" t="s">
        <v>91</v>
      </c>
      <c r="D44" s="887" t="s">
        <v>176</v>
      </c>
      <c r="E44" s="887" t="s">
        <v>89</v>
      </c>
      <c r="F44" s="887" t="s">
        <v>89</v>
      </c>
      <c r="G44" s="887" t="s">
        <v>89</v>
      </c>
      <c r="H44" s="887" t="s">
        <v>89</v>
      </c>
      <c r="I44" s="887" t="s">
        <v>89</v>
      </c>
    </row>
    <row r="45" spans="1:12" ht="17.25" customHeight="1">
      <c r="A45" s="709" t="s">
        <v>88</v>
      </c>
      <c r="B45" s="589">
        <v>3.9399999999999998E-2</v>
      </c>
      <c r="C45" s="859">
        <f>C55-SUM(C46:C54)</f>
        <v>26578</v>
      </c>
      <c r="D45" s="896" t="s">
        <v>106</v>
      </c>
      <c r="E45" s="859">
        <f>ROUND($C45*1,0)</f>
        <v>26578</v>
      </c>
      <c r="F45" s="859">
        <f>ROUND($C45*0,0)</f>
        <v>0</v>
      </c>
      <c r="G45" s="859">
        <f>ROUND($C45*0,0)</f>
        <v>0</v>
      </c>
      <c r="H45" s="859">
        <f>ROUND($C45*0,0)</f>
        <v>0</v>
      </c>
      <c r="I45" s="859">
        <f>ROUND($C45*0,0)</f>
        <v>0</v>
      </c>
    </row>
    <row r="46" spans="1:12" ht="17.25" customHeight="1">
      <c r="A46" s="579" t="s">
        <v>43</v>
      </c>
      <c r="B46" s="589">
        <v>0.2477</v>
      </c>
      <c r="C46" s="859">
        <f t="shared" ref="C46:C54" si="4">ROUND($C$55*B46,0)</f>
        <v>167088</v>
      </c>
      <c r="D46" s="896" t="s">
        <v>109</v>
      </c>
      <c r="E46" s="859">
        <f>ROUND($C46*0.5,0)</f>
        <v>83544</v>
      </c>
      <c r="F46" s="859">
        <f>ROUND($C46*0.35,0)</f>
        <v>58481</v>
      </c>
      <c r="G46" s="859">
        <f>ROUND($C46*0,0)</f>
        <v>0</v>
      </c>
      <c r="H46" s="859">
        <f>C46-E46-F46</f>
        <v>25063</v>
      </c>
      <c r="I46" s="859">
        <f t="shared" ref="I46:I54" si="5">ROUND($C46*0,0)</f>
        <v>0</v>
      </c>
    </row>
    <row r="47" spans="1:12" ht="17.25" customHeight="1">
      <c r="A47" s="579" t="s">
        <v>87</v>
      </c>
      <c r="B47" s="589">
        <v>3.5999999999999999E-3</v>
      </c>
      <c r="C47" s="859">
        <f t="shared" si="4"/>
        <v>2428</v>
      </c>
      <c r="D47" s="896" t="s">
        <v>105</v>
      </c>
      <c r="E47" s="859">
        <f>ROUND($C47*0,0)</f>
        <v>0</v>
      </c>
      <c r="F47" s="859">
        <f>ROUND($C47*1,0)</f>
        <v>2428</v>
      </c>
      <c r="G47" s="859">
        <f>ROUND($C47*0,0)</f>
        <v>0</v>
      </c>
      <c r="H47" s="859">
        <f>ROUND($C47*0,0)</f>
        <v>0</v>
      </c>
      <c r="I47" s="859">
        <f t="shared" si="5"/>
        <v>0</v>
      </c>
    </row>
    <row r="48" spans="1:12" ht="17.25" customHeight="1">
      <c r="A48" s="579" t="s">
        <v>42</v>
      </c>
      <c r="B48" s="589">
        <v>1.9E-3</v>
      </c>
      <c r="C48" s="859">
        <f t="shared" si="4"/>
        <v>1282</v>
      </c>
      <c r="D48" s="896" t="s">
        <v>107</v>
      </c>
      <c r="E48" s="859">
        <f>ROUND($C48*0,0)</f>
        <v>0</v>
      </c>
      <c r="F48" s="859">
        <f>ROUND($C48*0.7,0)</f>
        <v>897</v>
      </c>
      <c r="G48" s="859">
        <f>ROUND($C48*0,0)</f>
        <v>0</v>
      </c>
      <c r="H48" s="859">
        <f>C48-F48</f>
        <v>385</v>
      </c>
      <c r="I48" s="859">
        <f t="shared" si="5"/>
        <v>0</v>
      </c>
    </row>
    <row r="49" spans="1:10" ht="17.25" customHeight="1">
      <c r="A49" s="579" t="s">
        <v>83</v>
      </c>
      <c r="B49" s="589">
        <v>8.9999999999999998E-4</v>
      </c>
      <c r="C49" s="859">
        <f t="shared" si="4"/>
        <v>607</v>
      </c>
      <c r="D49" s="896" t="s">
        <v>105</v>
      </c>
      <c r="E49" s="859">
        <f>ROUND($C49*0,0)</f>
        <v>0</v>
      </c>
      <c r="F49" s="859">
        <f>ROUND($C49*1,0)</f>
        <v>607</v>
      </c>
      <c r="G49" s="859">
        <f>ROUND($C49*0,0)</f>
        <v>0</v>
      </c>
      <c r="H49" s="859">
        <f>ROUND($C49*0,0)</f>
        <v>0</v>
      </c>
      <c r="I49" s="859">
        <f t="shared" si="5"/>
        <v>0</v>
      </c>
    </row>
    <row r="50" spans="1:10" ht="17.25" customHeight="1">
      <c r="A50" s="579" t="s">
        <v>84</v>
      </c>
      <c r="B50" s="589">
        <v>1E-3</v>
      </c>
      <c r="C50" s="859">
        <f t="shared" si="4"/>
        <v>675</v>
      </c>
      <c r="D50" s="896" t="s">
        <v>105</v>
      </c>
      <c r="E50" s="859">
        <f>ROUND($C50*0,0)</f>
        <v>0</v>
      </c>
      <c r="F50" s="859">
        <f>ROUND($C50*1,0)</f>
        <v>675</v>
      </c>
      <c r="G50" s="859">
        <f>ROUND($C50*0,0)</f>
        <v>0</v>
      </c>
      <c r="H50" s="859">
        <f>ROUND($C50*0,0)</f>
        <v>0</v>
      </c>
      <c r="I50" s="859">
        <f t="shared" si="5"/>
        <v>0</v>
      </c>
    </row>
    <row r="51" spans="1:10" ht="17.25" customHeight="1">
      <c r="A51" s="579" t="s">
        <v>86</v>
      </c>
      <c r="B51" s="589">
        <v>0.69950000000000001</v>
      </c>
      <c r="C51" s="859">
        <f t="shared" si="4"/>
        <v>471852</v>
      </c>
      <c r="D51" s="695" t="s">
        <v>187</v>
      </c>
      <c r="E51" s="859">
        <f>ROUNDDOWN($C51*0.5,0)</f>
        <v>235926</v>
      </c>
      <c r="F51" s="859">
        <f>ROUND($C51*0,0)</f>
        <v>0</v>
      </c>
      <c r="G51" s="859">
        <f>ROUNDUP($C51*0.5,0)</f>
        <v>235926</v>
      </c>
      <c r="H51" s="859">
        <f>ROUND($C51*0,0)</f>
        <v>0</v>
      </c>
      <c r="I51" s="859">
        <f t="shared" si="5"/>
        <v>0</v>
      </c>
    </row>
    <row r="52" spans="1:10" ht="17.25" customHeight="1">
      <c r="A52" s="579" t="s">
        <v>82</v>
      </c>
      <c r="B52" s="589">
        <v>1E-4</v>
      </c>
      <c r="C52" s="859">
        <f t="shared" si="4"/>
        <v>67</v>
      </c>
      <c r="D52" s="696" t="s">
        <v>179</v>
      </c>
      <c r="E52" s="859">
        <f>ROUND($C52*0,0)</f>
        <v>0</v>
      </c>
      <c r="F52" s="859">
        <f>ROUND($C52*0,0)</f>
        <v>0</v>
      </c>
      <c r="G52" s="859">
        <f>ROUND($C52*1,0)</f>
        <v>67</v>
      </c>
      <c r="H52" s="859">
        <f>ROUND($C52*0,0)</f>
        <v>0</v>
      </c>
      <c r="I52" s="859">
        <f t="shared" si="5"/>
        <v>0</v>
      </c>
    </row>
    <row r="53" spans="1:10" ht="17.25" customHeight="1">
      <c r="A53" s="579" t="s">
        <v>85</v>
      </c>
      <c r="B53" s="589">
        <v>1E-4</v>
      </c>
      <c r="C53" s="859">
        <f t="shared" si="4"/>
        <v>67</v>
      </c>
      <c r="D53" s="696" t="s">
        <v>106</v>
      </c>
      <c r="E53" s="859">
        <f>ROUND($C53*1,0)</f>
        <v>67</v>
      </c>
      <c r="F53" s="859">
        <f>ROUND($C53*0,0)</f>
        <v>0</v>
      </c>
      <c r="G53" s="859">
        <f>ROUND($C53*0,0)</f>
        <v>0</v>
      </c>
      <c r="H53" s="859">
        <f>ROUND($C53*0,0)</f>
        <v>0</v>
      </c>
      <c r="I53" s="859">
        <f t="shared" si="5"/>
        <v>0</v>
      </c>
    </row>
    <row r="54" spans="1:10" ht="17.25" customHeight="1" thickBot="1">
      <c r="A54" s="579" t="s">
        <v>138</v>
      </c>
      <c r="B54" s="589">
        <v>5.7999999999999996E-3</v>
      </c>
      <c r="C54" s="859">
        <f t="shared" si="4"/>
        <v>3912</v>
      </c>
      <c r="D54" s="829" t="s">
        <v>104</v>
      </c>
      <c r="E54" s="572">
        <f>ROUND($C54*0,0)</f>
        <v>0</v>
      </c>
      <c r="F54" s="572">
        <f>ROUND($C54*0,0)</f>
        <v>0</v>
      </c>
      <c r="G54" s="572">
        <f>ROUND($C54*0,0)</f>
        <v>0</v>
      </c>
      <c r="H54" s="572">
        <f>ROUND($C54*1,0)</f>
        <v>3912</v>
      </c>
      <c r="I54" s="859">
        <f t="shared" si="5"/>
        <v>0</v>
      </c>
    </row>
    <row r="55" spans="1:10" ht="17.25" customHeight="1" thickTop="1" thickBot="1">
      <c r="A55" s="697" t="s">
        <v>103</v>
      </c>
      <c r="B55" s="697">
        <f>SUM(B45:B54)</f>
        <v>1</v>
      </c>
      <c r="C55" s="570">
        <f>'4th Q CalWIN QA'!E90</f>
        <v>674556</v>
      </c>
      <c r="D55" s="571"/>
      <c r="E55" s="570">
        <f>SUM(E45:E54)</f>
        <v>346115</v>
      </c>
      <c r="F55" s="570">
        <f>SUM(F45:F54)</f>
        <v>63088</v>
      </c>
      <c r="G55" s="570">
        <f>SUM(G45:G54)</f>
        <v>235993</v>
      </c>
      <c r="H55" s="570">
        <f>SUM(H45:H54)</f>
        <v>29360</v>
      </c>
      <c r="I55" s="570">
        <f>SUM(I45:I54)</f>
        <v>0</v>
      </c>
      <c r="J55" s="830"/>
    </row>
    <row r="56" spans="1:10" ht="17.25" customHeight="1" thickTop="1" thickBot="1">
      <c r="A56" s="699" t="s">
        <v>112</v>
      </c>
      <c r="B56" s="700"/>
      <c r="C56" s="701"/>
      <c r="D56" s="702"/>
      <c r="E56" s="701"/>
      <c r="F56" s="880">
        <f>-H56</f>
        <v>29360</v>
      </c>
      <c r="G56" s="872"/>
      <c r="H56" s="880">
        <f>-H55</f>
        <v>-29360</v>
      </c>
      <c r="I56" s="880"/>
    </row>
    <row r="57" spans="1:10" ht="17.25" customHeight="1" thickTop="1" thickBot="1">
      <c r="A57" s="703" t="s">
        <v>48</v>
      </c>
      <c r="B57" s="704"/>
      <c r="C57" s="570">
        <f>SUM(C55:C56)</f>
        <v>674556</v>
      </c>
      <c r="D57" s="588"/>
      <c r="E57" s="570">
        <f>SUM(E55:E56)</f>
        <v>346115</v>
      </c>
      <c r="F57" s="570">
        <f>SUM(F55:F56)</f>
        <v>92448</v>
      </c>
      <c r="G57" s="570">
        <f>SUM(G55:G56)</f>
        <v>235993</v>
      </c>
      <c r="H57" s="570">
        <f>SUM(H55:H56)</f>
        <v>0</v>
      </c>
      <c r="I57" s="570">
        <f>SUM(I55:I56)</f>
        <v>0</v>
      </c>
    </row>
    <row r="58" spans="1:10" ht="17.25" customHeight="1" thickTop="1">
      <c r="A58" s="579" t="s">
        <v>78</v>
      </c>
      <c r="B58" s="579"/>
      <c r="C58" s="705"/>
      <c r="D58" s="705"/>
      <c r="E58" s="706"/>
      <c r="F58" s="1002">
        <f>SUM(F57:G57)</f>
        <v>328441</v>
      </c>
      <c r="G58" s="1003"/>
      <c r="H58" s="706"/>
      <c r="I58" s="706"/>
    </row>
    <row r="59" spans="1:10" ht="17.25" customHeight="1">
      <c r="A59" s="707"/>
      <c r="B59" s="707"/>
      <c r="C59" s="707"/>
      <c r="D59" s="707"/>
      <c r="E59" s="707"/>
      <c r="F59" s="707"/>
      <c r="G59" s="707"/>
      <c r="H59" s="707"/>
      <c r="I59" s="830"/>
    </row>
    <row r="60" spans="1:10" ht="17.25" customHeight="1" thickBot="1">
      <c r="A60" s="586" t="s">
        <v>225</v>
      </c>
      <c r="B60" s="585"/>
      <c r="C60" s="585"/>
      <c r="D60" s="585"/>
      <c r="E60" s="585"/>
      <c r="F60" s="585"/>
      <c r="G60" s="585"/>
      <c r="H60" s="584"/>
      <c r="I60" s="584"/>
    </row>
    <row r="61" spans="1:10" ht="17.25" customHeight="1" thickTop="1">
      <c r="A61" s="581" t="s">
        <v>93</v>
      </c>
      <c r="B61" s="881" t="s">
        <v>92</v>
      </c>
      <c r="C61" s="881" t="s">
        <v>91</v>
      </c>
      <c r="D61" s="887" t="s">
        <v>176</v>
      </c>
      <c r="E61" s="881" t="s">
        <v>89</v>
      </c>
      <c r="F61" s="881" t="s">
        <v>89</v>
      </c>
      <c r="G61" s="881" t="s">
        <v>89</v>
      </c>
      <c r="H61" s="881" t="s">
        <v>89</v>
      </c>
      <c r="I61" s="887" t="s">
        <v>89</v>
      </c>
    </row>
    <row r="62" spans="1:10" ht="17.25" customHeight="1" thickBot="1">
      <c r="A62" s="579" t="s">
        <v>86</v>
      </c>
      <c r="B62" s="873">
        <f>100%</f>
        <v>1</v>
      </c>
      <c r="C62" s="859">
        <f>C63</f>
        <v>1165869</v>
      </c>
      <c r="D62" s="858" t="s">
        <v>108</v>
      </c>
      <c r="E62" s="859">
        <f>ROUNDDOWN($C62*0.75,0)</f>
        <v>874401</v>
      </c>
      <c r="F62" s="859">
        <f>ROUND($C62*0,0)</f>
        <v>0</v>
      </c>
      <c r="G62" s="859">
        <f>ROUNDUP($C62*0.25,0)</f>
        <v>291468</v>
      </c>
      <c r="H62" s="859">
        <f>ROUND($C62*0,0)</f>
        <v>0</v>
      </c>
      <c r="I62" s="859">
        <f>ROUND($C62*0,0)</f>
        <v>0</v>
      </c>
    </row>
    <row r="63" spans="1:10" ht="17.25" customHeight="1" thickTop="1" thickBot="1">
      <c r="A63" s="580" t="s">
        <v>48</v>
      </c>
      <c r="B63" s="580">
        <f>SUM(B61:B62)</f>
        <v>1</v>
      </c>
      <c r="C63" s="570">
        <f>'4th Q CalWIN MO CH Non-App Main'!E90</f>
        <v>1165869</v>
      </c>
      <c r="D63" s="571"/>
      <c r="E63" s="570">
        <f>SUM(E62:E62)</f>
        <v>874401</v>
      </c>
      <c r="F63" s="570">
        <f>SUM(F62:F62)</f>
        <v>0</v>
      </c>
      <c r="G63" s="570">
        <f>SUM(G62:G62)</f>
        <v>291468</v>
      </c>
      <c r="H63" s="570">
        <f>SUM(H62:H62)</f>
        <v>0</v>
      </c>
      <c r="I63" s="570">
        <f>SUM(I62:I62)</f>
        <v>0</v>
      </c>
      <c r="J63" s="830"/>
    </row>
    <row r="64" spans="1:10" ht="17.25" customHeight="1" thickTop="1">
      <c r="A64" s="579" t="s">
        <v>78</v>
      </c>
      <c r="B64" s="579"/>
      <c r="C64" s="578"/>
      <c r="D64" s="578"/>
      <c r="E64" s="577"/>
      <c r="F64" s="1000">
        <f>SUM(F63:G63)</f>
        <v>291468</v>
      </c>
      <c r="G64" s="1001"/>
      <c r="H64" s="577"/>
      <c r="I64" s="577"/>
    </row>
    <row r="65" spans="1:99" ht="16.5" customHeight="1">
      <c r="A65" s="687"/>
      <c r="B65" s="687"/>
      <c r="C65" s="575"/>
      <c r="D65" s="682"/>
      <c r="E65" s="682"/>
      <c r="F65" s="682"/>
      <c r="G65" s="683"/>
      <c r="H65" s="688"/>
    </row>
    <row r="66" spans="1:99" s="576" customFormat="1" ht="17.149999999999999" customHeight="1" thickBot="1">
      <c r="A66" s="586" t="s">
        <v>224</v>
      </c>
      <c r="B66" s="585"/>
      <c r="C66" s="585"/>
      <c r="D66" s="585"/>
      <c r="E66" s="585"/>
      <c r="F66" s="585"/>
      <c r="G66" s="585"/>
      <c r="H66" s="584"/>
      <c r="I66" s="584"/>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7"/>
      <c r="AY66" s="827"/>
      <c r="AZ66" s="827"/>
      <c r="BA66" s="827"/>
      <c r="BB66" s="827"/>
      <c r="BC66" s="827"/>
      <c r="BD66" s="827"/>
      <c r="BE66" s="827"/>
      <c r="BF66" s="827"/>
      <c r="BG66" s="827"/>
      <c r="BH66" s="827"/>
      <c r="BI66" s="827"/>
      <c r="BJ66" s="827"/>
      <c r="BK66" s="827"/>
      <c r="BL66" s="827"/>
      <c r="BM66" s="827"/>
      <c r="BN66" s="827"/>
      <c r="BO66" s="827"/>
      <c r="BP66" s="827"/>
      <c r="BQ66" s="827"/>
      <c r="BR66" s="827"/>
      <c r="BS66" s="827"/>
      <c r="BT66" s="827"/>
      <c r="BU66" s="827"/>
      <c r="BV66" s="827"/>
      <c r="BW66" s="827"/>
      <c r="BX66" s="827"/>
      <c r="BY66" s="827"/>
      <c r="BZ66" s="827"/>
      <c r="CA66" s="827"/>
      <c r="CB66" s="827"/>
      <c r="CC66" s="827"/>
      <c r="CD66" s="827"/>
      <c r="CE66" s="827"/>
      <c r="CF66" s="827"/>
      <c r="CG66" s="827"/>
      <c r="CH66" s="827"/>
      <c r="CI66" s="827"/>
      <c r="CJ66" s="827"/>
      <c r="CK66" s="827"/>
      <c r="CL66" s="827"/>
      <c r="CM66" s="827"/>
      <c r="CN66" s="827"/>
      <c r="CO66" s="827"/>
      <c r="CP66" s="827"/>
      <c r="CQ66" s="827"/>
      <c r="CR66" s="827"/>
      <c r="CS66" s="827"/>
      <c r="CT66" s="827"/>
      <c r="CU66" s="827"/>
    </row>
    <row r="67" spans="1:99" s="576" customFormat="1" ht="17.149999999999999" customHeight="1" thickTop="1">
      <c r="A67" s="583"/>
      <c r="B67" s="582" t="s">
        <v>93</v>
      </c>
      <c r="C67" s="582" t="s">
        <v>93</v>
      </c>
      <c r="D67" s="582" t="s">
        <v>97</v>
      </c>
      <c r="E67" s="582" t="s">
        <v>96</v>
      </c>
      <c r="F67" s="582" t="s">
        <v>95</v>
      </c>
      <c r="G67" s="582" t="s">
        <v>94</v>
      </c>
      <c r="H67" s="582" t="s">
        <v>44</v>
      </c>
      <c r="I67" s="693" t="s">
        <v>61</v>
      </c>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827"/>
      <c r="AX67" s="827"/>
      <c r="AY67" s="827"/>
      <c r="AZ67" s="827"/>
      <c r="BA67" s="827"/>
      <c r="BB67" s="827"/>
      <c r="BC67" s="827"/>
      <c r="BD67" s="827"/>
      <c r="BE67" s="827"/>
      <c r="BF67" s="827"/>
      <c r="BG67" s="827"/>
      <c r="BH67" s="827"/>
      <c r="BI67" s="827"/>
      <c r="BJ67" s="827"/>
      <c r="BK67" s="827"/>
      <c r="BL67" s="827"/>
      <c r="BM67" s="827"/>
      <c r="BN67" s="827"/>
      <c r="BO67" s="827"/>
      <c r="BP67" s="827"/>
      <c r="BQ67" s="827"/>
      <c r="BR67" s="827"/>
      <c r="BS67" s="827"/>
      <c r="BT67" s="827"/>
      <c r="BU67" s="827"/>
      <c r="BV67" s="827"/>
      <c r="BW67" s="827"/>
      <c r="BX67" s="827"/>
      <c r="BY67" s="827"/>
      <c r="BZ67" s="827"/>
      <c r="CA67" s="827"/>
      <c r="CB67" s="827"/>
      <c r="CC67" s="827"/>
      <c r="CD67" s="827"/>
      <c r="CE67" s="827"/>
      <c r="CF67" s="827"/>
      <c r="CG67" s="827"/>
      <c r="CH67" s="827"/>
      <c r="CI67" s="827"/>
      <c r="CJ67" s="827"/>
      <c r="CK67" s="827"/>
      <c r="CL67" s="827"/>
      <c r="CM67" s="827"/>
      <c r="CN67" s="827"/>
      <c r="CO67" s="827"/>
      <c r="CP67" s="827"/>
      <c r="CQ67" s="827"/>
      <c r="CR67" s="827"/>
      <c r="CS67" s="827"/>
      <c r="CT67" s="827"/>
      <c r="CU67" s="827"/>
    </row>
    <row r="68" spans="1:99" s="576" customFormat="1" ht="17.149999999999999" customHeight="1">
      <c r="A68" s="581" t="s">
        <v>93</v>
      </c>
      <c r="B68" s="881" t="s">
        <v>92</v>
      </c>
      <c r="C68" s="881" t="s">
        <v>91</v>
      </c>
      <c r="D68" s="887" t="s">
        <v>176</v>
      </c>
      <c r="E68" s="881" t="s">
        <v>89</v>
      </c>
      <c r="F68" s="881" t="s">
        <v>89</v>
      </c>
      <c r="G68" s="881" t="s">
        <v>89</v>
      </c>
      <c r="H68" s="881" t="s">
        <v>89</v>
      </c>
      <c r="I68" s="887" t="s">
        <v>89</v>
      </c>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7"/>
      <c r="AX68" s="827"/>
      <c r="AY68" s="827"/>
      <c r="AZ68" s="827"/>
      <c r="BA68" s="827"/>
      <c r="BB68" s="827"/>
      <c r="BC68" s="827"/>
      <c r="BD68" s="827"/>
      <c r="BE68" s="827"/>
      <c r="BF68" s="827"/>
      <c r="BG68" s="827"/>
      <c r="BH68" s="827"/>
      <c r="BI68" s="827"/>
      <c r="BJ68" s="827"/>
      <c r="BK68" s="827"/>
      <c r="BL68" s="827"/>
      <c r="BM68" s="827"/>
      <c r="BN68" s="827"/>
      <c r="BO68" s="827"/>
      <c r="BP68" s="827"/>
      <c r="BQ68" s="827"/>
      <c r="BR68" s="827"/>
      <c r="BS68" s="827"/>
      <c r="BT68" s="827"/>
      <c r="BU68" s="827"/>
      <c r="BV68" s="827"/>
      <c r="BW68" s="827"/>
      <c r="BX68" s="827"/>
      <c r="BY68" s="827"/>
      <c r="BZ68" s="827"/>
      <c r="CA68" s="827"/>
      <c r="CB68" s="827"/>
      <c r="CC68" s="827"/>
      <c r="CD68" s="827"/>
      <c r="CE68" s="827"/>
      <c r="CF68" s="827"/>
      <c r="CG68" s="827"/>
      <c r="CH68" s="827"/>
      <c r="CI68" s="827"/>
      <c r="CJ68" s="827"/>
      <c r="CK68" s="827"/>
      <c r="CL68" s="827"/>
      <c r="CM68" s="827"/>
      <c r="CN68" s="827"/>
      <c r="CO68" s="827"/>
      <c r="CP68" s="827"/>
      <c r="CQ68" s="827"/>
      <c r="CR68" s="827"/>
      <c r="CS68" s="827"/>
      <c r="CT68" s="827"/>
      <c r="CU68" s="827"/>
    </row>
    <row r="69" spans="1:99" s="576" customFormat="1" ht="17.149999999999999" customHeight="1">
      <c r="A69" s="579" t="s">
        <v>86</v>
      </c>
      <c r="B69" s="873">
        <v>0.87409999999999999</v>
      </c>
      <c r="C69" s="859">
        <f>C71-SUM(C70)</f>
        <v>519329</v>
      </c>
      <c r="D69" s="858" t="s">
        <v>108</v>
      </c>
      <c r="E69" s="859">
        <f>ROUNDDOWN($C69*0.75,0)</f>
        <v>389496</v>
      </c>
      <c r="F69" s="859">
        <f>ROUND($C69*0,0)</f>
        <v>0</v>
      </c>
      <c r="G69" s="859">
        <f>ROUNDUP($C69*0.25,0)</f>
        <v>129833</v>
      </c>
      <c r="H69" s="859">
        <f>ROUND($C69*0,0)</f>
        <v>0</v>
      </c>
      <c r="I69" s="859">
        <f>ROUND($C69*0,0)</f>
        <v>0</v>
      </c>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827"/>
      <c r="AX69" s="827"/>
      <c r="AY69" s="827"/>
      <c r="AZ69" s="827"/>
      <c r="BA69" s="827"/>
      <c r="BB69" s="827"/>
      <c r="BC69" s="827"/>
      <c r="BD69" s="827"/>
      <c r="BE69" s="827"/>
      <c r="BF69" s="827"/>
      <c r="BG69" s="827"/>
      <c r="BH69" s="827"/>
      <c r="BI69" s="827"/>
      <c r="BJ69" s="827"/>
      <c r="BK69" s="827"/>
      <c r="BL69" s="827"/>
      <c r="BM69" s="827"/>
      <c r="BN69" s="827"/>
      <c r="BO69" s="827"/>
      <c r="BP69" s="827"/>
      <c r="BQ69" s="827"/>
      <c r="BR69" s="827"/>
      <c r="BS69" s="827"/>
      <c r="BT69" s="827"/>
      <c r="BU69" s="827"/>
      <c r="BV69" s="827"/>
      <c r="BW69" s="827"/>
      <c r="BX69" s="827"/>
      <c r="BY69" s="827"/>
      <c r="BZ69" s="827"/>
      <c r="CA69" s="827"/>
      <c r="CB69" s="827"/>
      <c r="CC69" s="827"/>
      <c r="CD69" s="827"/>
      <c r="CE69" s="827"/>
      <c r="CF69" s="827"/>
      <c r="CG69" s="827"/>
      <c r="CH69" s="827"/>
      <c r="CI69" s="827"/>
      <c r="CJ69" s="827"/>
      <c r="CK69" s="827"/>
      <c r="CL69" s="827"/>
      <c r="CM69" s="827"/>
      <c r="CN69" s="827"/>
      <c r="CO69" s="827"/>
      <c r="CP69" s="827"/>
      <c r="CQ69" s="827"/>
      <c r="CR69" s="827"/>
      <c r="CS69" s="827"/>
      <c r="CT69" s="827"/>
      <c r="CU69" s="827"/>
    </row>
    <row r="70" spans="1:99" s="576" customFormat="1" ht="17.149999999999999" customHeight="1" thickBot="1">
      <c r="A70" s="587" t="s">
        <v>61</v>
      </c>
      <c r="B70" s="832">
        <v>0.12590000000000001</v>
      </c>
      <c r="C70" s="572">
        <f>ROUND(C71*B70,0)</f>
        <v>74801</v>
      </c>
      <c r="D70" s="858" t="s">
        <v>116</v>
      </c>
      <c r="E70" s="859">
        <f>ROUND($C70*0,0)</f>
        <v>0</v>
      </c>
      <c r="F70" s="859">
        <f>ROUND($C70*0,0)</f>
        <v>0</v>
      </c>
      <c r="G70" s="859">
        <f>ROUND($C70*0,0)</f>
        <v>0</v>
      </c>
      <c r="H70" s="859">
        <f>ROUND($C70*0,0)</f>
        <v>0</v>
      </c>
      <c r="I70" s="859">
        <f>ROUND($C70*1,0)</f>
        <v>74801</v>
      </c>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7"/>
      <c r="AY70" s="827"/>
      <c r="AZ70" s="827"/>
      <c r="BA70" s="827"/>
      <c r="BB70" s="827"/>
      <c r="BC70" s="827"/>
      <c r="BD70" s="827"/>
      <c r="BE70" s="827"/>
      <c r="BF70" s="827"/>
      <c r="BG70" s="827"/>
      <c r="BH70" s="827"/>
      <c r="BI70" s="827"/>
      <c r="BJ70" s="827"/>
      <c r="BK70" s="827"/>
      <c r="BL70" s="827"/>
      <c r="BM70" s="827"/>
      <c r="BN70" s="827"/>
      <c r="BO70" s="827"/>
      <c r="BP70" s="827"/>
      <c r="BQ70" s="827"/>
      <c r="BR70" s="827"/>
      <c r="BS70" s="827"/>
      <c r="BT70" s="827"/>
      <c r="BU70" s="827"/>
      <c r="BV70" s="827"/>
      <c r="BW70" s="827"/>
      <c r="BX70" s="827"/>
      <c r="BY70" s="827"/>
      <c r="BZ70" s="827"/>
      <c r="CA70" s="827"/>
      <c r="CB70" s="827"/>
      <c r="CC70" s="827"/>
      <c r="CD70" s="827"/>
      <c r="CE70" s="827"/>
      <c r="CF70" s="827"/>
      <c r="CG70" s="827"/>
      <c r="CH70" s="827"/>
      <c r="CI70" s="827"/>
      <c r="CJ70" s="827"/>
      <c r="CK70" s="827"/>
      <c r="CL70" s="827"/>
      <c r="CM70" s="827"/>
      <c r="CN70" s="827"/>
      <c r="CO70" s="827"/>
      <c r="CP70" s="827"/>
      <c r="CQ70" s="827"/>
      <c r="CR70" s="827"/>
      <c r="CS70" s="827"/>
      <c r="CT70" s="827"/>
      <c r="CU70" s="827"/>
    </row>
    <row r="71" spans="1:99" s="576" customFormat="1" ht="17.149999999999999" customHeight="1" thickTop="1" thickBot="1">
      <c r="A71" s="580" t="s">
        <v>48</v>
      </c>
      <c r="B71" s="580">
        <f>SUM(B69:B70)</f>
        <v>1</v>
      </c>
      <c r="C71" s="570">
        <f>'4th Q CalWIN MO CH App Maint'!E90</f>
        <v>594130</v>
      </c>
      <c r="D71" s="571"/>
      <c r="E71" s="570">
        <f>SUM(E69:E70)</f>
        <v>389496</v>
      </c>
      <c r="F71" s="570">
        <f>SUM(F69:F70)</f>
        <v>0</v>
      </c>
      <c r="G71" s="570">
        <f>SUM(G69:G70)</f>
        <v>129833</v>
      </c>
      <c r="H71" s="570">
        <f>SUM(H69:H70)</f>
        <v>0</v>
      </c>
      <c r="I71" s="570">
        <f>SUM(I69:I70)</f>
        <v>74801</v>
      </c>
      <c r="J71" s="830"/>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7"/>
      <c r="AY71" s="827"/>
      <c r="AZ71" s="827"/>
      <c r="BA71" s="827"/>
      <c r="BB71" s="827"/>
      <c r="BC71" s="827"/>
      <c r="BD71" s="827"/>
      <c r="BE71" s="827"/>
      <c r="BF71" s="827"/>
      <c r="BG71" s="827"/>
      <c r="BH71" s="827"/>
      <c r="BI71" s="827"/>
      <c r="BJ71" s="827"/>
      <c r="BK71" s="827"/>
      <c r="BL71" s="827"/>
      <c r="BM71" s="827"/>
      <c r="BN71" s="827"/>
      <c r="BO71" s="827"/>
      <c r="BP71" s="827"/>
      <c r="BQ71" s="827"/>
      <c r="BR71" s="827"/>
      <c r="BS71" s="827"/>
      <c r="BT71" s="827"/>
      <c r="BU71" s="827"/>
      <c r="BV71" s="827"/>
      <c r="BW71" s="827"/>
      <c r="BX71" s="827"/>
      <c r="BY71" s="827"/>
      <c r="BZ71" s="827"/>
      <c r="CA71" s="827"/>
      <c r="CB71" s="827"/>
      <c r="CC71" s="827"/>
      <c r="CD71" s="827"/>
      <c r="CE71" s="827"/>
      <c r="CF71" s="827"/>
      <c r="CG71" s="827"/>
      <c r="CH71" s="827"/>
      <c r="CI71" s="827"/>
      <c r="CJ71" s="827"/>
      <c r="CK71" s="827"/>
      <c r="CL71" s="827"/>
      <c r="CM71" s="827"/>
      <c r="CN71" s="827"/>
      <c r="CO71" s="827"/>
      <c r="CP71" s="827"/>
      <c r="CQ71" s="827"/>
      <c r="CR71" s="827"/>
      <c r="CS71" s="827"/>
      <c r="CT71" s="827"/>
      <c r="CU71" s="827"/>
    </row>
    <row r="72" spans="1:99" s="576" customFormat="1" ht="17.25" customHeight="1" thickTop="1">
      <c r="A72" s="579" t="s">
        <v>78</v>
      </c>
      <c r="B72" s="579"/>
      <c r="C72" s="578"/>
      <c r="D72" s="578"/>
      <c r="E72" s="577"/>
      <c r="F72" s="1000">
        <f>SUM(F71:G71)</f>
        <v>129833</v>
      </c>
      <c r="G72" s="1001"/>
      <c r="H72" s="577"/>
      <c r="I72" s="57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7"/>
      <c r="AY72" s="827"/>
      <c r="AZ72" s="827"/>
      <c r="BA72" s="827"/>
      <c r="BB72" s="827"/>
      <c r="BC72" s="827"/>
      <c r="BD72" s="827"/>
      <c r="BE72" s="827"/>
      <c r="BF72" s="827"/>
      <c r="BG72" s="827"/>
      <c r="BH72" s="827"/>
      <c r="BI72" s="827"/>
      <c r="BJ72" s="827"/>
      <c r="BK72" s="827"/>
      <c r="BL72" s="827"/>
      <c r="BM72" s="827"/>
      <c r="BN72" s="827"/>
      <c r="BO72" s="827"/>
      <c r="BP72" s="827"/>
      <c r="BQ72" s="827"/>
      <c r="BR72" s="827"/>
      <c r="BS72" s="827"/>
      <c r="BT72" s="827"/>
      <c r="BU72" s="827"/>
      <c r="BV72" s="827"/>
      <c r="BW72" s="827"/>
      <c r="BX72" s="827"/>
      <c r="BY72" s="827"/>
      <c r="BZ72" s="827"/>
      <c r="CA72" s="827"/>
      <c r="CB72" s="827"/>
      <c r="CC72" s="827"/>
      <c r="CD72" s="827"/>
      <c r="CE72" s="827"/>
      <c r="CF72" s="827"/>
      <c r="CG72" s="827"/>
      <c r="CH72" s="827"/>
      <c r="CI72" s="827"/>
      <c r="CJ72" s="827"/>
      <c r="CK72" s="827"/>
      <c r="CL72" s="827"/>
      <c r="CM72" s="827"/>
      <c r="CN72" s="827"/>
      <c r="CO72" s="827"/>
      <c r="CP72" s="827"/>
      <c r="CQ72" s="827"/>
      <c r="CR72" s="827"/>
      <c r="CS72" s="827"/>
      <c r="CT72" s="827"/>
      <c r="CU72" s="827"/>
    </row>
    <row r="73" spans="1:99" ht="17.149999999999999" customHeight="1">
      <c r="A73" s="687"/>
      <c r="B73" s="687"/>
      <c r="C73" s="575"/>
      <c r="D73" s="682"/>
      <c r="E73" s="682"/>
      <c r="F73" s="682"/>
      <c r="G73" s="683"/>
      <c r="H73" s="688"/>
    </row>
    <row r="74" spans="1:99" s="576" customFormat="1" ht="17.149999999999999" customHeight="1" thickBot="1">
      <c r="A74" s="586" t="s">
        <v>223</v>
      </c>
      <c r="B74" s="585"/>
      <c r="C74" s="585"/>
      <c r="D74" s="585"/>
      <c r="E74" s="585"/>
      <c r="F74" s="585"/>
      <c r="G74" s="585"/>
      <c r="H74" s="584"/>
      <c r="I74" s="584"/>
      <c r="J74" s="827"/>
      <c r="K74" s="827"/>
      <c r="L74" s="827"/>
      <c r="M74" s="827"/>
      <c r="N74" s="827"/>
      <c r="O74" s="827"/>
      <c r="P74" s="827"/>
      <c r="Q74" s="827"/>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7"/>
      <c r="BA74" s="827"/>
      <c r="BB74" s="827"/>
      <c r="BC74" s="827"/>
      <c r="BD74" s="827"/>
      <c r="BE74" s="827"/>
      <c r="BF74" s="827"/>
      <c r="BG74" s="827"/>
      <c r="BH74" s="827"/>
      <c r="BI74" s="827"/>
      <c r="BJ74" s="827"/>
      <c r="BK74" s="827"/>
      <c r="BL74" s="827"/>
      <c r="BM74" s="827"/>
      <c r="BN74" s="827"/>
      <c r="BO74" s="827"/>
      <c r="BP74" s="827"/>
      <c r="BQ74" s="827"/>
      <c r="BR74" s="827"/>
      <c r="BS74" s="827"/>
      <c r="BT74" s="827"/>
      <c r="BU74" s="827"/>
      <c r="BV74" s="827"/>
      <c r="BW74" s="827"/>
      <c r="BX74" s="827"/>
      <c r="BY74" s="827"/>
      <c r="BZ74" s="827"/>
      <c r="CA74" s="827"/>
      <c r="CB74" s="827"/>
      <c r="CC74" s="827"/>
      <c r="CD74" s="827"/>
      <c r="CE74" s="827"/>
      <c r="CF74" s="827"/>
      <c r="CG74" s="827"/>
      <c r="CH74" s="827"/>
      <c r="CI74" s="827"/>
      <c r="CJ74" s="827"/>
      <c r="CK74" s="827"/>
      <c r="CL74" s="827"/>
      <c r="CM74" s="827"/>
      <c r="CN74" s="827"/>
      <c r="CO74" s="827"/>
      <c r="CP74" s="827"/>
      <c r="CQ74" s="827"/>
      <c r="CR74" s="827"/>
      <c r="CS74" s="827"/>
      <c r="CT74" s="827"/>
      <c r="CU74" s="827"/>
    </row>
    <row r="75" spans="1:99" s="576" customFormat="1" ht="17.149999999999999" customHeight="1" thickTop="1">
      <c r="A75" s="583"/>
      <c r="B75" s="582" t="s">
        <v>93</v>
      </c>
      <c r="C75" s="582" t="s">
        <v>93</v>
      </c>
      <c r="D75" s="582" t="s">
        <v>97</v>
      </c>
      <c r="E75" s="582" t="s">
        <v>96</v>
      </c>
      <c r="F75" s="582" t="s">
        <v>95</v>
      </c>
      <c r="G75" s="582" t="s">
        <v>94</v>
      </c>
      <c r="H75" s="582" t="s">
        <v>44</v>
      </c>
      <c r="I75" s="693" t="s">
        <v>61</v>
      </c>
      <c r="J75" s="827"/>
      <c r="K75" s="827"/>
      <c r="L75" s="827"/>
      <c r="M75" s="827"/>
      <c r="N75" s="827"/>
      <c r="O75" s="827"/>
      <c r="P75" s="827"/>
      <c r="Q75" s="827"/>
      <c r="R75" s="827"/>
      <c r="S75" s="827"/>
      <c r="T75" s="827"/>
      <c r="U75" s="827"/>
      <c r="V75" s="827"/>
      <c r="W75" s="827"/>
      <c r="X75" s="827"/>
      <c r="Y75" s="827"/>
      <c r="Z75" s="827"/>
      <c r="AA75" s="827"/>
      <c r="AB75" s="827"/>
      <c r="AC75" s="827"/>
      <c r="AD75" s="827"/>
      <c r="AE75" s="827"/>
      <c r="AF75" s="827"/>
      <c r="AG75" s="827"/>
      <c r="AH75" s="827"/>
      <c r="AI75" s="827"/>
      <c r="AJ75" s="827"/>
      <c r="AK75" s="827"/>
      <c r="AL75" s="827"/>
      <c r="AM75" s="827"/>
      <c r="AN75" s="827"/>
      <c r="AO75" s="827"/>
      <c r="AP75" s="827"/>
      <c r="AQ75" s="827"/>
      <c r="AR75" s="827"/>
      <c r="AS75" s="827"/>
      <c r="AT75" s="827"/>
      <c r="AU75" s="827"/>
      <c r="AV75" s="827"/>
      <c r="AW75" s="827"/>
      <c r="AX75" s="827"/>
      <c r="AY75" s="827"/>
      <c r="AZ75" s="827"/>
      <c r="BA75" s="827"/>
      <c r="BB75" s="827"/>
      <c r="BC75" s="827"/>
      <c r="BD75" s="827"/>
      <c r="BE75" s="827"/>
      <c r="BF75" s="827"/>
      <c r="BG75" s="827"/>
      <c r="BH75" s="827"/>
      <c r="BI75" s="827"/>
      <c r="BJ75" s="827"/>
      <c r="BK75" s="827"/>
      <c r="BL75" s="827"/>
      <c r="BM75" s="827"/>
      <c r="BN75" s="827"/>
      <c r="BO75" s="827"/>
      <c r="BP75" s="827"/>
      <c r="BQ75" s="827"/>
      <c r="BR75" s="827"/>
      <c r="BS75" s="827"/>
      <c r="BT75" s="827"/>
      <c r="BU75" s="827"/>
      <c r="BV75" s="827"/>
      <c r="BW75" s="827"/>
      <c r="BX75" s="827"/>
      <c r="BY75" s="827"/>
      <c r="BZ75" s="827"/>
      <c r="CA75" s="827"/>
      <c r="CB75" s="827"/>
      <c r="CC75" s="827"/>
      <c r="CD75" s="827"/>
      <c r="CE75" s="827"/>
      <c r="CF75" s="827"/>
      <c r="CG75" s="827"/>
      <c r="CH75" s="827"/>
      <c r="CI75" s="827"/>
      <c r="CJ75" s="827"/>
      <c r="CK75" s="827"/>
      <c r="CL75" s="827"/>
      <c r="CM75" s="827"/>
      <c r="CN75" s="827"/>
      <c r="CO75" s="827"/>
      <c r="CP75" s="827"/>
      <c r="CQ75" s="827"/>
      <c r="CR75" s="827"/>
      <c r="CS75" s="827"/>
      <c r="CT75" s="827"/>
      <c r="CU75" s="827"/>
    </row>
    <row r="76" spans="1:99" s="576" customFormat="1" ht="17.149999999999999" customHeight="1">
      <c r="A76" s="581" t="s">
        <v>93</v>
      </c>
      <c r="B76" s="881" t="s">
        <v>92</v>
      </c>
      <c r="C76" s="881" t="s">
        <v>91</v>
      </c>
      <c r="D76" s="887" t="s">
        <v>176</v>
      </c>
      <c r="E76" s="881" t="s">
        <v>89</v>
      </c>
      <c r="F76" s="881" t="s">
        <v>89</v>
      </c>
      <c r="G76" s="881" t="s">
        <v>89</v>
      </c>
      <c r="H76" s="881" t="s">
        <v>89</v>
      </c>
      <c r="I76" s="887" t="s">
        <v>89</v>
      </c>
      <c r="J76" s="827"/>
      <c r="K76" s="827"/>
      <c r="L76" s="827"/>
      <c r="M76" s="827"/>
      <c r="N76" s="827"/>
      <c r="O76" s="827"/>
      <c r="P76" s="827"/>
      <c r="Q76" s="827"/>
      <c r="R76" s="827"/>
      <c r="S76" s="827"/>
      <c r="T76" s="827"/>
      <c r="U76" s="827"/>
      <c r="V76" s="827"/>
      <c r="W76" s="827"/>
      <c r="X76" s="827"/>
      <c r="Y76" s="827"/>
      <c r="Z76" s="827"/>
      <c r="AA76" s="827"/>
      <c r="AB76" s="827"/>
      <c r="AC76" s="827"/>
      <c r="AD76" s="827"/>
      <c r="AE76" s="827"/>
      <c r="AF76" s="827"/>
      <c r="AG76" s="827"/>
      <c r="AH76" s="827"/>
      <c r="AI76" s="827"/>
      <c r="AJ76" s="827"/>
      <c r="AK76" s="827"/>
      <c r="AL76" s="827"/>
      <c r="AM76" s="827"/>
      <c r="AN76" s="827"/>
      <c r="AO76" s="827"/>
      <c r="AP76" s="827"/>
      <c r="AQ76" s="827"/>
      <c r="AR76" s="827"/>
      <c r="AS76" s="827"/>
      <c r="AT76" s="827"/>
      <c r="AU76" s="827"/>
      <c r="AV76" s="827"/>
      <c r="AW76" s="827"/>
      <c r="AX76" s="827"/>
      <c r="AY76" s="827"/>
      <c r="AZ76" s="827"/>
      <c r="BA76" s="827"/>
      <c r="BB76" s="827"/>
      <c r="BC76" s="827"/>
      <c r="BD76" s="827"/>
      <c r="BE76" s="827"/>
      <c r="BF76" s="827"/>
      <c r="BG76" s="827"/>
      <c r="BH76" s="827"/>
      <c r="BI76" s="827"/>
      <c r="BJ76" s="827"/>
      <c r="BK76" s="827"/>
      <c r="BL76" s="827"/>
      <c r="BM76" s="827"/>
      <c r="BN76" s="827"/>
      <c r="BO76" s="827"/>
      <c r="BP76" s="827"/>
      <c r="BQ76" s="827"/>
      <c r="BR76" s="827"/>
      <c r="BS76" s="827"/>
      <c r="BT76" s="827"/>
      <c r="BU76" s="827"/>
      <c r="BV76" s="827"/>
      <c r="BW76" s="827"/>
      <c r="BX76" s="827"/>
      <c r="BY76" s="827"/>
      <c r="BZ76" s="827"/>
      <c r="CA76" s="827"/>
      <c r="CB76" s="827"/>
      <c r="CC76" s="827"/>
      <c r="CD76" s="827"/>
      <c r="CE76" s="827"/>
      <c r="CF76" s="827"/>
      <c r="CG76" s="827"/>
      <c r="CH76" s="827"/>
      <c r="CI76" s="827"/>
      <c r="CJ76" s="827"/>
      <c r="CK76" s="827"/>
      <c r="CL76" s="827"/>
      <c r="CM76" s="827"/>
      <c r="CN76" s="827"/>
      <c r="CO76" s="827"/>
      <c r="CP76" s="827"/>
      <c r="CQ76" s="827"/>
      <c r="CR76" s="827"/>
      <c r="CS76" s="827"/>
      <c r="CT76" s="827"/>
      <c r="CU76" s="827"/>
    </row>
    <row r="77" spans="1:99" s="576" customFormat="1" ht="17.149999999999999" customHeight="1" thickBot="1">
      <c r="A77" s="579" t="s">
        <v>86</v>
      </c>
      <c r="B77" s="873">
        <f>100%</f>
        <v>1</v>
      </c>
      <c r="C77" s="859">
        <f>C78</f>
        <v>356118</v>
      </c>
      <c r="D77" s="858" t="s">
        <v>108</v>
      </c>
      <c r="E77" s="859">
        <f>ROUNDDOWN($C77*0.75,0)</f>
        <v>267088</v>
      </c>
      <c r="F77" s="859">
        <f>ROUND($C77*0,0)</f>
        <v>0</v>
      </c>
      <c r="G77" s="859">
        <f>ROUNDUP($C77*0.25,0)</f>
        <v>89030</v>
      </c>
      <c r="H77" s="859">
        <f>ROUND($C77*0,0)</f>
        <v>0</v>
      </c>
      <c r="I77" s="859">
        <f>ROUND($C77*0,0)</f>
        <v>0</v>
      </c>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7"/>
      <c r="AS77" s="827"/>
      <c r="AT77" s="827"/>
      <c r="AU77" s="827"/>
      <c r="AV77" s="827"/>
      <c r="AW77" s="827"/>
      <c r="AX77" s="827"/>
      <c r="AY77" s="827"/>
      <c r="AZ77" s="827"/>
      <c r="BA77" s="827"/>
      <c r="BB77" s="827"/>
      <c r="BC77" s="827"/>
      <c r="BD77" s="827"/>
      <c r="BE77" s="827"/>
      <c r="BF77" s="827"/>
      <c r="BG77" s="827"/>
      <c r="BH77" s="827"/>
      <c r="BI77" s="827"/>
      <c r="BJ77" s="827"/>
      <c r="BK77" s="827"/>
      <c r="BL77" s="827"/>
      <c r="BM77" s="827"/>
      <c r="BN77" s="827"/>
      <c r="BO77" s="827"/>
      <c r="BP77" s="827"/>
      <c r="BQ77" s="827"/>
      <c r="BR77" s="827"/>
      <c r="BS77" s="827"/>
      <c r="BT77" s="827"/>
      <c r="BU77" s="827"/>
      <c r="BV77" s="827"/>
      <c r="BW77" s="827"/>
      <c r="BX77" s="827"/>
      <c r="BY77" s="827"/>
      <c r="BZ77" s="827"/>
      <c r="CA77" s="827"/>
      <c r="CB77" s="827"/>
      <c r="CC77" s="827"/>
      <c r="CD77" s="827"/>
      <c r="CE77" s="827"/>
      <c r="CF77" s="827"/>
      <c r="CG77" s="827"/>
      <c r="CH77" s="827"/>
      <c r="CI77" s="827"/>
      <c r="CJ77" s="827"/>
      <c r="CK77" s="827"/>
      <c r="CL77" s="827"/>
      <c r="CM77" s="827"/>
      <c r="CN77" s="827"/>
      <c r="CO77" s="827"/>
      <c r="CP77" s="827"/>
      <c r="CQ77" s="827"/>
      <c r="CR77" s="827"/>
      <c r="CS77" s="827"/>
      <c r="CT77" s="827"/>
      <c r="CU77" s="827"/>
    </row>
    <row r="78" spans="1:99" s="576" customFormat="1" ht="17.149999999999999" customHeight="1" thickTop="1" thickBot="1">
      <c r="A78" s="580" t="s">
        <v>48</v>
      </c>
      <c r="B78" s="580">
        <f>SUM(B75:B77)</f>
        <v>1</v>
      </c>
      <c r="C78" s="570">
        <f>'4th Q CalWIN MO CH CSCN Exp'!E90</f>
        <v>356118</v>
      </c>
      <c r="D78" s="571"/>
      <c r="E78" s="570">
        <f>SUM(E77:E77)</f>
        <v>267088</v>
      </c>
      <c r="F78" s="570">
        <f>SUM(F77:F77)</f>
        <v>0</v>
      </c>
      <c r="G78" s="570">
        <f>SUM(G77:G77)</f>
        <v>89030</v>
      </c>
      <c r="H78" s="570">
        <f>SUM(H77:H77)</f>
        <v>0</v>
      </c>
      <c r="I78" s="570">
        <f>SUM(I77:I77)</f>
        <v>0</v>
      </c>
      <c r="J78" s="830"/>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7"/>
      <c r="BA78" s="827"/>
      <c r="BB78" s="827"/>
      <c r="BC78" s="827"/>
      <c r="BD78" s="827"/>
      <c r="BE78" s="827"/>
      <c r="BF78" s="827"/>
      <c r="BG78" s="827"/>
      <c r="BH78" s="827"/>
      <c r="BI78" s="827"/>
      <c r="BJ78" s="827"/>
      <c r="BK78" s="827"/>
      <c r="BL78" s="827"/>
      <c r="BM78" s="827"/>
      <c r="BN78" s="827"/>
      <c r="BO78" s="827"/>
      <c r="BP78" s="827"/>
      <c r="BQ78" s="827"/>
      <c r="BR78" s="827"/>
      <c r="BS78" s="827"/>
      <c r="BT78" s="827"/>
      <c r="BU78" s="827"/>
      <c r="BV78" s="827"/>
      <c r="BW78" s="827"/>
      <c r="BX78" s="827"/>
      <c r="BY78" s="827"/>
      <c r="BZ78" s="827"/>
      <c r="CA78" s="827"/>
      <c r="CB78" s="827"/>
      <c r="CC78" s="827"/>
      <c r="CD78" s="827"/>
      <c r="CE78" s="827"/>
      <c r="CF78" s="827"/>
      <c r="CG78" s="827"/>
      <c r="CH78" s="827"/>
      <c r="CI78" s="827"/>
      <c r="CJ78" s="827"/>
      <c r="CK78" s="827"/>
      <c r="CL78" s="827"/>
      <c r="CM78" s="827"/>
      <c r="CN78" s="827"/>
      <c r="CO78" s="827"/>
      <c r="CP78" s="827"/>
      <c r="CQ78" s="827"/>
      <c r="CR78" s="827"/>
      <c r="CS78" s="827"/>
      <c r="CT78" s="827"/>
      <c r="CU78" s="827"/>
    </row>
    <row r="79" spans="1:99" s="576" customFormat="1" ht="17.25" customHeight="1" thickTop="1">
      <c r="A79" s="579" t="s">
        <v>78</v>
      </c>
      <c r="B79" s="579"/>
      <c r="C79" s="578"/>
      <c r="D79" s="578"/>
      <c r="E79" s="577"/>
      <c r="F79" s="1000">
        <f>SUM(F78:G78)</f>
        <v>89030</v>
      </c>
      <c r="G79" s="1001"/>
      <c r="H79" s="577"/>
      <c r="I79" s="577"/>
      <c r="J79" s="708"/>
      <c r="K79" s="708"/>
      <c r="L79" s="708"/>
      <c r="M79" s="708"/>
      <c r="N79" s="708"/>
      <c r="O79" s="708"/>
      <c r="P79" s="708"/>
      <c r="Q79" s="708"/>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08"/>
      <c r="BA79" s="708"/>
      <c r="BB79" s="708"/>
      <c r="BC79" s="708"/>
      <c r="BD79" s="708"/>
      <c r="BE79" s="708"/>
      <c r="BF79" s="708"/>
      <c r="BG79" s="708"/>
      <c r="BH79" s="708"/>
      <c r="BI79" s="708"/>
      <c r="BJ79" s="708"/>
      <c r="BK79" s="708"/>
      <c r="BL79" s="708"/>
      <c r="BM79" s="708"/>
      <c r="BN79" s="708"/>
      <c r="BO79" s="708"/>
      <c r="BP79" s="708"/>
      <c r="BQ79" s="708"/>
      <c r="BR79" s="708"/>
      <c r="BS79" s="708"/>
      <c r="BT79" s="708"/>
      <c r="BU79" s="708"/>
      <c r="BV79" s="708"/>
      <c r="BW79" s="708"/>
      <c r="BX79" s="708"/>
      <c r="BY79" s="708"/>
      <c r="BZ79" s="708"/>
      <c r="CA79" s="708"/>
      <c r="CB79" s="708"/>
      <c r="CC79" s="708"/>
      <c r="CD79" s="708"/>
      <c r="CE79" s="708"/>
      <c r="CF79" s="708"/>
      <c r="CG79" s="708"/>
      <c r="CH79" s="708"/>
      <c r="CI79" s="708"/>
      <c r="CJ79" s="708"/>
      <c r="CK79" s="708"/>
      <c r="CL79" s="708"/>
      <c r="CM79" s="708"/>
      <c r="CN79" s="708"/>
      <c r="CO79" s="708"/>
      <c r="CP79" s="708"/>
      <c r="CQ79" s="708"/>
      <c r="CR79" s="708"/>
      <c r="CS79" s="708"/>
      <c r="CT79" s="708"/>
      <c r="CU79" s="708"/>
    </row>
    <row r="80" spans="1:99" ht="17.149999999999999" customHeight="1">
      <c r="A80" s="687"/>
      <c r="B80" s="687"/>
      <c r="C80" s="575"/>
      <c r="D80" s="682"/>
      <c r="E80" s="682"/>
      <c r="F80" s="682"/>
      <c r="G80" s="683"/>
      <c r="H80" s="688"/>
    </row>
    <row r="81" spans="1:10" ht="17.25" customHeight="1" thickBot="1">
      <c r="A81" s="689" t="s">
        <v>222</v>
      </c>
      <c r="B81" s="690"/>
      <c r="C81" s="690"/>
      <c r="D81" s="690"/>
      <c r="E81" s="690"/>
      <c r="F81" s="690"/>
      <c r="G81" s="690"/>
      <c r="H81" s="691"/>
      <c r="I81" s="691"/>
    </row>
    <row r="82" spans="1:10" ht="17.25" customHeight="1" thickTop="1">
      <c r="A82" s="692"/>
      <c r="B82" s="693" t="s">
        <v>93</v>
      </c>
      <c r="C82" s="693" t="s">
        <v>93</v>
      </c>
      <c r="D82" s="693" t="s">
        <v>97</v>
      </c>
      <c r="E82" s="693" t="s">
        <v>96</v>
      </c>
      <c r="F82" s="693" t="s">
        <v>95</v>
      </c>
      <c r="G82" s="693" t="s">
        <v>94</v>
      </c>
      <c r="H82" s="693" t="s">
        <v>44</v>
      </c>
      <c r="I82" s="693" t="s">
        <v>61</v>
      </c>
    </row>
    <row r="83" spans="1:10" ht="17.25" customHeight="1">
      <c r="A83" s="694" t="s">
        <v>93</v>
      </c>
      <c r="B83" s="887" t="s">
        <v>92</v>
      </c>
      <c r="C83" s="887" t="s">
        <v>91</v>
      </c>
      <c r="D83" s="887" t="s">
        <v>176</v>
      </c>
      <c r="E83" s="887" t="s">
        <v>89</v>
      </c>
      <c r="F83" s="887" t="s">
        <v>89</v>
      </c>
      <c r="G83" s="887" t="s">
        <v>89</v>
      </c>
      <c r="H83" s="887" t="s">
        <v>89</v>
      </c>
      <c r="I83" s="887" t="s">
        <v>89</v>
      </c>
    </row>
    <row r="84" spans="1:10" ht="17.25" customHeight="1">
      <c r="A84" s="709" t="s">
        <v>88</v>
      </c>
      <c r="B84" s="574"/>
      <c r="C84" s="859">
        <f t="shared" ref="C84:C94" si="6">SUMIF($A$9:$A$80,$A84,C$9:C$80)</f>
        <v>953655</v>
      </c>
      <c r="D84" s="896"/>
      <c r="E84" s="859">
        <f t="shared" ref="E84:I94" si="7">SUMIF($A$9:$A$80,$A84,E$9:E$80)</f>
        <v>953655</v>
      </c>
      <c r="F84" s="859">
        <f t="shared" si="7"/>
        <v>0</v>
      </c>
      <c r="G84" s="859">
        <f t="shared" si="7"/>
        <v>0</v>
      </c>
      <c r="H84" s="859">
        <f t="shared" si="7"/>
        <v>0</v>
      </c>
      <c r="I84" s="859">
        <f t="shared" si="7"/>
        <v>0</v>
      </c>
    </row>
    <row r="85" spans="1:10" ht="17.25" customHeight="1">
      <c r="A85" s="709" t="s">
        <v>43</v>
      </c>
      <c r="B85" s="574"/>
      <c r="C85" s="859">
        <f t="shared" si="6"/>
        <v>5995430</v>
      </c>
      <c r="D85" s="896"/>
      <c r="E85" s="859">
        <f t="shared" si="7"/>
        <v>2997716</v>
      </c>
      <c r="F85" s="859">
        <f t="shared" si="7"/>
        <v>2098401</v>
      </c>
      <c r="G85" s="859">
        <f t="shared" si="7"/>
        <v>0</v>
      </c>
      <c r="H85" s="859">
        <f t="shared" si="7"/>
        <v>899313</v>
      </c>
      <c r="I85" s="859">
        <f t="shared" si="7"/>
        <v>0</v>
      </c>
    </row>
    <row r="86" spans="1:10" ht="17.25" customHeight="1">
      <c r="A86" s="709" t="s">
        <v>87</v>
      </c>
      <c r="B86" s="574"/>
      <c r="C86" s="859">
        <f t="shared" si="6"/>
        <v>87135</v>
      </c>
      <c r="D86" s="896"/>
      <c r="E86" s="859">
        <f t="shared" si="7"/>
        <v>0</v>
      </c>
      <c r="F86" s="859">
        <f t="shared" si="7"/>
        <v>87135</v>
      </c>
      <c r="G86" s="859">
        <f t="shared" si="7"/>
        <v>0</v>
      </c>
      <c r="H86" s="859">
        <f t="shared" si="7"/>
        <v>0</v>
      </c>
      <c r="I86" s="859">
        <f t="shared" si="7"/>
        <v>0</v>
      </c>
    </row>
    <row r="87" spans="1:10" ht="17.25" customHeight="1">
      <c r="A87" s="709" t="s">
        <v>42</v>
      </c>
      <c r="B87" s="574"/>
      <c r="C87" s="859">
        <f t="shared" si="6"/>
        <v>45989</v>
      </c>
      <c r="D87" s="896"/>
      <c r="E87" s="859">
        <f t="shared" si="7"/>
        <v>0</v>
      </c>
      <c r="F87" s="859">
        <f t="shared" si="7"/>
        <v>32192</v>
      </c>
      <c r="G87" s="859">
        <f t="shared" si="7"/>
        <v>0</v>
      </c>
      <c r="H87" s="859">
        <f t="shared" si="7"/>
        <v>13797</v>
      </c>
      <c r="I87" s="859">
        <f t="shared" si="7"/>
        <v>0</v>
      </c>
    </row>
    <row r="88" spans="1:10" ht="17.25" customHeight="1">
      <c r="A88" s="709" t="s">
        <v>83</v>
      </c>
      <c r="B88" s="574"/>
      <c r="C88" s="859">
        <f t="shared" si="6"/>
        <v>21784</v>
      </c>
      <c r="D88" s="896"/>
      <c r="E88" s="859">
        <f t="shared" si="7"/>
        <v>0</v>
      </c>
      <c r="F88" s="859">
        <f t="shared" si="7"/>
        <v>21784</v>
      </c>
      <c r="G88" s="859">
        <f t="shared" si="7"/>
        <v>0</v>
      </c>
      <c r="H88" s="859">
        <f t="shared" si="7"/>
        <v>0</v>
      </c>
      <c r="I88" s="859">
        <f t="shared" si="7"/>
        <v>0</v>
      </c>
    </row>
    <row r="89" spans="1:10" ht="17.25" customHeight="1">
      <c r="A89" s="709" t="s">
        <v>84</v>
      </c>
      <c r="B89" s="574"/>
      <c r="C89" s="859">
        <f t="shared" si="6"/>
        <v>24205</v>
      </c>
      <c r="D89" s="896"/>
      <c r="E89" s="859">
        <f t="shared" si="7"/>
        <v>0</v>
      </c>
      <c r="F89" s="859">
        <f t="shared" si="7"/>
        <v>24205</v>
      </c>
      <c r="G89" s="859">
        <f t="shared" si="7"/>
        <v>0</v>
      </c>
      <c r="H89" s="859">
        <f t="shared" si="7"/>
        <v>0</v>
      </c>
      <c r="I89" s="859">
        <f t="shared" si="7"/>
        <v>0</v>
      </c>
    </row>
    <row r="90" spans="1:10" ht="17.25" customHeight="1">
      <c r="A90" s="709" t="s">
        <v>86</v>
      </c>
      <c r="B90" s="574"/>
      <c r="C90" s="859">
        <f t="shared" si="6"/>
        <v>18972294</v>
      </c>
      <c r="D90" s="896"/>
      <c r="E90" s="859">
        <f t="shared" si="7"/>
        <v>9996473</v>
      </c>
      <c r="F90" s="859">
        <f t="shared" si="7"/>
        <v>0</v>
      </c>
      <c r="G90" s="859">
        <f t="shared" si="7"/>
        <v>8975821</v>
      </c>
      <c r="H90" s="859">
        <f t="shared" si="7"/>
        <v>0</v>
      </c>
      <c r="I90" s="859">
        <f t="shared" si="7"/>
        <v>0</v>
      </c>
    </row>
    <row r="91" spans="1:10" ht="17.25" customHeight="1">
      <c r="A91" s="709" t="s">
        <v>61</v>
      </c>
      <c r="B91" s="574"/>
      <c r="C91" s="859">
        <f t="shared" si="6"/>
        <v>74801</v>
      </c>
      <c r="D91" s="896"/>
      <c r="E91" s="859">
        <f t="shared" si="7"/>
        <v>0</v>
      </c>
      <c r="F91" s="859">
        <f t="shared" si="7"/>
        <v>0</v>
      </c>
      <c r="G91" s="859">
        <f t="shared" si="7"/>
        <v>0</v>
      </c>
      <c r="H91" s="859">
        <f t="shared" si="7"/>
        <v>0</v>
      </c>
      <c r="I91" s="859">
        <f t="shared" si="7"/>
        <v>74801</v>
      </c>
    </row>
    <row r="92" spans="1:10" ht="17.25" customHeight="1">
      <c r="A92" s="710" t="s">
        <v>82</v>
      </c>
      <c r="B92" s="574"/>
      <c r="C92" s="859">
        <f t="shared" si="6"/>
        <v>2420</v>
      </c>
      <c r="D92" s="896"/>
      <c r="E92" s="859">
        <f t="shared" si="7"/>
        <v>0</v>
      </c>
      <c r="F92" s="859">
        <f t="shared" si="7"/>
        <v>0</v>
      </c>
      <c r="G92" s="859">
        <f t="shared" si="7"/>
        <v>2420</v>
      </c>
      <c r="H92" s="859">
        <f t="shared" si="7"/>
        <v>0</v>
      </c>
      <c r="I92" s="859">
        <f t="shared" si="7"/>
        <v>0</v>
      </c>
    </row>
    <row r="93" spans="1:10" ht="17.25" customHeight="1">
      <c r="A93" s="711" t="s">
        <v>85</v>
      </c>
      <c r="B93" s="574"/>
      <c r="C93" s="859">
        <f t="shared" si="6"/>
        <v>2420</v>
      </c>
      <c r="D93" s="696"/>
      <c r="E93" s="859">
        <f t="shared" si="7"/>
        <v>2420</v>
      </c>
      <c r="F93" s="859">
        <f t="shared" si="7"/>
        <v>0</v>
      </c>
      <c r="G93" s="859">
        <f t="shared" si="7"/>
        <v>0</v>
      </c>
      <c r="H93" s="859">
        <f t="shared" si="7"/>
        <v>0</v>
      </c>
      <c r="I93" s="859">
        <f t="shared" si="7"/>
        <v>0</v>
      </c>
    </row>
    <row r="94" spans="1:10" ht="17.25" customHeight="1" thickBot="1">
      <c r="A94" s="712" t="s">
        <v>138</v>
      </c>
      <c r="B94" s="573"/>
      <c r="C94" s="859">
        <f t="shared" si="6"/>
        <v>140385</v>
      </c>
      <c r="D94" s="829"/>
      <c r="E94" s="859">
        <f t="shared" si="7"/>
        <v>0</v>
      </c>
      <c r="F94" s="859">
        <f t="shared" si="7"/>
        <v>0</v>
      </c>
      <c r="G94" s="859">
        <f t="shared" si="7"/>
        <v>0</v>
      </c>
      <c r="H94" s="859">
        <f t="shared" si="7"/>
        <v>140385</v>
      </c>
      <c r="I94" s="859">
        <f t="shared" si="7"/>
        <v>0</v>
      </c>
    </row>
    <row r="95" spans="1:10" ht="17.899999999999999" customHeight="1" thickTop="1" thickBot="1">
      <c r="A95" s="703" t="s">
        <v>103</v>
      </c>
      <c r="B95" s="704"/>
      <c r="C95" s="570">
        <f>SUM(C84:C94)</f>
        <v>26320518</v>
      </c>
      <c r="D95" s="571"/>
      <c r="E95" s="570">
        <f>SUM(E84:E94)</f>
        <v>13950264</v>
      </c>
      <c r="F95" s="570">
        <f>SUM(F84:F94)</f>
        <v>2263717</v>
      </c>
      <c r="G95" s="570">
        <f>SUM(G84:G94)</f>
        <v>8978241</v>
      </c>
      <c r="H95" s="570">
        <f>SUM(H84:H94)</f>
        <v>1053495</v>
      </c>
      <c r="I95" s="570">
        <f>SUM(I84:I94)</f>
        <v>74801</v>
      </c>
      <c r="J95" s="830"/>
    </row>
    <row r="96" spans="1:10" ht="17.25" customHeight="1" thickTop="1" thickBot="1">
      <c r="A96" s="699" t="s">
        <v>112</v>
      </c>
      <c r="B96" s="700"/>
      <c r="C96" s="701"/>
      <c r="D96" s="702"/>
      <c r="E96" s="701"/>
      <c r="F96" s="880">
        <f>-H96</f>
        <v>1053495</v>
      </c>
      <c r="G96" s="872"/>
      <c r="H96" s="880">
        <f>H20+H38+H56</f>
        <v>-1053495</v>
      </c>
      <c r="I96" s="880"/>
      <c r="J96" s="830"/>
    </row>
    <row r="97" spans="1:10" ht="17.899999999999999" customHeight="1" thickTop="1" thickBot="1">
      <c r="A97" s="703" t="s">
        <v>48</v>
      </c>
      <c r="B97" s="704"/>
      <c r="C97" s="570">
        <f>SUM(C95:C96)</f>
        <v>26320518</v>
      </c>
      <c r="D97" s="571"/>
      <c r="E97" s="570">
        <f>SUM(E95:E96)</f>
        <v>13950264</v>
      </c>
      <c r="F97" s="570">
        <f>SUM(F95:F96)</f>
        <v>3317212</v>
      </c>
      <c r="G97" s="570">
        <f>SUM(G95:G96)</f>
        <v>8978241</v>
      </c>
      <c r="H97" s="570">
        <f>SUM(H95:H96)</f>
        <v>0</v>
      </c>
      <c r="I97" s="570">
        <f>SUM(I95:I96)</f>
        <v>74801</v>
      </c>
      <c r="J97" s="830"/>
    </row>
    <row r="98" spans="1:10" ht="17.25" customHeight="1" thickTop="1">
      <c r="A98" s="709" t="s">
        <v>78</v>
      </c>
      <c r="B98" s="569"/>
      <c r="C98" s="705"/>
      <c r="D98" s="705"/>
      <c r="E98" s="706"/>
      <c r="F98" s="1002">
        <f>SUM(F97:G97)</f>
        <v>12295453</v>
      </c>
      <c r="G98" s="1003"/>
      <c r="H98" s="706"/>
      <c r="I98" s="706"/>
      <c r="J98" s="830"/>
    </row>
  </sheetData>
  <mergeCells count="8">
    <mergeCell ref="F72:G72"/>
    <mergeCell ref="F79:G79"/>
    <mergeCell ref="F98:G98"/>
    <mergeCell ref="F40:G40"/>
    <mergeCell ref="B2:C2"/>
    <mergeCell ref="F22:G22"/>
    <mergeCell ref="F58:G58"/>
    <mergeCell ref="F64:G64"/>
  </mergeCells>
  <printOptions horizontalCentered="1"/>
  <pageMargins left="0.25" right="0.25" top="0.75" bottom="0.2" header="0.35" footer="0.1"/>
  <pageSetup scale="53" orientation="portrait" horizontalDpi="300" verticalDpi="300" r:id="rId1"/>
  <headerFooter alignWithMargins="0">
    <oddHeader>&amp;C&amp;"Arial,Bold"&amp;12SAWS - WCDS Consortium
Cost Allocation Plan
SFY 2019/20</oddHead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5</xdr:col>
                    <xdr:colOff>622300</xdr:colOff>
                    <xdr:row>0</xdr:row>
                    <xdr:rowOff>0</xdr:rowOff>
                  </from>
                  <to>
                    <xdr:col>5</xdr:col>
                    <xdr:colOff>628650</xdr:colOff>
                    <xdr:row>1</xdr:row>
                    <xdr:rowOff>69850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5</xdr:col>
                    <xdr:colOff>622300</xdr:colOff>
                    <xdr:row>0</xdr:row>
                    <xdr:rowOff>0</xdr:rowOff>
                  </from>
                  <to>
                    <xdr:col>5</xdr:col>
                    <xdr:colOff>628650</xdr:colOff>
                    <xdr:row>1</xdr:row>
                    <xdr:rowOff>76200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5</xdr:col>
                    <xdr:colOff>622300</xdr:colOff>
                    <xdr:row>0</xdr:row>
                    <xdr:rowOff>0</xdr:rowOff>
                  </from>
                  <to>
                    <xdr:col>5</xdr:col>
                    <xdr:colOff>628650</xdr:colOff>
                    <xdr:row>1</xdr:row>
                    <xdr:rowOff>69850</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5</xdr:col>
                    <xdr:colOff>622300</xdr:colOff>
                    <xdr:row>2</xdr:row>
                    <xdr:rowOff>88900</xdr:rowOff>
                  </from>
                  <to>
                    <xdr:col>5</xdr:col>
                    <xdr:colOff>819150</xdr:colOff>
                    <xdr:row>4</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15"/>
  <sheetViews>
    <sheetView zoomScaleNormal="100" workbookViewId="0">
      <selection activeCell="G27" sqref="G27"/>
    </sheetView>
  </sheetViews>
  <sheetFormatPr defaultRowHeight="18" customHeight="1"/>
  <cols>
    <col min="1" max="1" width="17.54296875" style="593" customWidth="1"/>
    <col min="2" max="2" width="10.81640625" style="593" bestFit="1" customWidth="1"/>
    <col min="3" max="3" width="12.54296875" style="593" customWidth="1"/>
    <col min="4" max="4" width="14.7265625" style="593" customWidth="1"/>
    <col min="5" max="8" width="12.7265625" style="593" customWidth="1"/>
    <col min="9" max="256" width="9.1796875" style="593"/>
    <col min="257" max="257" width="17.54296875" style="593" customWidth="1"/>
    <col min="258" max="258" width="10.81640625" style="593" bestFit="1" customWidth="1"/>
    <col min="259" max="264" width="12.54296875" style="593" customWidth="1"/>
    <col min="265" max="512" width="9.1796875" style="593"/>
    <col min="513" max="513" width="17.54296875" style="593" customWidth="1"/>
    <col min="514" max="514" width="10.81640625" style="593" bestFit="1" customWidth="1"/>
    <col min="515" max="520" width="12.54296875" style="593" customWidth="1"/>
    <col min="521" max="768" width="9.1796875" style="593"/>
    <col min="769" max="769" width="17.54296875" style="593" customWidth="1"/>
    <col min="770" max="770" width="10.81640625" style="593" bestFit="1" customWidth="1"/>
    <col min="771" max="776" width="12.54296875" style="593" customWidth="1"/>
    <col min="777" max="1024" width="9.1796875" style="593"/>
    <col min="1025" max="1025" width="17.54296875" style="593" customWidth="1"/>
    <col min="1026" max="1026" width="10.81640625" style="593" bestFit="1" customWidth="1"/>
    <col min="1027" max="1032" width="12.54296875" style="593" customWidth="1"/>
    <col min="1033" max="1280" width="9.1796875" style="593"/>
    <col min="1281" max="1281" width="17.54296875" style="593" customWidth="1"/>
    <col min="1282" max="1282" width="10.81640625" style="593" bestFit="1" customWidth="1"/>
    <col min="1283" max="1288" width="12.54296875" style="593" customWidth="1"/>
    <col min="1289" max="1536" width="9.1796875" style="593"/>
    <col min="1537" max="1537" width="17.54296875" style="593" customWidth="1"/>
    <col min="1538" max="1538" width="10.81640625" style="593" bestFit="1" customWidth="1"/>
    <col min="1539" max="1544" width="12.54296875" style="593" customWidth="1"/>
    <col min="1545" max="1792" width="9.1796875" style="593"/>
    <col min="1793" max="1793" width="17.54296875" style="593" customWidth="1"/>
    <col min="1794" max="1794" width="10.81640625" style="593" bestFit="1" customWidth="1"/>
    <col min="1795" max="1800" width="12.54296875" style="593" customWidth="1"/>
    <col min="1801" max="2048" width="9.1796875" style="593"/>
    <col min="2049" max="2049" width="17.54296875" style="593" customWidth="1"/>
    <col min="2050" max="2050" width="10.81640625" style="593" bestFit="1" customWidth="1"/>
    <col min="2051" max="2056" width="12.54296875" style="593" customWidth="1"/>
    <col min="2057" max="2304" width="9.1796875" style="593"/>
    <col min="2305" max="2305" width="17.54296875" style="593" customWidth="1"/>
    <col min="2306" max="2306" width="10.81640625" style="593" bestFit="1" customWidth="1"/>
    <col min="2307" max="2312" width="12.54296875" style="593" customWidth="1"/>
    <col min="2313" max="2560" width="9.1796875" style="593"/>
    <col min="2561" max="2561" width="17.54296875" style="593" customWidth="1"/>
    <col min="2562" max="2562" width="10.81640625" style="593" bestFit="1" customWidth="1"/>
    <col min="2563" max="2568" width="12.54296875" style="593" customWidth="1"/>
    <col min="2569" max="2816" width="9.1796875" style="593"/>
    <col min="2817" max="2817" width="17.54296875" style="593" customWidth="1"/>
    <col min="2818" max="2818" width="10.81640625" style="593" bestFit="1" customWidth="1"/>
    <col min="2819" max="2824" width="12.54296875" style="593" customWidth="1"/>
    <col min="2825" max="3072" width="9.1796875" style="593"/>
    <col min="3073" max="3073" width="17.54296875" style="593" customWidth="1"/>
    <col min="3074" max="3074" width="10.81640625" style="593" bestFit="1" customWidth="1"/>
    <col min="3075" max="3080" width="12.54296875" style="593" customWidth="1"/>
    <col min="3081" max="3328" width="9.1796875" style="593"/>
    <col min="3329" max="3329" width="17.54296875" style="593" customWidth="1"/>
    <col min="3330" max="3330" width="10.81640625" style="593" bestFit="1" customWidth="1"/>
    <col min="3331" max="3336" width="12.54296875" style="593" customWidth="1"/>
    <col min="3337" max="3584" width="9.1796875" style="593"/>
    <col min="3585" max="3585" width="17.54296875" style="593" customWidth="1"/>
    <col min="3586" max="3586" width="10.81640625" style="593" bestFit="1" customWidth="1"/>
    <col min="3587" max="3592" width="12.54296875" style="593" customWidth="1"/>
    <col min="3593" max="3840" width="9.1796875" style="593"/>
    <col min="3841" max="3841" width="17.54296875" style="593" customWidth="1"/>
    <col min="3842" max="3842" width="10.81640625" style="593" bestFit="1" customWidth="1"/>
    <col min="3843" max="3848" width="12.54296875" style="593" customWidth="1"/>
    <col min="3849" max="4096" width="9.1796875" style="593"/>
    <col min="4097" max="4097" width="17.54296875" style="593" customWidth="1"/>
    <col min="4098" max="4098" width="10.81640625" style="593" bestFit="1" customWidth="1"/>
    <col min="4099" max="4104" width="12.54296875" style="593" customWidth="1"/>
    <col min="4105" max="4352" width="9.1796875" style="593"/>
    <col min="4353" max="4353" width="17.54296875" style="593" customWidth="1"/>
    <col min="4354" max="4354" width="10.81640625" style="593" bestFit="1" customWidth="1"/>
    <col min="4355" max="4360" width="12.54296875" style="593" customWidth="1"/>
    <col min="4361" max="4608" width="9.1796875" style="593"/>
    <col min="4609" max="4609" width="17.54296875" style="593" customWidth="1"/>
    <col min="4610" max="4610" width="10.81640625" style="593" bestFit="1" customWidth="1"/>
    <col min="4611" max="4616" width="12.54296875" style="593" customWidth="1"/>
    <col min="4617" max="4864" width="9.1796875" style="593"/>
    <col min="4865" max="4865" width="17.54296875" style="593" customWidth="1"/>
    <col min="4866" max="4866" width="10.81640625" style="593" bestFit="1" customWidth="1"/>
    <col min="4867" max="4872" width="12.54296875" style="593" customWidth="1"/>
    <col min="4873" max="5120" width="9.1796875" style="593"/>
    <col min="5121" max="5121" width="17.54296875" style="593" customWidth="1"/>
    <col min="5122" max="5122" width="10.81640625" style="593" bestFit="1" customWidth="1"/>
    <col min="5123" max="5128" width="12.54296875" style="593" customWidth="1"/>
    <col min="5129" max="5376" width="9.1796875" style="593"/>
    <col min="5377" max="5377" width="17.54296875" style="593" customWidth="1"/>
    <col min="5378" max="5378" width="10.81640625" style="593" bestFit="1" customWidth="1"/>
    <col min="5379" max="5384" width="12.54296875" style="593" customWidth="1"/>
    <col min="5385" max="5632" width="9.1796875" style="593"/>
    <col min="5633" max="5633" width="17.54296875" style="593" customWidth="1"/>
    <col min="5634" max="5634" width="10.81640625" style="593" bestFit="1" customWidth="1"/>
    <col min="5635" max="5640" width="12.54296875" style="593" customWidth="1"/>
    <col min="5641" max="5888" width="9.1796875" style="593"/>
    <col min="5889" max="5889" width="17.54296875" style="593" customWidth="1"/>
    <col min="5890" max="5890" width="10.81640625" style="593" bestFit="1" customWidth="1"/>
    <col min="5891" max="5896" width="12.54296875" style="593" customWidth="1"/>
    <col min="5897" max="6144" width="9.1796875" style="593"/>
    <col min="6145" max="6145" width="17.54296875" style="593" customWidth="1"/>
    <col min="6146" max="6146" width="10.81640625" style="593" bestFit="1" customWidth="1"/>
    <col min="6147" max="6152" width="12.54296875" style="593" customWidth="1"/>
    <col min="6153" max="6400" width="9.1796875" style="593"/>
    <col min="6401" max="6401" width="17.54296875" style="593" customWidth="1"/>
    <col min="6402" max="6402" width="10.81640625" style="593" bestFit="1" customWidth="1"/>
    <col min="6403" max="6408" width="12.54296875" style="593" customWidth="1"/>
    <col min="6409" max="6656" width="9.1796875" style="593"/>
    <col min="6657" max="6657" width="17.54296875" style="593" customWidth="1"/>
    <col min="6658" max="6658" width="10.81640625" style="593" bestFit="1" customWidth="1"/>
    <col min="6659" max="6664" width="12.54296875" style="593" customWidth="1"/>
    <col min="6665" max="6912" width="9.1796875" style="593"/>
    <col min="6913" max="6913" width="17.54296875" style="593" customWidth="1"/>
    <col min="6914" max="6914" width="10.81640625" style="593" bestFit="1" customWidth="1"/>
    <col min="6915" max="6920" width="12.54296875" style="593" customWidth="1"/>
    <col min="6921" max="7168" width="9.1796875" style="593"/>
    <col min="7169" max="7169" width="17.54296875" style="593" customWidth="1"/>
    <col min="7170" max="7170" width="10.81640625" style="593" bestFit="1" customWidth="1"/>
    <col min="7171" max="7176" width="12.54296875" style="593" customWidth="1"/>
    <col min="7177" max="7424" width="9.1796875" style="593"/>
    <col min="7425" max="7425" width="17.54296875" style="593" customWidth="1"/>
    <col min="7426" max="7426" width="10.81640625" style="593" bestFit="1" customWidth="1"/>
    <col min="7427" max="7432" width="12.54296875" style="593" customWidth="1"/>
    <col min="7433" max="7680" width="9.1796875" style="593"/>
    <col min="7681" max="7681" width="17.54296875" style="593" customWidth="1"/>
    <col min="7682" max="7682" width="10.81640625" style="593" bestFit="1" customWidth="1"/>
    <col min="7683" max="7688" width="12.54296875" style="593" customWidth="1"/>
    <col min="7689" max="7936" width="9.1796875" style="593"/>
    <col min="7937" max="7937" width="17.54296875" style="593" customWidth="1"/>
    <col min="7938" max="7938" width="10.81640625" style="593" bestFit="1" customWidth="1"/>
    <col min="7939" max="7944" width="12.54296875" style="593" customWidth="1"/>
    <col min="7945" max="8192" width="9.1796875" style="593"/>
    <col min="8193" max="8193" width="17.54296875" style="593" customWidth="1"/>
    <col min="8194" max="8194" width="10.81640625" style="593" bestFit="1" customWidth="1"/>
    <col min="8195" max="8200" width="12.54296875" style="593" customWidth="1"/>
    <col min="8201" max="8448" width="9.1796875" style="593"/>
    <col min="8449" max="8449" width="17.54296875" style="593" customWidth="1"/>
    <col min="8450" max="8450" width="10.81640625" style="593" bestFit="1" customWidth="1"/>
    <col min="8451" max="8456" width="12.54296875" style="593" customWidth="1"/>
    <col min="8457" max="8704" width="9.1796875" style="593"/>
    <col min="8705" max="8705" width="17.54296875" style="593" customWidth="1"/>
    <col min="8706" max="8706" width="10.81640625" style="593" bestFit="1" customWidth="1"/>
    <col min="8707" max="8712" width="12.54296875" style="593" customWidth="1"/>
    <col min="8713" max="8960" width="9.1796875" style="593"/>
    <col min="8961" max="8961" width="17.54296875" style="593" customWidth="1"/>
    <col min="8962" max="8962" width="10.81640625" style="593" bestFit="1" customWidth="1"/>
    <col min="8963" max="8968" width="12.54296875" style="593" customWidth="1"/>
    <col min="8969" max="9216" width="9.1796875" style="593"/>
    <col min="9217" max="9217" width="17.54296875" style="593" customWidth="1"/>
    <col min="9218" max="9218" width="10.81640625" style="593" bestFit="1" customWidth="1"/>
    <col min="9219" max="9224" width="12.54296875" style="593" customWidth="1"/>
    <col min="9225" max="9472" width="9.1796875" style="593"/>
    <col min="9473" max="9473" width="17.54296875" style="593" customWidth="1"/>
    <col min="9474" max="9474" width="10.81640625" style="593" bestFit="1" customWidth="1"/>
    <col min="9475" max="9480" width="12.54296875" style="593" customWidth="1"/>
    <col min="9481" max="9728" width="9.1796875" style="593"/>
    <col min="9729" max="9729" width="17.54296875" style="593" customWidth="1"/>
    <col min="9730" max="9730" width="10.81640625" style="593" bestFit="1" customWidth="1"/>
    <col min="9731" max="9736" width="12.54296875" style="593" customWidth="1"/>
    <col min="9737" max="9984" width="9.1796875" style="593"/>
    <col min="9985" max="9985" width="17.54296875" style="593" customWidth="1"/>
    <col min="9986" max="9986" width="10.81640625" style="593" bestFit="1" customWidth="1"/>
    <col min="9987" max="9992" width="12.54296875" style="593" customWidth="1"/>
    <col min="9993" max="10240" width="9.1796875" style="593"/>
    <col min="10241" max="10241" width="17.54296875" style="593" customWidth="1"/>
    <col min="10242" max="10242" width="10.81640625" style="593" bestFit="1" customWidth="1"/>
    <col min="10243" max="10248" width="12.54296875" style="593" customWidth="1"/>
    <col min="10249" max="10496" width="9.1796875" style="593"/>
    <col min="10497" max="10497" width="17.54296875" style="593" customWidth="1"/>
    <col min="10498" max="10498" width="10.81640625" style="593" bestFit="1" customWidth="1"/>
    <col min="10499" max="10504" width="12.54296875" style="593" customWidth="1"/>
    <col min="10505" max="10752" width="9.1796875" style="593"/>
    <col min="10753" max="10753" width="17.54296875" style="593" customWidth="1"/>
    <col min="10754" max="10754" width="10.81640625" style="593" bestFit="1" customWidth="1"/>
    <col min="10755" max="10760" width="12.54296875" style="593" customWidth="1"/>
    <col min="10761" max="11008" width="9.1796875" style="593"/>
    <col min="11009" max="11009" width="17.54296875" style="593" customWidth="1"/>
    <col min="11010" max="11010" width="10.81640625" style="593" bestFit="1" customWidth="1"/>
    <col min="11011" max="11016" width="12.54296875" style="593" customWidth="1"/>
    <col min="11017" max="11264" width="9.1796875" style="593"/>
    <col min="11265" max="11265" width="17.54296875" style="593" customWidth="1"/>
    <col min="11266" max="11266" width="10.81640625" style="593" bestFit="1" customWidth="1"/>
    <col min="11267" max="11272" width="12.54296875" style="593" customWidth="1"/>
    <col min="11273" max="11520" width="9.1796875" style="593"/>
    <col min="11521" max="11521" width="17.54296875" style="593" customWidth="1"/>
    <col min="11522" max="11522" width="10.81640625" style="593" bestFit="1" customWidth="1"/>
    <col min="11523" max="11528" width="12.54296875" style="593" customWidth="1"/>
    <col min="11529" max="11776" width="9.1796875" style="593"/>
    <col min="11777" max="11777" width="17.54296875" style="593" customWidth="1"/>
    <col min="11778" max="11778" width="10.81640625" style="593" bestFit="1" customWidth="1"/>
    <col min="11779" max="11784" width="12.54296875" style="593" customWidth="1"/>
    <col min="11785" max="12032" width="9.1796875" style="593"/>
    <col min="12033" max="12033" width="17.54296875" style="593" customWidth="1"/>
    <col min="12034" max="12034" width="10.81640625" style="593" bestFit="1" customWidth="1"/>
    <col min="12035" max="12040" width="12.54296875" style="593" customWidth="1"/>
    <col min="12041" max="12288" width="9.1796875" style="593"/>
    <col min="12289" max="12289" width="17.54296875" style="593" customWidth="1"/>
    <col min="12290" max="12290" width="10.81640625" style="593" bestFit="1" customWidth="1"/>
    <col min="12291" max="12296" width="12.54296875" style="593" customWidth="1"/>
    <col min="12297" max="12544" width="9.1796875" style="593"/>
    <col min="12545" max="12545" width="17.54296875" style="593" customWidth="1"/>
    <col min="12546" max="12546" width="10.81640625" style="593" bestFit="1" customWidth="1"/>
    <col min="12547" max="12552" width="12.54296875" style="593" customWidth="1"/>
    <col min="12553" max="12800" width="9.1796875" style="593"/>
    <col min="12801" max="12801" width="17.54296875" style="593" customWidth="1"/>
    <col min="12802" max="12802" width="10.81640625" style="593" bestFit="1" customWidth="1"/>
    <col min="12803" max="12808" width="12.54296875" style="593" customWidth="1"/>
    <col min="12809" max="13056" width="9.1796875" style="593"/>
    <col min="13057" max="13057" width="17.54296875" style="593" customWidth="1"/>
    <col min="13058" max="13058" width="10.81640625" style="593" bestFit="1" customWidth="1"/>
    <col min="13059" max="13064" width="12.54296875" style="593" customWidth="1"/>
    <col min="13065" max="13312" width="9.1796875" style="593"/>
    <col min="13313" max="13313" width="17.54296875" style="593" customWidth="1"/>
    <col min="13314" max="13314" width="10.81640625" style="593" bestFit="1" customWidth="1"/>
    <col min="13315" max="13320" width="12.54296875" style="593" customWidth="1"/>
    <col min="13321" max="13568" width="9.1796875" style="593"/>
    <col min="13569" max="13569" width="17.54296875" style="593" customWidth="1"/>
    <col min="13570" max="13570" width="10.81640625" style="593" bestFit="1" customWidth="1"/>
    <col min="13571" max="13576" width="12.54296875" style="593" customWidth="1"/>
    <col min="13577" max="13824" width="9.1796875" style="593"/>
    <col min="13825" max="13825" width="17.54296875" style="593" customWidth="1"/>
    <col min="13826" max="13826" width="10.81640625" style="593" bestFit="1" customWidth="1"/>
    <col min="13827" max="13832" width="12.54296875" style="593" customWidth="1"/>
    <col min="13833" max="14080" width="9.1796875" style="593"/>
    <col min="14081" max="14081" width="17.54296875" style="593" customWidth="1"/>
    <col min="14082" max="14082" width="10.81640625" style="593" bestFit="1" customWidth="1"/>
    <col min="14083" max="14088" width="12.54296875" style="593" customWidth="1"/>
    <col min="14089" max="14336" width="9.1796875" style="593"/>
    <col min="14337" max="14337" width="17.54296875" style="593" customWidth="1"/>
    <col min="14338" max="14338" width="10.81640625" style="593" bestFit="1" customWidth="1"/>
    <col min="14339" max="14344" width="12.54296875" style="593" customWidth="1"/>
    <col min="14345" max="14592" width="9.1796875" style="593"/>
    <col min="14593" max="14593" width="17.54296875" style="593" customWidth="1"/>
    <col min="14594" max="14594" width="10.81640625" style="593" bestFit="1" customWidth="1"/>
    <col min="14595" max="14600" width="12.54296875" style="593" customWidth="1"/>
    <col min="14601" max="14848" width="9.1796875" style="593"/>
    <col min="14849" max="14849" width="17.54296875" style="593" customWidth="1"/>
    <col min="14850" max="14850" width="10.81640625" style="593" bestFit="1" customWidth="1"/>
    <col min="14851" max="14856" width="12.54296875" style="593" customWidth="1"/>
    <col min="14857" max="15104" width="9.1796875" style="593"/>
    <col min="15105" max="15105" width="17.54296875" style="593" customWidth="1"/>
    <col min="15106" max="15106" width="10.81640625" style="593" bestFit="1" customWidth="1"/>
    <col min="15107" max="15112" width="12.54296875" style="593" customWidth="1"/>
    <col min="15113" max="15360" width="9.1796875" style="593"/>
    <col min="15361" max="15361" width="17.54296875" style="593" customWidth="1"/>
    <col min="15362" max="15362" width="10.81640625" style="593" bestFit="1" customWidth="1"/>
    <col min="15363" max="15368" width="12.54296875" style="593" customWidth="1"/>
    <col min="15369" max="15616" width="9.1796875" style="593"/>
    <col min="15617" max="15617" width="17.54296875" style="593" customWidth="1"/>
    <col min="15618" max="15618" width="10.81640625" style="593" bestFit="1" customWidth="1"/>
    <col min="15619" max="15624" width="12.54296875" style="593" customWidth="1"/>
    <col min="15625" max="15872" width="9.1796875" style="593"/>
    <col min="15873" max="15873" width="17.54296875" style="593" customWidth="1"/>
    <col min="15874" max="15874" width="10.81640625" style="593" bestFit="1" customWidth="1"/>
    <col min="15875" max="15880" width="12.54296875" style="593" customWidth="1"/>
    <col min="15881" max="16128" width="9.1796875" style="593"/>
    <col min="16129" max="16129" width="17.54296875" style="593" customWidth="1"/>
    <col min="16130" max="16130" width="10.81640625" style="593" bestFit="1" customWidth="1"/>
    <col min="16131" max="16136" width="12.54296875" style="593" customWidth="1"/>
    <col min="16137" max="16384" width="9.1796875" style="593"/>
  </cols>
  <sheetData>
    <row r="1" spans="1:8" ht="18" customHeight="1">
      <c r="A1" s="627"/>
      <c r="B1" s="627"/>
      <c r="C1" s="627"/>
      <c r="D1" s="627"/>
      <c r="E1" s="627"/>
      <c r="F1" s="627"/>
      <c r="G1" s="627"/>
      <c r="H1" s="627"/>
    </row>
    <row r="2" spans="1:8" ht="18" customHeight="1">
      <c r="A2" s="629" t="s">
        <v>137</v>
      </c>
      <c r="B2" s="1006"/>
      <c r="C2" s="1007"/>
      <c r="D2" s="627"/>
      <c r="E2" s="629" t="s">
        <v>230</v>
      </c>
      <c r="F2" s="629"/>
      <c r="G2" s="1008"/>
      <c r="H2" s="1007"/>
    </row>
    <row r="3" spans="1:8" ht="18" customHeight="1">
      <c r="A3" s="629"/>
      <c r="B3" s="628"/>
      <c r="C3" s="628"/>
      <c r="D3" s="627"/>
      <c r="E3" s="627"/>
      <c r="F3" s="629"/>
      <c r="G3" s="632"/>
      <c r="H3" s="628"/>
    </row>
    <row r="4" spans="1:8" ht="18" customHeight="1">
      <c r="A4" s="629"/>
      <c r="B4" s="628"/>
      <c r="C4" s="628"/>
      <c r="D4" s="627"/>
      <c r="E4" s="631" t="s">
        <v>229</v>
      </c>
      <c r="F4" s="630" t="s">
        <v>232</v>
      </c>
      <c r="G4" s="1009"/>
      <c r="H4" s="1009"/>
    </row>
    <row r="5" spans="1:8" ht="18" customHeight="1" thickBot="1">
      <c r="A5" s="629"/>
      <c r="B5" s="628"/>
      <c r="C5" s="628"/>
      <c r="D5" s="627"/>
      <c r="E5" s="626"/>
      <c r="F5" s="625"/>
      <c r="G5" s="624"/>
      <c r="H5" s="624"/>
    </row>
    <row r="6" spans="1:8" ht="18" customHeight="1">
      <c r="A6" s="1010" t="s">
        <v>231</v>
      </c>
      <c r="B6" s="1011"/>
      <c r="C6" s="1011"/>
      <c r="D6" s="1011"/>
      <c r="E6" s="1011"/>
      <c r="F6" s="1011"/>
      <c r="G6" s="1011"/>
      <c r="H6" s="1012"/>
    </row>
    <row r="7" spans="1:8" ht="18" customHeight="1" thickBot="1">
      <c r="A7" s="1013" t="s">
        <v>203</v>
      </c>
      <c r="B7" s="1014"/>
      <c r="C7" s="1014"/>
      <c r="D7" s="1014"/>
      <c r="E7" s="1014"/>
      <c r="F7" s="1014"/>
      <c r="G7" s="1014"/>
      <c r="H7" s="1015"/>
    </row>
    <row r="8" spans="1:8" ht="18" customHeight="1">
      <c r="A8" s="623"/>
      <c r="B8" s="622"/>
      <c r="C8" s="622"/>
      <c r="D8" s="622" t="s">
        <v>100</v>
      </c>
      <c r="E8" s="622"/>
      <c r="F8" s="622" t="s">
        <v>99</v>
      </c>
      <c r="G8" s="622" t="s">
        <v>99</v>
      </c>
      <c r="H8" s="621" t="s">
        <v>98</v>
      </c>
    </row>
    <row r="9" spans="1:8" ht="18" customHeight="1">
      <c r="A9" s="620"/>
      <c r="B9" s="619" t="s">
        <v>93</v>
      </c>
      <c r="C9" s="619" t="s">
        <v>93</v>
      </c>
      <c r="D9" s="619" t="s">
        <v>97</v>
      </c>
      <c r="E9" s="619" t="s">
        <v>96</v>
      </c>
      <c r="F9" s="619" t="s">
        <v>95</v>
      </c>
      <c r="G9" s="619" t="s">
        <v>94</v>
      </c>
      <c r="H9" s="618" t="s">
        <v>44</v>
      </c>
    </row>
    <row r="10" spans="1:8" ht="18" customHeight="1">
      <c r="A10" s="620" t="s">
        <v>93</v>
      </c>
      <c r="B10" s="619" t="s">
        <v>92</v>
      </c>
      <c r="C10" s="619" t="s">
        <v>91</v>
      </c>
      <c r="D10" s="619" t="s">
        <v>90</v>
      </c>
      <c r="E10" s="619" t="s">
        <v>89</v>
      </c>
      <c r="F10" s="619" t="s">
        <v>89</v>
      </c>
      <c r="G10" s="619" t="s">
        <v>89</v>
      </c>
      <c r="H10" s="618" t="s">
        <v>89</v>
      </c>
    </row>
    <row r="11" spans="1:8" ht="18" customHeight="1" thickBot="1">
      <c r="A11" s="617" t="s">
        <v>43</v>
      </c>
      <c r="B11" s="616">
        <v>1</v>
      </c>
      <c r="C11" s="614">
        <f>ROUND($C$12*B11,0)</f>
        <v>261278</v>
      </c>
      <c r="D11" s="615" t="s">
        <v>132</v>
      </c>
      <c r="E11" s="614">
        <f>ROUND($C11*0.5,0)</f>
        <v>130639</v>
      </c>
      <c r="F11" s="614">
        <f>ROUND($C11*0.35,0)</f>
        <v>91447</v>
      </c>
      <c r="G11" s="614">
        <f>ROUND($C11*0,0)</f>
        <v>0</v>
      </c>
      <c r="H11" s="613">
        <f>C11-E11-F11</f>
        <v>39192</v>
      </c>
    </row>
    <row r="12" spans="1:8" ht="18" customHeight="1" thickTop="1">
      <c r="A12" s="612" t="s">
        <v>103</v>
      </c>
      <c r="B12" s="611">
        <f>SUM(B11:B11)</f>
        <v>1</v>
      </c>
      <c r="C12" s="609">
        <v>261278</v>
      </c>
      <c r="D12" s="610"/>
      <c r="E12" s="609">
        <f>SUM(E11:E11)</f>
        <v>130639</v>
      </c>
      <c r="F12" s="609">
        <f>SUM(F11:F11)</f>
        <v>91447</v>
      </c>
      <c r="G12" s="609">
        <f>SUM(G11:G11)</f>
        <v>0</v>
      </c>
      <c r="H12" s="608">
        <f>SUM(H11:H11)</f>
        <v>39192</v>
      </c>
    </row>
    <row r="13" spans="1:8" ht="18" customHeight="1">
      <c r="A13" s="607" t="s">
        <v>112</v>
      </c>
      <c r="B13" s="606"/>
      <c r="C13" s="604"/>
      <c r="D13" s="605"/>
      <c r="E13" s="604"/>
      <c r="F13" s="604">
        <f>-H13</f>
        <v>39192</v>
      </c>
      <c r="G13" s="604"/>
      <c r="H13" s="599">
        <f>-H12</f>
        <v>-39192</v>
      </c>
    </row>
    <row r="14" spans="1:8" ht="18" customHeight="1">
      <c r="A14" s="603" t="s">
        <v>48</v>
      </c>
      <c r="B14" s="602"/>
      <c r="C14" s="600">
        <f>SUM(C12:C13)</f>
        <v>261278</v>
      </c>
      <c r="D14" s="601"/>
      <c r="E14" s="600">
        <f>SUM(E12:E13)</f>
        <v>130639</v>
      </c>
      <c r="F14" s="600">
        <f>SUM(F12:F13)</f>
        <v>130639</v>
      </c>
      <c r="G14" s="600">
        <f>SUM(G12:G13)</f>
        <v>0</v>
      </c>
      <c r="H14" s="599">
        <f>SUM(H12:H13)</f>
        <v>0</v>
      </c>
    </row>
    <row r="15" spans="1:8" ht="18" customHeight="1" thickBot="1">
      <c r="A15" s="598" t="s">
        <v>78</v>
      </c>
      <c r="B15" s="597"/>
      <c r="C15" s="596"/>
      <c r="D15" s="596"/>
      <c r="E15" s="595"/>
      <c r="F15" s="1005">
        <f>SUM(F14:G14)</f>
        <v>130639</v>
      </c>
      <c r="G15" s="1005"/>
      <c r="H15" s="594"/>
    </row>
  </sheetData>
  <mergeCells count="6">
    <mergeCell ref="F15:G15"/>
    <mergeCell ref="B2:C2"/>
    <mergeCell ref="G2:H2"/>
    <mergeCell ref="G4:H4"/>
    <mergeCell ref="A6:H6"/>
    <mergeCell ref="A7:H7"/>
  </mergeCells>
  <printOptions horizontalCentered="1"/>
  <pageMargins left="0.37" right="0.37" top="1.5" bottom="1" header="0.5" footer="0.5"/>
  <pageSetup scale="85" orientation="portrait" r:id="rId1"/>
  <headerFooter>
    <oddHeader>&amp;C&amp;"Arial,Bold"&amp;11SAWS Consortium
Able-Bodied Adults without Dependents (ABAWD)&amp;"Century Gothic,Bold"
Cost Allocation Plan
SFY 2019/20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4</xdr:col>
                    <xdr:colOff>628650</xdr:colOff>
                    <xdr:row>0</xdr:row>
                    <xdr:rowOff>0</xdr:rowOff>
                  </from>
                  <to>
                    <xdr:col>4</xdr:col>
                    <xdr:colOff>628650</xdr:colOff>
                    <xdr:row>2</xdr:row>
                    <xdr:rowOff>19050</xdr:rowOff>
                  </to>
                </anchor>
              </controlPr>
            </control>
          </mc:Choice>
        </mc:AlternateContent>
        <mc:AlternateContent xmlns:mc="http://schemas.openxmlformats.org/markup-compatibility/2006">
          <mc:Choice Requires="x14">
            <control shapeId="118787" r:id="rId5" name="Check Box 3">
              <controlPr defaultSize="0" autoFill="0" autoLine="0" autoPict="0">
                <anchor moveWithCells="1">
                  <from>
                    <xdr:col>4</xdr:col>
                    <xdr:colOff>628650</xdr:colOff>
                    <xdr:row>0</xdr:row>
                    <xdr:rowOff>0</xdr:rowOff>
                  </from>
                  <to>
                    <xdr:col>4</xdr:col>
                    <xdr:colOff>628650</xdr:colOff>
                    <xdr:row>1</xdr:row>
                    <xdr:rowOff>127000</xdr:rowOff>
                  </to>
                </anchor>
              </controlPr>
            </control>
          </mc:Choice>
        </mc:AlternateContent>
        <mc:AlternateContent xmlns:mc="http://schemas.openxmlformats.org/markup-compatibility/2006">
          <mc:Choice Requires="x14">
            <control shapeId="118788" r:id="rId6" name="Check Box 4">
              <controlPr defaultSize="0" autoFill="0" autoLine="0" autoPict="0">
                <anchor moveWithCells="1">
                  <from>
                    <xdr:col>4</xdr:col>
                    <xdr:colOff>666750</xdr:colOff>
                    <xdr:row>0</xdr:row>
                    <xdr:rowOff>0</xdr:rowOff>
                  </from>
                  <to>
                    <xdr:col>4</xdr:col>
                    <xdr:colOff>666750</xdr:colOff>
                    <xdr:row>2</xdr:row>
                    <xdr:rowOff>19050</xdr:rowOff>
                  </to>
                </anchor>
              </controlPr>
            </control>
          </mc:Choice>
        </mc:AlternateContent>
        <mc:AlternateContent xmlns:mc="http://schemas.openxmlformats.org/markup-compatibility/2006">
          <mc:Choice Requires="x14">
            <control shapeId="118789" r:id="rId7" name="Check Box 5">
              <controlPr defaultSize="0" autoFill="0" autoLine="0" autoPict="0">
                <anchor moveWithCells="1">
                  <from>
                    <xdr:col>4</xdr:col>
                    <xdr:colOff>628650</xdr:colOff>
                    <xdr:row>0</xdr:row>
                    <xdr:rowOff>0</xdr:rowOff>
                  </from>
                  <to>
                    <xdr:col>4</xdr:col>
                    <xdr:colOff>628650</xdr:colOff>
                    <xdr:row>1</xdr:row>
                    <xdr:rowOff>127000</xdr:rowOff>
                  </to>
                </anchor>
              </controlPr>
            </control>
          </mc:Choice>
        </mc:AlternateContent>
        <mc:AlternateContent xmlns:mc="http://schemas.openxmlformats.org/markup-compatibility/2006">
          <mc:Choice Requires="x14">
            <control shapeId="118790" r:id="rId8" name="Check Box 6">
              <controlPr defaultSize="0" autoFill="0" autoLine="0" autoPict="0">
                <anchor moveWithCells="1">
                  <from>
                    <xdr:col>4</xdr:col>
                    <xdr:colOff>628650</xdr:colOff>
                    <xdr:row>0</xdr:row>
                    <xdr:rowOff>0</xdr:rowOff>
                  </from>
                  <to>
                    <xdr:col>4</xdr:col>
                    <xdr:colOff>628650</xdr:colOff>
                    <xdr:row>1</xdr:row>
                    <xdr:rowOff>57150</xdr:rowOff>
                  </to>
                </anchor>
              </controlPr>
            </control>
          </mc:Choice>
        </mc:AlternateContent>
        <mc:AlternateContent xmlns:mc="http://schemas.openxmlformats.org/markup-compatibility/2006">
          <mc:Choice Requires="x14">
            <control shapeId="118792" r:id="rId9" name="Check Box 8">
              <controlPr defaultSize="0" autoFill="0" autoLine="0" autoPict="0">
                <anchor moveWithCells="1">
                  <from>
                    <xdr:col>4</xdr:col>
                    <xdr:colOff>628650</xdr:colOff>
                    <xdr:row>0</xdr:row>
                    <xdr:rowOff>0</xdr:rowOff>
                  </from>
                  <to>
                    <xdr:col>4</xdr:col>
                    <xdr:colOff>628650</xdr:colOff>
                    <xdr:row>1</xdr:row>
                    <xdr:rowOff>57150</xdr:rowOff>
                  </to>
                </anchor>
              </controlPr>
            </control>
          </mc:Choice>
        </mc:AlternateContent>
        <mc:AlternateContent xmlns:mc="http://schemas.openxmlformats.org/markup-compatibility/2006">
          <mc:Choice Requires="x14">
            <control shapeId="118793" r:id="rId10" name="Check Box 9">
              <controlPr defaultSize="0" autoFill="0" autoLine="0" autoPict="0">
                <anchor moveWithCells="1">
                  <from>
                    <xdr:col>4</xdr:col>
                    <xdr:colOff>628650</xdr:colOff>
                    <xdr:row>3</xdr:row>
                    <xdr:rowOff>12700</xdr:rowOff>
                  </from>
                  <to>
                    <xdr:col>4</xdr:col>
                    <xdr:colOff>628650</xdr:colOff>
                    <xdr:row>3</xdr:row>
                    <xdr:rowOff>222250</xdr:rowOff>
                  </to>
                </anchor>
              </controlPr>
            </control>
          </mc:Choice>
        </mc:AlternateContent>
        <mc:AlternateContent xmlns:mc="http://schemas.openxmlformats.org/markup-compatibility/2006">
          <mc:Choice Requires="x14">
            <control shapeId="118794" r:id="rId11" name="Check Box 10">
              <controlPr defaultSize="0" autoFill="0" autoLine="0" autoPict="0">
                <anchor moveWithCells="1">
                  <from>
                    <xdr:col>4</xdr:col>
                    <xdr:colOff>666750</xdr:colOff>
                    <xdr:row>2</xdr:row>
                    <xdr:rowOff>31750</xdr:rowOff>
                  </from>
                  <to>
                    <xdr:col>5</xdr:col>
                    <xdr:colOff>88900</xdr:colOff>
                    <xdr:row>3</xdr:row>
                    <xdr:rowOff>76200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L82"/>
  <sheetViews>
    <sheetView zoomScale="80" zoomScaleNormal="80" workbookViewId="0">
      <selection activeCell="AE11" sqref="AE11"/>
    </sheetView>
  </sheetViews>
  <sheetFormatPr defaultRowHeight="14.5" outlineLevelCol="1"/>
  <cols>
    <col min="1" max="1" width="9.1796875" style="405"/>
    <col min="2" max="2" width="26.7265625" style="405" customWidth="1"/>
    <col min="3" max="13" width="13.7265625" style="440" customWidth="1" outlineLevel="1"/>
    <col min="14" max="14" width="13.7265625" style="440" customWidth="1"/>
    <col min="15" max="15" width="9.1796875" style="405"/>
    <col min="16" max="16" width="12.1796875" style="405" bestFit="1" customWidth="1"/>
    <col min="17" max="17" width="12.1796875" style="405" customWidth="1"/>
    <col min="18" max="18" width="12.1796875" style="405" bestFit="1" customWidth="1"/>
    <col min="19" max="19" width="10.54296875" style="405" bestFit="1" customWidth="1"/>
    <col min="20" max="20" width="9.1796875" style="405"/>
    <col min="21" max="21" width="12.1796875" style="405" bestFit="1" customWidth="1"/>
    <col min="22" max="22" width="12.1796875" style="405" customWidth="1"/>
    <col min="23" max="23" width="12.1796875" style="405" bestFit="1" customWidth="1"/>
    <col min="24" max="24" width="10.54296875" style="405" bestFit="1" customWidth="1"/>
    <col min="25" max="25" width="11.54296875" style="633" customWidth="1"/>
    <col min="26" max="26" width="10.54296875" style="633" customWidth="1"/>
    <col min="27" max="27" width="9.1796875" style="405"/>
    <col min="28" max="28" width="12.1796875" style="405" bestFit="1" customWidth="1"/>
    <col min="29" max="29" width="12.1796875" style="405" customWidth="1"/>
    <col min="30" max="30" width="12.1796875" style="405" bestFit="1" customWidth="1"/>
    <col min="31" max="31" width="10.54296875" style="405" bestFit="1" customWidth="1"/>
    <col min="32" max="32" width="9.1796875" style="405"/>
    <col min="33" max="33" width="12.1796875" style="405" bestFit="1" customWidth="1"/>
    <col min="34" max="34" width="12.1796875" style="405" customWidth="1"/>
    <col min="35" max="35" width="11.453125" style="405" bestFit="1" customWidth="1"/>
    <col min="36" max="36" width="10.26953125" style="405" bestFit="1" customWidth="1"/>
    <col min="37" max="37" width="12.1796875" style="405" bestFit="1" customWidth="1"/>
    <col min="38" max="38" width="10.26953125" style="405" bestFit="1" customWidth="1"/>
    <col min="39" max="39" width="9.1796875" style="405"/>
    <col min="40" max="40" width="12.7265625" style="405" bestFit="1" customWidth="1"/>
    <col min="41" max="41" width="12.1796875" style="405" customWidth="1"/>
    <col min="42" max="42" width="12.7265625" style="405" bestFit="1" customWidth="1"/>
    <col min="43" max="43" width="10.26953125" style="405" bestFit="1" customWidth="1"/>
    <col min="44" max="59" width="9.1796875" style="405"/>
  </cols>
  <sheetData>
    <row r="1" spans="1:64">
      <c r="B1" s="406"/>
      <c r="C1" s="406"/>
      <c r="D1" s="406"/>
      <c r="E1" s="1020" t="s">
        <v>43</v>
      </c>
      <c r="F1" s="1021"/>
      <c r="G1" s="406"/>
      <c r="H1" s="406"/>
      <c r="I1" s="406"/>
      <c r="J1" s="406"/>
      <c r="K1" s="406"/>
      <c r="L1" s="406"/>
      <c r="M1" s="406"/>
      <c r="N1" s="406"/>
      <c r="O1" s="407"/>
      <c r="P1" s="407" t="s">
        <v>190</v>
      </c>
      <c r="Q1" s="407"/>
      <c r="R1" s="407" t="s">
        <v>190</v>
      </c>
      <c r="S1" s="407"/>
      <c r="T1" s="407"/>
      <c r="U1" s="407" t="s">
        <v>191</v>
      </c>
      <c r="V1" s="407"/>
      <c r="W1" s="407" t="s">
        <v>191</v>
      </c>
      <c r="X1" s="407"/>
      <c r="Y1" s="716" t="s">
        <v>191</v>
      </c>
      <c r="Z1" s="716"/>
      <c r="AA1" s="407"/>
      <c r="AB1" s="407" t="s">
        <v>192</v>
      </c>
      <c r="AC1" s="407"/>
      <c r="AD1" s="407" t="s">
        <v>192</v>
      </c>
      <c r="AE1" s="407"/>
      <c r="AF1" s="407"/>
      <c r="AG1" s="407" t="s">
        <v>193</v>
      </c>
      <c r="AH1" s="407"/>
      <c r="AI1" s="407" t="s">
        <v>193</v>
      </c>
      <c r="AJ1" s="407"/>
      <c r="AK1" s="407" t="s">
        <v>193</v>
      </c>
      <c r="AL1" s="407"/>
      <c r="AM1" s="407"/>
      <c r="AN1" s="407" t="s">
        <v>194</v>
      </c>
      <c r="AO1" s="407"/>
      <c r="AP1" s="407" t="s">
        <v>194</v>
      </c>
      <c r="AQ1" s="407"/>
    </row>
    <row r="2" spans="1:64" ht="42" customHeight="1">
      <c r="B2" s="408" t="s">
        <v>44</v>
      </c>
      <c r="C2" s="409" t="s">
        <v>88</v>
      </c>
      <c r="D2" s="409" t="s">
        <v>149</v>
      </c>
      <c r="E2" s="409" t="s">
        <v>142</v>
      </c>
      <c r="F2" s="409" t="s">
        <v>141</v>
      </c>
      <c r="G2" s="409" t="s">
        <v>87</v>
      </c>
      <c r="H2" s="409" t="s">
        <v>86</v>
      </c>
      <c r="I2" s="409" t="s">
        <v>140</v>
      </c>
      <c r="J2" s="409" t="s">
        <v>84</v>
      </c>
      <c r="K2" s="409" t="s">
        <v>83</v>
      </c>
      <c r="L2" s="409" t="s">
        <v>82</v>
      </c>
      <c r="M2" s="409" t="s">
        <v>148</v>
      </c>
      <c r="N2" s="409" t="s">
        <v>48</v>
      </c>
      <c r="O2" s="407"/>
      <c r="P2" s="1016" t="s">
        <v>147</v>
      </c>
      <c r="Q2" s="1017"/>
      <c r="R2" s="1016" t="s">
        <v>146</v>
      </c>
      <c r="S2" s="1017"/>
      <c r="T2" s="407"/>
      <c r="U2" s="1016" t="s">
        <v>147</v>
      </c>
      <c r="V2" s="1017"/>
      <c r="W2" s="1016" t="s">
        <v>146</v>
      </c>
      <c r="X2" s="1017"/>
      <c r="Y2" s="1024" t="s">
        <v>145</v>
      </c>
      <c r="Z2" s="1025"/>
      <c r="AA2" s="407"/>
      <c r="AB2" s="1016" t="s">
        <v>147</v>
      </c>
      <c r="AC2" s="1017"/>
      <c r="AD2" s="1016" t="s">
        <v>146</v>
      </c>
      <c r="AE2" s="1017"/>
      <c r="AF2" s="407"/>
      <c r="AG2" s="1016" t="s">
        <v>195</v>
      </c>
      <c r="AH2" s="1017"/>
      <c r="AI2" s="1018" t="s">
        <v>144</v>
      </c>
      <c r="AJ2" s="1019"/>
      <c r="AK2" s="1018" t="s">
        <v>145</v>
      </c>
      <c r="AL2" s="1019"/>
      <c r="AM2" s="407"/>
      <c r="AN2" s="1016" t="s">
        <v>196</v>
      </c>
      <c r="AO2" s="1017"/>
      <c r="AP2" s="1018" t="s">
        <v>197</v>
      </c>
      <c r="AQ2" s="1019"/>
      <c r="AU2" s="410"/>
    </row>
    <row r="3" spans="1:64" ht="16">
      <c r="A3" s="411" t="s">
        <v>198</v>
      </c>
      <c r="B3" s="412" t="s">
        <v>171</v>
      </c>
      <c r="C3" s="413">
        <v>15364</v>
      </c>
      <c r="D3" s="413">
        <v>971</v>
      </c>
      <c r="E3" s="413">
        <v>90774</v>
      </c>
      <c r="F3" s="413">
        <v>11291</v>
      </c>
      <c r="G3" s="413">
        <v>2936</v>
      </c>
      <c r="H3" s="413">
        <v>352195</v>
      </c>
      <c r="I3" s="413">
        <v>138</v>
      </c>
      <c r="J3" s="413">
        <v>1198</v>
      </c>
      <c r="K3" s="413">
        <v>717</v>
      </c>
      <c r="L3" s="413">
        <v>0</v>
      </c>
      <c r="M3" s="413">
        <v>9172</v>
      </c>
      <c r="N3" s="413">
        <f>SUM(C3:M3)</f>
        <v>484756</v>
      </c>
      <c r="O3" s="407"/>
      <c r="P3" s="414">
        <v>0</v>
      </c>
      <c r="Q3" s="415">
        <f>ROUND(P3/P$61,4)</f>
        <v>0</v>
      </c>
      <c r="R3" s="414">
        <v>0</v>
      </c>
      <c r="S3" s="415">
        <f>ROUND(R3/R$61,4)</f>
        <v>0</v>
      </c>
      <c r="T3" s="407"/>
      <c r="U3" s="414">
        <f t="shared" ref="U3:U60" si="0">SUMIF($A3,"CW",C3)+SUMIF($A3,"CW",D3)+SUMIF($A3,"CW",E3)+SUMIF($A3,"CW",F3)+SUMIF($A3,"CW",G3)+SUMIF($A3,"CW",H3)+SUMIF($A3,"CW",I3)+SUMIF($A3,"CW",J3)+SUMIF($A3,"CW",K3)+SUMIF($A3,"CW",L3)</f>
        <v>475584</v>
      </c>
      <c r="V3" s="415">
        <f>ROUND(U3/U$61,4)</f>
        <v>7.4800000000000005E-2</v>
      </c>
      <c r="W3" s="414">
        <f t="shared" ref="W3:W60" si="1">SUMIF($A3,"CW",M3)</f>
        <v>9172</v>
      </c>
      <c r="X3" s="415">
        <f>ROUND(W3/W$61,4)</f>
        <v>0.2462</v>
      </c>
      <c r="Y3" s="717">
        <f>SUMIF($A3,"CW",E3)+SUMIF($A3,"CW",F3)</f>
        <v>102065</v>
      </c>
      <c r="Z3" s="718">
        <f>ROUND(Y3/Y$61,4)</f>
        <v>6.4500000000000002E-2</v>
      </c>
      <c r="AA3" s="407"/>
      <c r="AB3" s="414">
        <f t="shared" ref="AB3:AB20" si="2">SUMIF($A3,"CA",C3)+SUMIF($A3,"CA",D3)+SUMIF($A3,"CA",E3)+SUMIF($A3,"CA",F3)+SUMIF($A3,"CA",G3)+SUMIF($A3,"CA",H3)+SUMIF($A3,"CA",I3)+SUMIF($A3,"CA",J3)+SUMIF($A3,"CA",K3)+SUMIF($A3,"CA",L3)</f>
        <v>0</v>
      </c>
      <c r="AC3" s="415">
        <f>ROUND(AB3/AB$61,4)</f>
        <v>0</v>
      </c>
      <c r="AD3" s="414">
        <f t="shared" ref="AD3:AD20" si="3">SUMIF($A3,"CA",M3)</f>
        <v>0</v>
      </c>
      <c r="AE3" s="415">
        <f>ROUND(AD3/AD$61,4)</f>
        <v>0</v>
      </c>
      <c r="AF3" s="407"/>
      <c r="AG3" s="414">
        <f t="shared" ref="AG3:AG34" si="4">SUMIF($A3,"CA",N3)</f>
        <v>0</v>
      </c>
      <c r="AH3" s="415">
        <f>ROUND(AG3/AG$61,4)</f>
        <v>0</v>
      </c>
      <c r="AI3" s="414">
        <f t="shared" ref="AI3:AI34" si="5">SUMIF($A3,"CA",C3)+SUMIF($A3,"CA",D3)+SUMIF($A3,"CA",E3)+SUMIF($A3,"CA",F3)+SUMIF($A3,"CA",G3)+SUMIF($A3,"CA",H3)+SUMIF($A3,"CA",I3)+SUMIF($A3,"CA",J3)+SUMIF($A3,"CA",K3)+SUMIF($A3,"CA",L3)</f>
        <v>0</v>
      </c>
      <c r="AJ3" s="415">
        <f>ROUND(AI3/AI$61,4)</f>
        <v>0</v>
      </c>
      <c r="AK3" s="414">
        <f t="shared" ref="AK3:AK34" si="6">SUMIF($A3,"CA",E3)+SUMIF($A3,"CA",F3)</f>
        <v>0</v>
      </c>
      <c r="AL3" s="415">
        <f>ROUND(AK3/AK$61,4)</f>
        <v>0</v>
      </c>
      <c r="AM3" s="416"/>
      <c r="AN3" s="414">
        <f t="shared" ref="AN3:AN34" si="7">N3</f>
        <v>484756</v>
      </c>
      <c r="AO3" s="415">
        <f>ROUND(AN3/AN$61,4)</f>
        <v>3.1E-2</v>
      </c>
      <c r="AP3" s="414">
        <f t="shared" ref="AP3:AP34" si="8">SUM(C3:L3)</f>
        <v>475584</v>
      </c>
      <c r="AQ3" s="415">
        <f>ROUND(AP3/AP$61,4)</f>
        <v>3.0599999999999999E-2</v>
      </c>
      <c r="AU3" s="417"/>
      <c r="AV3" s="417"/>
      <c r="AW3" s="418"/>
      <c r="AX3" s="417"/>
      <c r="AY3" s="418"/>
      <c r="AZ3" s="417"/>
      <c r="BA3" s="418"/>
      <c r="BB3" s="417"/>
      <c r="BC3" s="418"/>
      <c r="BD3" s="417"/>
      <c r="BE3" s="417"/>
      <c r="BF3" s="417"/>
      <c r="BG3" s="417"/>
      <c r="BH3" s="403"/>
      <c r="BI3" s="404"/>
      <c r="BJ3" s="403"/>
      <c r="BK3" s="404"/>
      <c r="BL3" s="403"/>
    </row>
    <row r="4" spans="1:64" ht="16">
      <c r="A4" s="411" t="s">
        <v>199</v>
      </c>
      <c r="B4" s="412" t="s">
        <v>40</v>
      </c>
      <c r="C4" s="413">
        <v>1</v>
      </c>
      <c r="D4" s="413">
        <v>0</v>
      </c>
      <c r="E4" s="413">
        <v>136</v>
      </c>
      <c r="F4" s="413">
        <v>3</v>
      </c>
      <c r="G4" s="413">
        <v>0</v>
      </c>
      <c r="H4" s="413">
        <v>267</v>
      </c>
      <c r="I4" s="413">
        <v>0</v>
      </c>
      <c r="J4" s="413">
        <v>0</v>
      </c>
      <c r="K4" s="413">
        <v>0</v>
      </c>
      <c r="L4" s="413">
        <v>0</v>
      </c>
      <c r="M4" s="413">
        <v>0</v>
      </c>
      <c r="N4" s="413">
        <f t="shared" ref="N4:N60" si="9">SUM(C4:M4)</f>
        <v>407</v>
      </c>
      <c r="O4" s="407"/>
      <c r="P4" s="414">
        <v>0</v>
      </c>
      <c r="Q4" s="415">
        <f t="shared" ref="Q4:Q60" si="10">ROUND(P4/P$61,4)</f>
        <v>0</v>
      </c>
      <c r="R4" s="414">
        <v>0</v>
      </c>
      <c r="S4" s="415">
        <f t="shared" ref="S4:S60" si="11">ROUND(R4/R$61,4)</f>
        <v>0</v>
      </c>
      <c r="T4" s="407"/>
      <c r="U4" s="414">
        <f t="shared" si="0"/>
        <v>0</v>
      </c>
      <c r="V4" s="415">
        <f t="shared" ref="V4:V60" si="12">ROUND(U4/U$61,4)</f>
        <v>0</v>
      </c>
      <c r="W4" s="414">
        <f t="shared" si="1"/>
        <v>0</v>
      </c>
      <c r="X4" s="415">
        <f t="shared" ref="X4:X60" si="13">ROUND(W4/W$61,4)</f>
        <v>0</v>
      </c>
      <c r="Y4" s="717">
        <f t="shared" ref="Y4:Y60" si="14">SUMIF($A4,"CW",E4)+SUMIF($A4,"CW",F4)</f>
        <v>0</v>
      </c>
      <c r="Z4" s="718">
        <f t="shared" ref="Z4:Z60" si="15">ROUND(Y4/Y$61,4)</f>
        <v>0</v>
      </c>
      <c r="AA4" s="407"/>
      <c r="AB4" s="414">
        <f t="shared" si="2"/>
        <v>407</v>
      </c>
      <c r="AC4" s="415">
        <f t="shared" ref="AC4:AC60" si="16">ROUND(AB4/AB$61,4)</f>
        <v>1E-4</v>
      </c>
      <c r="AD4" s="414">
        <f t="shared" si="3"/>
        <v>0</v>
      </c>
      <c r="AE4" s="415">
        <f t="shared" ref="AE4:AE60" si="17">ROUND(AD4/AD$61,4)</f>
        <v>0</v>
      </c>
      <c r="AF4" s="407"/>
      <c r="AG4" s="414">
        <f t="shared" si="4"/>
        <v>407</v>
      </c>
      <c r="AH4" s="415">
        <f t="shared" ref="AH4:AH60" si="18">ROUND(AG4/AG$61,4)</f>
        <v>0</v>
      </c>
      <c r="AI4" s="414">
        <f t="shared" si="5"/>
        <v>407</v>
      </c>
      <c r="AJ4" s="415">
        <f t="shared" ref="AJ4:AJ60" si="19">ROUND(AI4/AI$61,4)</f>
        <v>0</v>
      </c>
      <c r="AK4" s="414">
        <f t="shared" si="6"/>
        <v>139</v>
      </c>
      <c r="AL4" s="415">
        <f>ROUND(AK4/AK$61,4)</f>
        <v>1E-4</v>
      </c>
      <c r="AM4" s="416"/>
      <c r="AN4" s="414">
        <f t="shared" si="7"/>
        <v>407</v>
      </c>
      <c r="AO4" s="415">
        <f t="shared" ref="AO4:AO60" si="20">ROUND(AN4/AN$61,4)</f>
        <v>0</v>
      </c>
      <c r="AP4" s="414">
        <f t="shared" si="8"/>
        <v>407</v>
      </c>
      <c r="AQ4" s="415">
        <f t="shared" ref="AQ4:AQ60" si="21">ROUND(AP4/AP$61,4)</f>
        <v>0</v>
      </c>
      <c r="AU4" s="417"/>
      <c r="AV4" s="417"/>
      <c r="AW4" s="418"/>
      <c r="AX4" s="417"/>
      <c r="AY4" s="418"/>
      <c r="AZ4" s="417"/>
      <c r="BA4" s="418"/>
      <c r="BB4" s="417"/>
      <c r="BC4" s="418"/>
      <c r="BD4" s="417"/>
      <c r="BE4" s="417"/>
      <c r="BF4" s="417"/>
      <c r="BG4" s="417"/>
      <c r="BH4" s="403"/>
      <c r="BI4" s="404"/>
      <c r="BJ4" s="403"/>
      <c r="BK4" s="404"/>
      <c r="BL4" s="403"/>
    </row>
    <row r="5" spans="1:64" ht="16">
      <c r="A5" s="411" t="s">
        <v>199</v>
      </c>
      <c r="B5" s="419" t="s">
        <v>39</v>
      </c>
      <c r="C5" s="413">
        <v>376</v>
      </c>
      <c r="D5" s="413">
        <v>45</v>
      </c>
      <c r="E5" s="413">
        <v>2608</v>
      </c>
      <c r="F5" s="413">
        <v>292</v>
      </c>
      <c r="G5" s="413">
        <v>0</v>
      </c>
      <c r="H5" s="413">
        <v>6789</v>
      </c>
      <c r="I5" s="413">
        <v>0</v>
      </c>
      <c r="J5" s="413">
        <v>0</v>
      </c>
      <c r="K5" s="413">
        <v>16</v>
      </c>
      <c r="L5" s="413">
        <v>1</v>
      </c>
      <c r="M5" s="413">
        <v>3</v>
      </c>
      <c r="N5" s="413">
        <f t="shared" si="9"/>
        <v>10130</v>
      </c>
      <c r="O5" s="407"/>
      <c r="P5" s="414">
        <v>0</v>
      </c>
      <c r="Q5" s="415">
        <f t="shared" si="10"/>
        <v>0</v>
      </c>
      <c r="R5" s="414">
        <v>0</v>
      </c>
      <c r="S5" s="415">
        <f t="shared" si="11"/>
        <v>0</v>
      </c>
      <c r="T5" s="407"/>
      <c r="U5" s="414">
        <f t="shared" si="0"/>
        <v>0</v>
      </c>
      <c r="V5" s="415">
        <f t="shared" si="12"/>
        <v>0</v>
      </c>
      <c r="W5" s="414">
        <f t="shared" si="1"/>
        <v>0</v>
      </c>
      <c r="X5" s="415">
        <f t="shared" si="13"/>
        <v>0</v>
      </c>
      <c r="Y5" s="717">
        <f t="shared" si="14"/>
        <v>0</v>
      </c>
      <c r="Z5" s="718">
        <f t="shared" si="15"/>
        <v>0</v>
      </c>
      <c r="AA5" s="407"/>
      <c r="AB5" s="414">
        <f t="shared" si="2"/>
        <v>10127</v>
      </c>
      <c r="AC5" s="415">
        <f t="shared" si="16"/>
        <v>2.0999999999999999E-3</v>
      </c>
      <c r="AD5" s="414">
        <f t="shared" si="3"/>
        <v>3</v>
      </c>
      <c r="AE5" s="415">
        <f t="shared" si="17"/>
        <v>5.9999999999999995E-4</v>
      </c>
      <c r="AF5" s="407"/>
      <c r="AG5" s="414">
        <f t="shared" si="4"/>
        <v>10130</v>
      </c>
      <c r="AH5" s="415">
        <f t="shared" si="18"/>
        <v>1.1000000000000001E-3</v>
      </c>
      <c r="AI5" s="414">
        <f t="shared" si="5"/>
        <v>10127</v>
      </c>
      <c r="AJ5" s="415">
        <f t="shared" si="19"/>
        <v>1.1000000000000001E-3</v>
      </c>
      <c r="AK5" s="414">
        <f t="shared" si="6"/>
        <v>2900</v>
      </c>
      <c r="AL5" s="415">
        <f t="shared" ref="AL5:AL60" si="22">ROUND(AK5/AK$61,4)</f>
        <v>1.1999999999999999E-3</v>
      </c>
      <c r="AM5" s="416"/>
      <c r="AN5" s="414">
        <f t="shared" si="7"/>
        <v>10130</v>
      </c>
      <c r="AO5" s="415">
        <f t="shared" si="20"/>
        <v>5.9999999999999995E-4</v>
      </c>
      <c r="AP5" s="414">
        <f t="shared" si="8"/>
        <v>10127</v>
      </c>
      <c r="AQ5" s="415">
        <f t="shared" si="21"/>
        <v>6.9999999999999999E-4</v>
      </c>
      <c r="AU5" s="417"/>
      <c r="AV5" s="417"/>
      <c r="AW5" s="418"/>
      <c r="AX5" s="417"/>
      <c r="AY5" s="418"/>
      <c r="AZ5" s="417"/>
      <c r="BA5" s="418"/>
      <c r="BB5" s="417"/>
      <c r="BC5" s="418"/>
      <c r="BD5" s="417"/>
      <c r="BE5" s="417"/>
      <c r="BF5" s="417"/>
      <c r="BG5" s="417"/>
      <c r="BH5" s="403"/>
      <c r="BI5" s="404"/>
      <c r="BJ5" s="403"/>
      <c r="BK5" s="404"/>
      <c r="BL5" s="403"/>
    </row>
    <row r="6" spans="1:64" ht="16">
      <c r="A6" s="411" t="s">
        <v>199</v>
      </c>
      <c r="B6" s="412" t="s">
        <v>38</v>
      </c>
      <c r="C6" s="413">
        <v>4439</v>
      </c>
      <c r="D6" s="413">
        <v>392</v>
      </c>
      <c r="E6" s="413">
        <v>27100</v>
      </c>
      <c r="F6" s="413">
        <v>3726</v>
      </c>
      <c r="G6" s="413">
        <v>87</v>
      </c>
      <c r="H6" s="413">
        <v>63008</v>
      </c>
      <c r="I6" s="413">
        <v>0</v>
      </c>
      <c r="J6" s="413">
        <v>2</v>
      </c>
      <c r="K6" s="413">
        <v>112</v>
      </c>
      <c r="L6" s="413">
        <v>50</v>
      </c>
      <c r="M6" s="413">
        <v>447</v>
      </c>
      <c r="N6" s="413">
        <f t="shared" si="9"/>
        <v>99363</v>
      </c>
      <c r="O6" s="407"/>
      <c r="P6" s="414">
        <v>0</v>
      </c>
      <c r="Q6" s="415">
        <f>ROUND(P6/P$61,4)</f>
        <v>0</v>
      </c>
      <c r="R6" s="414">
        <v>0</v>
      </c>
      <c r="S6" s="415">
        <f t="shared" si="11"/>
        <v>0</v>
      </c>
      <c r="T6" s="407"/>
      <c r="U6" s="414">
        <f t="shared" si="0"/>
        <v>0</v>
      </c>
      <c r="V6" s="415">
        <f>ROUND(U6/U$61,4)</f>
        <v>0</v>
      </c>
      <c r="W6" s="414">
        <f t="shared" si="1"/>
        <v>0</v>
      </c>
      <c r="X6" s="415">
        <f t="shared" si="13"/>
        <v>0</v>
      </c>
      <c r="Y6" s="717">
        <f t="shared" si="14"/>
        <v>0</v>
      </c>
      <c r="Z6" s="718">
        <f t="shared" si="15"/>
        <v>0</v>
      </c>
      <c r="AA6" s="407"/>
      <c r="AB6" s="414">
        <f t="shared" si="2"/>
        <v>98916</v>
      </c>
      <c r="AC6" s="420">
        <f>ROUNDUP(AB6/AB$61,4)</f>
        <v>2.0999999999999998E-2</v>
      </c>
      <c r="AD6" s="414">
        <f t="shared" si="3"/>
        <v>447</v>
      </c>
      <c r="AE6" s="415">
        <f t="shared" si="17"/>
        <v>8.8200000000000001E-2</v>
      </c>
      <c r="AF6" s="407"/>
      <c r="AG6" s="414">
        <f t="shared" si="4"/>
        <v>99363</v>
      </c>
      <c r="AH6" s="415">
        <f t="shared" si="18"/>
        <v>1.0699999999999999E-2</v>
      </c>
      <c r="AI6" s="414">
        <f t="shared" si="5"/>
        <v>98916</v>
      </c>
      <c r="AJ6" s="415">
        <f t="shared" si="19"/>
        <v>1.0800000000000001E-2</v>
      </c>
      <c r="AK6" s="414">
        <f t="shared" si="6"/>
        <v>30826</v>
      </c>
      <c r="AL6" s="415">
        <f t="shared" si="22"/>
        <v>1.2699999999999999E-2</v>
      </c>
      <c r="AM6" s="416"/>
      <c r="AN6" s="414">
        <f t="shared" si="7"/>
        <v>99363</v>
      </c>
      <c r="AO6" s="415">
        <f t="shared" si="20"/>
        <v>6.3E-3</v>
      </c>
      <c r="AP6" s="414">
        <f t="shared" si="8"/>
        <v>98916</v>
      </c>
      <c r="AQ6" s="415">
        <f t="shared" si="21"/>
        <v>6.4000000000000003E-3</v>
      </c>
      <c r="AU6" s="417"/>
      <c r="AV6" s="417"/>
      <c r="AW6" s="418"/>
      <c r="AX6" s="417"/>
      <c r="AY6" s="418"/>
      <c r="AZ6" s="417"/>
      <c r="BA6" s="418"/>
      <c r="BB6" s="417"/>
      <c r="BC6" s="418"/>
      <c r="BD6" s="417"/>
      <c r="BE6" s="417"/>
      <c r="BF6" s="417"/>
      <c r="BG6" s="417"/>
      <c r="BH6" s="403"/>
      <c r="BI6" s="404"/>
      <c r="BJ6" s="403"/>
      <c r="BK6" s="404"/>
      <c r="BL6" s="403"/>
    </row>
    <row r="7" spans="1:64" ht="16">
      <c r="A7" s="411" t="s">
        <v>199</v>
      </c>
      <c r="B7" s="412" t="s">
        <v>37</v>
      </c>
      <c r="C7" s="413">
        <v>710</v>
      </c>
      <c r="D7" s="413">
        <v>47</v>
      </c>
      <c r="E7" s="413">
        <v>4447</v>
      </c>
      <c r="F7" s="413">
        <v>549</v>
      </c>
      <c r="G7" s="413">
        <v>7</v>
      </c>
      <c r="H7" s="413">
        <v>9740</v>
      </c>
      <c r="I7" s="413">
        <v>0</v>
      </c>
      <c r="J7" s="413">
        <v>1</v>
      </c>
      <c r="K7" s="413">
        <v>14</v>
      </c>
      <c r="L7" s="413">
        <v>3</v>
      </c>
      <c r="M7" s="413">
        <v>21</v>
      </c>
      <c r="N7" s="413">
        <f t="shared" si="9"/>
        <v>15539</v>
      </c>
      <c r="O7" s="407"/>
      <c r="P7" s="414">
        <v>0</v>
      </c>
      <c r="Q7" s="415">
        <f t="shared" si="10"/>
        <v>0</v>
      </c>
      <c r="R7" s="414">
        <v>0</v>
      </c>
      <c r="S7" s="415">
        <f t="shared" si="11"/>
        <v>0</v>
      </c>
      <c r="T7" s="407"/>
      <c r="U7" s="414">
        <f t="shared" si="0"/>
        <v>0</v>
      </c>
      <c r="V7" s="415">
        <f t="shared" si="12"/>
        <v>0</v>
      </c>
      <c r="W7" s="414">
        <f t="shared" si="1"/>
        <v>0</v>
      </c>
      <c r="X7" s="415">
        <f t="shared" si="13"/>
        <v>0</v>
      </c>
      <c r="Y7" s="717">
        <f t="shared" si="14"/>
        <v>0</v>
      </c>
      <c r="Z7" s="718">
        <f t="shared" si="15"/>
        <v>0</v>
      </c>
      <c r="AA7" s="407"/>
      <c r="AB7" s="414">
        <f t="shared" si="2"/>
        <v>15518</v>
      </c>
      <c r="AC7" s="415">
        <f t="shared" si="16"/>
        <v>3.3E-3</v>
      </c>
      <c r="AD7" s="414">
        <f t="shared" si="3"/>
        <v>21</v>
      </c>
      <c r="AE7" s="415">
        <f t="shared" si="17"/>
        <v>4.1000000000000003E-3</v>
      </c>
      <c r="AF7" s="407"/>
      <c r="AG7" s="414">
        <f t="shared" si="4"/>
        <v>15539</v>
      </c>
      <c r="AH7" s="415">
        <f t="shared" si="18"/>
        <v>1.6999999999999999E-3</v>
      </c>
      <c r="AI7" s="414">
        <f t="shared" si="5"/>
        <v>15518</v>
      </c>
      <c r="AJ7" s="415">
        <f t="shared" si="19"/>
        <v>1.6999999999999999E-3</v>
      </c>
      <c r="AK7" s="414">
        <f t="shared" si="6"/>
        <v>4996</v>
      </c>
      <c r="AL7" s="415">
        <f t="shared" si="22"/>
        <v>2.0999999999999999E-3</v>
      </c>
      <c r="AM7" s="416"/>
      <c r="AN7" s="414">
        <f t="shared" si="7"/>
        <v>15539</v>
      </c>
      <c r="AO7" s="415">
        <f t="shared" si="20"/>
        <v>1E-3</v>
      </c>
      <c r="AP7" s="414">
        <f t="shared" si="8"/>
        <v>15518</v>
      </c>
      <c r="AQ7" s="415">
        <f t="shared" si="21"/>
        <v>1E-3</v>
      </c>
      <c r="AU7" s="417"/>
      <c r="AV7" s="417"/>
      <c r="AW7" s="418"/>
      <c r="AX7" s="417"/>
      <c r="AY7" s="418"/>
      <c r="AZ7" s="417"/>
      <c r="BA7" s="418"/>
      <c r="BB7" s="417"/>
      <c r="BC7" s="418"/>
      <c r="BD7" s="417"/>
      <c r="BE7" s="417"/>
      <c r="BF7" s="417"/>
      <c r="BG7" s="417"/>
      <c r="BH7" s="403"/>
      <c r="BI7" s="404"/>
      <c r="BJ7" s="403"/>
      <c r="BK7" s="404"/>
      <c r="BL7" s="403"/>
    </row>
    <row r="8" spans="1:64" ht="16">
      <c r="A8" s="411" t="s">
        <v>199</v>
      </c>
      <c r="B8" s="412" t="s">
        <v>36</v>
      </c>
      <c r="C8" s="413">
        <v>212</v>
      </c>
      <c r="D8" s="413">
        <v>34</v>
      </c>
      <c r="E8" s="413">
        <v>1321</v>
      </c>
      <c r="F8" s="413">
        <v>152</v>
      </c>
      <c r="G8" s="413">
        <v>5</v>
      </c>
      <c r="H8" s="413">
        <v>8345</v>
      </c>
      <c r="I8" s="413">
        <v>0</v>
      </c>
      <c r="J8" s="413">
        <v>4</v>
      </c>
      <c r="K8" s="413">
        <v>7</v>
      </c>
      <c r="L8" s="413">
        <v>17</v>
      </c>
      <c r="M8" s="413">
        <v>9</v>
      </c>
      <c r="N8" s="413">
        <f t="shared" si="9"/>
        <v>10106</v>
      </c>
      <c r="O8" s="407"/>
      <c r="P8" s="414">
        <v>0</v>
      </c>
      <c r="Q8" s="421">
        <f>ROUND(P8/P$61,4)</f>
        <v>0</v>
      </c>
      <c r="R8" s="414">
        <v>0</v>
      </c>
      <c r="S8" s="415">
        <f t="shared" si="11"/>
        <v>0</v>
      </c>
      <c r="T8" s="407"/>
      <c r="U8" s="414">
        <f t="shared" si="0"/>
        <v>0</v>
      </c>
      <c r="V8" s="421">
        <f>ROUND(U8/U$61,4)</f>
        <v>0</v>
      </c>
      <c r="W8" s="414">
        <f t="shared" si="1"/>
        <v>0</v>
      </c>
      <c r="X8" s="415">
        <f t="shared" si="13"/>
        <v>0</v>
      </c>
      <c r="Y8" s="717">
        <f t="shared" si="14"/>
        <v>0</v>
      </c>
      <c r="Z8" s="718">
        <f t="shared" si="15"/>
        <v>0</v>
      </c>
      <c r="AA8" s="407"/>
      <c r="AB8" s="414">
        <f t="shared" si="2"/>
        <v>10097</v>
      </c>
      <c r="AC8" s="421">
        <f>ROUND(AB8/AB$61,4)</f>
        <v>2.0999999999999999E-3</v>
      </c>
      <c r="AD8" s="414">
        <f t="shared" si="3"/>
        <v>9</v>
      </c>
      <c r="AE8" s="415">
        <f t="shared" si="17"/>
        <v>1.8E-3</v>
      </c>
      <c r="AF8" s="407"/>
      <c r="AG8" s="414">
        <f t="shared" si="4"/>
        <v>10106</v>
      </c>
      <c r="AH8" s="415">
        <f t="shared" si="18"/>
        <v>1.1000000000000001E-3</v>
      </c>
      <c r="AI8" s="414">
        <f t="shared" si="5"/>
        <v>10097</v>
      </c>
      <c r="AJ8" s="415">
        <f t="shared" si="19"/>
        <v>1.1000000000000001E-3</v>
      </c>
      <c r="AK8" s="414">
        <f t="shared" si="6"/>
        <v>1473</v>
      </c>
      <c r="AL8" s="415">
        <f t="shared" si="22"/>
        <v>5.9999999999999995E-4</v>
      </c>
      <c r="AM8" s="416"/>
      <c r="AN8" s="414">
        <f t="shared" si="7"/>
        <v>10106</v>
      </c>
      <c r="AO8" s="415">
        <f t="shared" si="20"/>
        <v>5.9999999999999995E-4</v>
      </c>
      <c r="AP8" s="414">
        <f t="shared" si="8"/>
        <v>10097</v>
      </c>
      <c r="AQ8" s="415">
        <f t="shared" si="21"/>
        <v>6.9999999999999999E-4</v>
      </c>
      <c r="AU8" s="417"/>
      <c r="AV8" s="417"/>
      <c r="AW8" s="418"/>
      <c r="AX8" s="417"/>
      <c r="AY8" s="418"/>
      <c r="AZ8" s="417"/>
      <c r="BA8" s="418"/>
      <c r="BB8" s="417"/>
      <c r="BC8" s="418"/>
      <c r="BD8" s="417"/>
      <c r="BE8" s="417"/>
      <c r="BF8" s="417"/>
      <c r="BG8" s="417"/>
      <c r="BH8" s="403"/>
      <c r="BI8" s="404"/>
      <c r="BJ8" s="403"/>
      <c r="BK8" s="404"/>
      <c r="BL8" s="403"/>
    </row>
    <row r="9" spans="1:64" ht="16">
      <c r="A9" s="411" t="s">
        <v>198</v>
      </c>
      <c r="B9" s="412" t="s">
        <v>170</v>
      </c>
      <c r="C9" s="413">
        <v>10829</v>
      </c>
      <c r="D9" s="413">
        <v>697</v>
      </c>
      <c r="E9" s="413">
        <v>52846</v>
      </c>
      <c r="F9" s="413">
        <v>8245</v>
      </c>
      <c r="G9" s="413">
        <v>848</v>
      </c>
      <c r="H9" s="413">
        <v>223307</v>
      </c>
      <c r="I9" s="413">
        <v>41</v>
      </c>
      <c r="J9" s="413">
        <v>430</v>
      </c>
      <c r="K9" s="413">
        <v>323</v>
      </c>
      <c r="L9" s="413">
        <v>0</v>
      </c>
      <c r="M9" s="413">
        <v>718</v>
      </c>
      <c r="N9" s="413">
        <f t="shared" si="9"/>
        <v>298284</v>
      </c>
      <c r="O9" s="407"/>
      <c r="P9" s="414">
        <v>0</v>
      </c>
      <c r="Q9" s="415">
        <f t="shared" si="10"/>
        <v>0</v>
      </c>
      <c r="R9" s="414">
        <v>0</v>
      </c>
      <c r="S9" s="415">
        <f t="shared" si="11"/>
        <v>0</v>
      </c>
      <c r="T9" s="407"/>
      <c r="U9" s="414">
        <f t="shared" si="0"/>
        <v>297566</v>
      </c>
      <c r="V9" s="415">
        <f t="shared" si="12"/>
        <v>4.6800000000000001E-2</v>
      </c>
      <c r="W9" s="414">
        <f t="shared" si="1"/>
        <v>718</v>
      </c>
      <c r="X9" s="415">
        <f t="shared" si="13"/>
        <v>1.9300000000000001E-2</v>
      </c>
      <c r="Y9" s="717">
        <f t="shared" si="14"/>
        <v>61091</v>
      </c>
      <c r="Z9" s="718">
        <f t="shared" si="15"/>
        <v>3.8600000000000002E-2</v>
      </c>
      <c r="AA9" s="407"/>
      <c r="AB9" s="414">
        <f t="shared" si="2"/>
        <v>0</v>
      </c>
      <c r="AC9" s="415">
        <f t="shared" si="16"/>
        <v>0</v>
      </c>
      <c r="AD9" s="414">
        <f t="shared" si="3"/>
        <v>0</v>
      </c>
      <c r="AE9" s="415">
        <f t="shared" si="17"/>
        <v>0</v>
      </c>
      <c r="AF9" s="407"/>
      <c r="AG9" s="414">
        <f t="shared" si="4"/>
        <v>0</v>
      </c>
      <c r="AH9" s="415">
        <f t="shared" si="18"/>
        <v>0</v>
      </c>
      <c r="AI9" s="414">
        <f t="shared" si="5"/>
        <v>0</v>
      </c>
      <c r="AJ9" s="415">
        <f t="shared" si="19"/>
        <v>0</v>
      </c>
      <c r="AK9" s="414">
        <f t="shared" si="6"/>
        <v>0</v>
      </c>
      <c r="AL9" s="415">
        <f t="shared" si="22"/>
        <v>0</v>
      </c>
      <c r="AM9" s="416"/>
      <c r="AN9" s="414">
        <f t="shared" si="7"/>
        <v>298284</v>
      </c>
      <c r="AO9" s="415">
        <f t="shared" si="20"/>
        <v>1.9E-2</v>
      </c>
      <c r="AP9" s="414">
        <f t="shared" si="8"/>
        <v>297566</v>
      </c>
      <c r="AQ9" s="420">
        <f>ROUNDUP(AP9/AP$61,4)</f>
        <v>1.9199999999999998E-2</v>
      </c>
      <c r="AU9" s="417"/>
      <c r="AV9" s="417"/>
      <c r="AW9" s="418"/>
      <c r="AX9" s="417"/>
      <c r="AY9" s="418"/>
      <c r="AZ9" s="417"/>
      <c r="BA9" s="418"/>
      <c r="BB9" s="417"/>
      <c r="BC9" s="418"/>
      <c r="BD9" s="417"/>
      <c r="BE9" s="417"/>
      <c r="BF9" s="417"/>
      <c r="BG9" s="417"/>
      <c r="BH9" s="403"/>
      <c r="BI9" s="404"/>
      <c r="BJ9" s="403"/>
      <c r="BK9" s="404"/>
      <c r="BL9" s="403"/>
    </row>
    <row r="10" spans="1:64" ht="16">
      <c r="A10" s="411" t="s">
        <v>199</v>
      </c>
      <c r="B10" s="412" t="s">
        <v>35</v>
      </c>
      <c r="C10" s="413">
        <v>1131</v>
      </c>
      <c r="D10" s="413">
        <v>70</v>
      </c>
      <c r="E10" s="413">
        <v>4194</v>
      </c>
      <c r="F10" s="413">
        <v>969</v>
      </c>
      <c r="G10" s="413">
        <v>2</v>
      </c>
      <c r="H10" s="413">
        <v>8193</v>
      </c>
      <c r="I10" s="413">
        <v>0</v>
      </c>
      <c r="J10" s="413">
        <v>0</v>
      </c>
      <c r="K10" s="413">
        <v>22</v>
      </c>
      <c r="L10" s="413">
        <v>4</v>
      </c>
      <c r="M10" s="413">
        <v>5</v>
      </c>
      <c r="N10" s="413">
        <f t="shared" si="9"/>
        <v>14590</v>
      </c>
      <c r="O10" s="407"/>
      <c r="P10" s="414">
        <v>0</v>
      </c>
      <c r="Q10" s="415">
        <f t="shared" si="10"/>
        <v>0</v>
      </c>
      <c r="R10" s="414">
        <v>0</v>
      </c>
      <c r="S10" s="415">
        <f t="shared" si="11"/>
        <v>0</v>
      </c>
      <c r="T10" s="407"/>
      <c r="U10" s="414">
        <f t="shared" si="0"/>
        <v>0</v>
      </c>
      <c r="V10" s="415">
        <f t="shared" si="12"/>
        <v>0</v>
      </c>
      <c r="W10" s="414">
        <f t="shared" si="1"/>
        <v>0</v>
      </c>
      <c r="X10" s="415">
        <f t="shared" si="13"/>
        <v>0</v>
      </c>
      <c r="Y10" s="717">
        <f t="shared" si="14"/>
        <v>0</v>
      </c>
      <c r="Z10" s="718">
        <f t="shared" si="15"/>
        <v>0</v>
      </c>
      <c r="AA10" s="407"/>
      <c r="AB10" s="414">
        <f t="shared" si="2"/>
        <v>14585</v>
      </c>
      <c r="AC10" s="415">
        <f t="shared" si="16"/>
        <v>3.0999999999999999E-3</v>
      </c>
      <c r="AD10" s="414">
        <f t="shared" si="3"/>
        <v>5</v>
      </c>
      <c r="AE10" s="415">
        <f t="shared" si="17"/>
        <v>1E-3</v>
      </c>
      <c r="AF10" s="407"/>
      <c r="AG10" s="414">
        <f t="shared" si="4"/>
        <v>14590</v>
      </c>
      <c r="AH10" s="415">
        <f t="shared" si="18"/>
        <v>1.6000000000000001E-3</v>
      </c>
      <c r="AI10" s="414">
        <f t="shared" si="5"/>
        <v>14585</v>
      </c>
      <c r="AJ10" s="415">
        <f t="shared" si="19"/>
        <v>1.6000000000000001E-3</v>
      </c>
      <c r="AK10" s="414">
        <f t="shared" si="6"/>
        <v>5163</v>
      </c>
      <c r="AL10" s="415">
        <f t="shared" si="22"/>
        <v>2.0999999999999999E-3</v>
      </c>
      <c r="AM10" s="416"/>
      <c r="AN10" s="414">
        <f t="shared" si="7"/>
        <v>14590</v>
      </c>
      <c r="AO10" s="415">
        <f t="shared" si="20"/>
        <v>8.9999999999999998E-4</v>
      </c>
      <c r="AP10" s="414">
        <f t="shared" si="8"/>
        <v>14585</v>
      </c>
      <c r="AQ10" s="415">
        <f t="shared" si="21"/>
        <v>8.9999999999999998E-4</v>
      </c>
      <c r="AU10" s="417"/>
      <c r="AV10" s="417"/>
      <c r="AW10" s="418"/>
      <c r="AX10" s="417"/>
      <c r="AY10" s="418"/>
      <c r="AZ10" s="417"/>
      <c r="BA10" s="418"/>
      <c r="BB10" s="417"/>
      <c r="BC10" s="418"/>
      <c r="BD10" s="417"/>
      <c r="BE10" s="417"/>
      <c r="BF10" s="417"/>
      <c r="BG10" s="417"/>
      <c r="BH10" s="403"/>
      <c r="BI10" s="404"/>
      <c r="BJ10" s="403"/>
      <c r="BK10" s="404"/>
      <c r="BL10" s="403"/>
    </row>
    <row r="11" spans="1:64" ht="16">
      <c r="A11" s="411" t="s">
        <v>199</v>
      </c>
      <c r="B11" s="412" t="s">
        <v>34</v>
      </c>
      <c r="C11" s="413">
        <v>1461</v>
      </c>
      <c r="D11" s="413">
        <v>184</v>
      </c>
      <c r="E11" s="413">
        <v>10305</v>
      </c>
      <c r="F11" s="413">
        <v>1125</v>
      </c>
      <c r="G11" s="413">
        <v>39</v>
      </c>
      <c r="H11" s="413">
        <v>32564</v>
      </c>
      <c r="I11" s="413">
        <v>0</v>
      </c>
      <c r="J11" s="413">
        <v>2</v>
      </c>
      <c r="K11" s="413">
        <v>37</v>
      </c>
      <c r="L11" s="413">
        <v>44</v>
      </c>
      <c r="M11" s="413">
        <v>74</v>
      </c>
      <c r="N11" s="413">
        <f t="shared" si="9"/>
        <v>45835</v>
      </c>
      <c r="O11" s="407"/>
      <c r="P11" s="414">
        <v>0</v>
      </c>
      <c r="Q11" s="415">
        <f t="shared" si="10"/>
        <v>0</v>
      </c>
      <c r="R11" s="414">
        <v>0</v>
      </c>
      <c r="S11" s="415">
        <f t="shared" si="11"/>
        <v>0</v>
      </c>
      <c r="T11" s="407"/>
      <c r="U11" s="414">
        <f t="shared" si="0"/>
        <v>0</v>
      </c>
      <c r="V11" s="415">
        <f t="shared" si="12"/>
        <v>0</v>
      </c>
      <c r="W11" s="414">
        <f t="shared" si="1"/>
        <v>0</v>
      </c>
      <c r="X11" s="415">
        <f t="shared" si="13"/>
        <v>0</v>
      </c>
      <c r="Y11" s="717">
        <f t="shared" si="14"/>
        <v>0</v>
      </c>
      <c r="Z11" s="718">
        <f t="shared" si="15"/>
        <v>0</v>
      </c>
      <c r="AA11" s="407"/>
      <c r="AB11" s="414">
        <f t="shared" si="2"/>
        <v>45761</v>
      </c>
      <c r="AC11" s="415">
        <f t="shared" si="16"/>
        <v>9.7000000000000003E-3</v>
      </c>
      <c r="AD11" s="821">
        <v>0</v>
      </c>
      <c r="AE11" s="820">
        <v>0</v>
      </c>
      <c r="AF11" s="407"/>
      <c r="AG11" s="414">
        <f t="shared" si="4"/>
        <v>45835</v>
      </c>
      <c r="AH11" s="415">
        <f t="shared" si="18"/>
        <v>4.8999999999999998E-3</v>
      </c>
      <c r="AI11" s="414">
        <f t="shared" si="5"/>
        <v>45761</v>
      </c>
      <c r="AJ11" s="415">
        <f t="shared" si="19"/>
        <v>5.0000000000000001E-3</v>
      </c>
      <c r="AK11" s="414">
        <f t="shared" si="6"/>
        <v>11430</v>
      </c>
      <c r="AL11" s="415">
        <f t="shared" si="22"/>
        <v>4.7000000000000002E-3</v>
      </c>
      <c r="AM11" s="416"/>
      <c r="AN11" s="414">
        <f t="shared" si="7"/>
        <v>45835</v>
      </c>
      <c r="AO11" s="415">
        <f t="shared" si="20"/>
        <v>2.8999999999999998E-3</v>
      </c>
      <c r="AP11" s="414">
        <f t="shared" si="8"/>
        <v>45761</v>
      </c>
      <c r="AQ11" s="415">
        <f t="shared" si="21"/>
        <v>2.8999999999999998E-3</v>
      </c>
      <c r="AU11" s="417"/>
      <c r="AV11" s="417"/>
      <c r="AW11" s="418"/>
      <c r="AX11" s="417"/>
      <c r="AY11" s="418"/>
      <c r="AZ11" s="417"/>
      <c r="BA11" s="418"/>
      <c r="BB11" s="417"/>
      <c r="BC11" s="418"/>
      <c r="BD11" s="417"/>
      <c r="BE11" s="417"/>
      <c r="BF11" s="417"/>
      <c r="BG11" s="417"/>
      <c r="BH11" s="403"/>
      <c r="BI11" s="404"/>
      <c r="BJ11" s="403"/>
      <c r="BK11" s="404"/>
      <c r="BL11" s="403"/>
    </row>
    <row r="12" spans="1:64" ht="16">
      <c r="A12" s="411" t="s">
        <v>198</v>
      </c>
      <c r="B12" s="412" t="s">
        <v>169</v>
      </c>
      <c r="C12" s="413">
        <v>39440</v>
      </c>
      <c r="D12" s="413">
        <v>1479</v>
      </c>
      <c r="E12" s="413">
        <v>185050</v>
      </c>
      <c r="F12" s="413">
        <v>32485</v>
      </c>
      <c r="G12" s="413">
        <v>1391</v>
      </c>
      <c r="H12" s="413">
        <v>377599</v>
      </c>
      <c r="I12" s="413">
        <v>7</v>
      </c>
      <c r="J12" s="413">
        <v>93</v>
      </c>
      <c r="K12" s="413">
        <v>564</v>
      </c>
      <c r="L12" s="413">
        <v>0</v>
      </c>
      <c r="M12" s="413">
        <v>3152</v>
      </c>
      <c r="N12" s="413">
        <f t="shared" si="9"/>
        <v>641260</v>
      </c>
      <c r="O12" s="407"/>
      <c r="P12" s="414">
        <v>0</v>
      </c>
      <c r="Q12" s="415">
        <f t="shared" si="10"/>
        <v>0</v>
      </c>
      <c r="R12" s="414">
        <v>0</v>
      </c>
      <c r="S12" s="415">
        <f t="shared" si="11"/>
        <v>0</v>
      </c>
      <c r="T12" s="407"/>
      <c r="U12" s="414">
        <f t="shared" si="0"/>
        <v>638108</v>
      </c>
      <c r="V12" s="415">
        <f>ROUND(U12/U$61,4)</f>
        <v>0.1004</v>
      </c>
      <c r="W12" s="414">
        <f t="shared" si="1"/>
        <v>3152</v>
      </c>
      <c r="X12" s="415">
        <f t="shared" si="13"/>
        <v>8.4599999999999995E-2</v>
      </c>
      <c r="Y12" s="717">
        <f t="shared" si="14"/>
        <v>217535</v>
      </c>
      <c r="Z12" s="718">
        <f t="shared" si="15"/>
        <v>0.13739999999999999</v>
      </c>
      <c r="AA12" s="407"/>
      <c r="AB12" s="414">
        <f t="shared" si="2"/>
        <v>0</v>
      </c>
      <c r="AC12" s="415">
        <f t="shared" si="16"/>
        <v>0</v>
      </c>
      <c r="AD12" s="414">
        <f t="shared" si="3"/>
        <v>0</v>
      </c>
      <c r="AE12" s="415">
        <f t="shared" si="17"/>
        <v>0</v>
      </c>
      <c r="AF12" s="407"/>
      <c r="AG12" s="414">
        <f t="shared" si="4"/>
        <v>0</v>
      </c>
      <c r="AH12" s="415">
        <f t="shared" si="18"/>
        <v>0</v>
      </c>
      <c r="AI12" s="414">
        <f t="shared" si="5"/>
        <v>0</v>
      </c>
      <c r="AJ12" s="415">
        <f t="shared" si="19"/>
        <v>0</v>
      </c>
      <c r="AK12" s="414">
        <f t="shared" si="6"/>
        <v>0</v>
      </c>
      <c r="AL12" s="415">
        <f t="shared" si="22"/>
        <v>0</v>
      </c>
      <c r="AM12" s="416"/>
      <c r="AN12" s="414">
        <f t="shared" si="7"/>
        <v>641260</v>
      </c>
      <c r="AO12" s="415">
        <f t="shared" si="20"/>
        <v>4.0899999999999999E-2</v>
      </c>
      <c r="AP12" s="414">
        <f t="shared" si="8"/>
        <v>638108</v>
      </c>
      <c r="AQ12" s="415">
        <f t="shared" si="21"/>
        <v>4.1099999999999998E-2</v>
      </c>
      <c r="AU12" s="417"/>
      <c r="AV12" s="417"/>
      <c r="AW12" s="418"/>
      <c r="AX12" s="417"/>
      <c r="AY12" s="418"/>
      <c r="AZ12" s="417"/>
      <c r="BA12" s="418"/>
      <c r="BB12" s="417"/>
      <c r="BC12" s="418"/>
      <c r="BD12" s="417"/>
      <c r="BE12" s="417"/>
      <c r="BF12" s="417"/>
      <c r="BG12" s="417"/>
      <c r="BH12" s="403"/>
      <c r="BI12" s="404"/>
      <c r="BJ12" s="403"/>
      <c r="BK12" s="404"/>
      <c r="BL12" s="403"/>
    </row>
    <row r="13" spans="1:64" ht="16">
      <c r="A13" s="411" t="s">
        <v>199</v>
      </c>
      <c r="B13" s="412" t="s">
        <v>33</v>
      </c>
      <c r="C13" s="413">
        <v>603</v>
      </c>
      <c r="D13" s="413">
        <v>48</v>
      </c>
      <c r="E13" s="413">
        <v>2805</v>
      </c>
      <c r="F13" s="413">
        <v>497</v>
      </c>
      <c r="G13" s="413">
        <v>8</v>
      </c>
      <c r="H13" s="413">
        <v>10251</v>
      </c>
      <c r="I13" s="413">
        <v>0</v>
      </c>
      <c r="J13" s="413">
        <v>3</v>
      </c>
      <c r="K13" s="413">
        <v>8</v>
      </c>
      <c r="L13" s="413">
        <v>9</v>
      </c>
      <c r="M13" s="413">
        <v>15</v>
      </c>
      <c r="N13" s="413">
        <f t="shared" si="9"/>
        <v>14247</v>
      </c>
      <c r="O13" s="407"/>
      <c r="P13" s="414">
        <v>0</v>
      </c>
      <c r="Q13" s="415">
        <f t="shared" si="10"/>
        <v>0</v>
      </c>
      <c r="R13" s="414">
        <v>0</v>
      </c>
      <c r="S13" s="415">
        <f t="shared" si="11"/>
        <v>0</v>
      </c>
      <c r="T13" s="407"/>
      <c r="U13" s="414">
        <f t="shared" si="0"/>
        <v>0</v>
      </c>
      <c r="V13" s="415">
        <f t="shared" si="12"/>
        <v>0</v>
      </c>
      <c r="W13" s="414">
        <f t="shared" si="1"/>
        <v>0</v>
      </c>
      <c r="X13" s="415">
        <f t="shared" si="13"/>
        <v>0</v>
      </c>
      <c r="Y13" s="717">
        <f t="shared" si="14"/>
        <v>0</v>
      </c>
      <c r="Z13" s="718">
        <f t="shared" si="15"/>
        <v>0</v>
      </c>
      <c r="AA13" s="407"/>
      <c r="AB13" s="414">
        <f t="shared" si="2"/>
        <v>14232</v>
      </c>
      <c r="AC13" s="415">
        <f t="shared" si="16"/>
        <v>3.0000000000000001E-3</v>
      </c>
      <c r="AD13" s="414">
        <f t="shared" si="3"/>
        <v>15</v>
      </c>
      <c r="AE13" s="415">
        <f t="shared" si="17"/>
        <v>3.0000000000000001E-3</v>
      </c>
      <c r="AF13" s="407"/>
      <c r="AG13" s="414">
        <f t="shared" si="4"/>
        <v>14247</v>
      </c>
      <c r="AH13" s="415">
        <f t="shared" si="18"/>
        <v>1.5E-3</v>
      </c>
      <c r="AI13" s="414">
        <f t="shared" si="5"/>
        <v>14232</v>
      </c>
      <c r="AJ13" s="415">
        <f t="shared" si="19"/>
        <v>1.6000000000000001E-3</v>
      </c>
      <c r="AK13" s="414">
        <f t="shared" si="6"/>
        <v>3302</v>
      </c>
      <c r="AL13" s="415">
        <f t="shared" si="22"/>
        <v>1.4E-3</v>
      </c>
      <c r="AM13" s="416"/>
      <c r="AN13" s="414">
        <f t="shared" si="7"/>
        <v>14247</v>
      </c>
      <c r="AO13" s="415">
        <f t="shared" si="20"/>
        <v>8.9999999999999998E-4</v>
      </c>
      <c r="AP13" s="414">
        <f t="shared" si="8"/>
        <v>14232</v>
      </c>
      <c r="AQ13" s="415">
        <f t="shared" si="21"/>
        <v>8.9999999999999998E-4</v>
      </c>
      <c r="AU13" s="417"/>
      <c r="AV13" s="417"/>
      <c r="AW13" s="418"/>
      <c r="AX13" s="417"/>
      <c r="AY13" s="418"/>
      <c r="AZ13" s="417"/>
      <c r="BA13" s="418"/>
      <c r="BB13" s="417"/>
      <c r="BC13" s="418"/>
      <c r="BD13" s="417"/>
      <c r="BE13" s="417"/>
      <c r="BF13" s="417"/>
      <c r="BG13" s="417"/>
      <c r="BH13" s="403"/>
      <c r="BI13" s="404"/>
      <c r="BJ13" s="403"/>
      <c r="BK13" s="404"/>
      <c r="BL13" s="403"/>
    </row>
    <row r="14" spans="1:64" ht="16">
      <c r="A14" s="411" t="s">
        <v>199</v>
      </c>
      <c r="B14" s="412" t="s">
        <v>32</v>
      </c>
      <c r="C14" s="413">
        <v>2324</v>
      </c>
      <c r="D14" s="413">
        <v>305</v>
      </c>
      <c r="E14" s="413">
        <v>17936</v>
      </c>
      <c r="F14" s="413">
        <v>2030</v>
      </c>
      <c r="G14" s="413">
        <v>42</v>
      </c>
      <c r="H14" s="413">
        <v>45096</v>
      </c>
      <c r="I14" s="413">
        <v>0</v>
      </c>
      <c r="J14" s="413">
        <v>4</v>
      </c>
      <c r="K14" s="413">
        <v>108</v>
      </c>
      <c r="L14" s="413">
        <v>25</v>
      </c>
      <c r="M14" s="413">
        <v>220</v>
      </c>
      <c r="N14" s="413">
        <f t="shared" si="9"/>
        <v>68090</v>
      </c>
      <c r="O14" s="407"/>
      <c r="P14" s="414">
        <v>0</v>
      </c>
      <c r="Q14" s="415">
        <f t="shared" si="10"/>
        <v>0</v>
      </c>
      <c r="R14" s="414">
        <v>0</v>
      </c>
      <c r="S14" s="415">
        <f>ROUND(R14/R$61,4)</f>
        <v>0</v>
      </c>
      <c r="T14" s="407"/>
      <c r="U14" s="414">
        <f t="shared" si="0"/>
        <v>0</v>
      </c>
      <c r="V14" s="415">
        <f t="shared" si="12"/>
        <v>0</v>
      </c>
      <c r="W14" s="414">
        <f t="shared" si="1"/>
        <v>0</v>
      </c>
      <c r="X14" s="415">
        <f>ROUND(W14/W$61,4)</f>
        <v>0</v>
      </c>
      <c r="Y14" s="717">
        <f t="shared" si="14"/>
        <v>0</v>
      </c>
      <c r="Z14" s="718">
        <f t="shared" si="15"/>
        <v>0</v>
      </c>
      <c r="AA14" s="407"/>
      <c r="AB14" s="414">
        <f t="shared" si="2"/>
        <v>67870</v>
      </c>
      <c r="AC14" s="415">
        <f t="shared" si="16"/>
        <v>1.43E-2</v>
      </c>
      <c r="AD14" s="414">
        <f t="shared" si="3"/>
        <v>220</v>
      </c>
      <c r="AE14" s="420">
        <f>ROUNDUP(AD14/AD$61,4)</f>
        <v>4.3500000000000004E-2</v>
      </c>
      <c r="AF14" s="407"/>
      <c r="AG14" s="414">
        <f t="shared" si="4"/>
        <v>68090</v>
      </c>
      <c r="AH14" s="415">
        <f t="shared" si="18"/>
        <v>7.3000000000000001E-3</v>
      </c>
      <c r="AI14" s="414">
        <f t="shared" si="5"/>
        <v>67870</v>
      </c>
      <c r="AJ14" s="415">
        <f t="shared" si="19"/>
        <v>7.4000000000000003E-3</v>
      </c>
      <c r="AK14" s="414">
        <f t="shared" si="6"/>
        <v>19966</v>
      </c>
      <c r="AL14" s="415">
        <f t="shared" si="22"/>
        <v>8.3000000000000001E-3</v>
      </c>
      <c r="AM14" s="416"/>
      <c r="AN14" s="414">
        <f t="shared" si="7"/>
        <v>68090</v>
      </c>
      <c r="AO14" s="415">
        <f t="shared" si="20"/>
        <v>4.3E-3</v>
      </c>
      <c r="AP14" s="414">
        <f t="shared" si="8"/>
        <v>67870</v>
      </c>
      <c r="AQ14" s="415">
        <f t="shared" si="21"/>
        <v>4.4000000000000003E-3</v>
      </c>
      <c r="AU14" s="417"/>
      <c r="AV14" s="417"/>
      <c r="AW14" s="418"/>
      <c r="AX14" s="417"/>
      <c r="AY14" s="418"/>
      <c r="AZ14" s="417"/>
      <c r="BA14" s="418"/>
      <c r="BB14" s="417"/>
      <c r="BC14" s="418"/>
      <c r="BD14" s="417"/>
      <c r="BE14" s="417"/>
      <c r="BF14" s="417"/>
      <c r="BG14" s="417"/>
      <c r="BH14" s="403"/>
      <c r="BI14" s="404"/>
      <c r="BJ14" s="403"/>
      <c r="BK14" s="404"/>
      <c r="BL14" s="403"/>
    </row>
    <row r="15" spans="1:64" ht="16">
      <c r="A15" s="411" t="s">
        <v>199</v>
      </c>
      <c r="B15" s="412" t="s">
        <v>31</v>
      </c>
      <c r="C15" s="413">
        <v>7667</v>
      </c>
      <c r="D15" s="413">
        <v>256</v>
      </c>
      <c r="E15" s="413">
        <v>34409</v>
      </c>
      <c r="F15" s="413">
        <v>6152</v>
      </c>
      <c r="G15" s="413">
        <v>389</v>
      </c>
      <c r="H15" s="413">
        <v>71075</v>
      </c>
      <c r="I15" s="413">
        <v>1</v>
      </c>
      <c r="J15" s="413">
        <v>21</v>
      </c>
      <c r="K15" s="413">
        <v>96</v>
      </c>
      <c r="L15" s="413">
        <v>46</v>
      </c>
      <c r="M15" s="413">
        <v>71</v>
      </c>
      <c r="N15" s="413">
        <f t="shared" si="9"/>
        <v>120183</v>
      </c>
      <c r="O15" s="407"/>
      <c r="P15" s="414">
        <v>0</v>
      </c>
      <c r="Q15" s="415">
        <f>ROUND(P15/P$61,4)</f>
        <v>0</v>
      </c>
      <c r="R15" s="414">
        <v>0</v>
      </c>
      <c r="S15" s="415">
        <f t="shared" si="11"/>
        <v>0</v>
      </c>
      <c r="T15" s="407"/>
      <c r="U15" s="414">
        <f t="shared" si="0"/>
        <v>0</v>
      </c>
      <c r="V15" s="415">
        <f>ROUND(U15/U$61,4)</f>
        <v>0</v>
      </c>
      <c r="W15" s="414">
        <f t="shared" si="1"/>
        <v>0</v>
      </c>
      <c r="X15" s="415">
        <f t="shared" si="13"/>
        <v>0</v>
      </c>
      <c r="Y15" s="717">
        <f t="shared" si="14"/>
        <v>0</v>
      </c>
      <c r="Z15" s="718">
        <f t="shared" si="15"/>
        <v>0</v>
      </c>
      <c r="AA15" s="407"/>
      <c r="AB15" s="414">
        <f t="shared" si="2"/>
        <v>120112</v>
      </c>
      <c r="AC15" s="415">
        <f>ROUND(AB15/AB$61,4)</f>
        <v>2.5399999999999999E-2</v>
      </c>
      <c r="AD15" s="414">
        <f t="shared" si="3"/>
        <v>71</v>
      </c>
      <c r="AE15" s="415">
        <f t="shared" si="17"/>
        <v>1.4E-2</v>
      </c>
      <c r="AF15" s="407"/>
      <c r="AG15" s="414">
        <f t="shared" si="4"/>
        <v>120183</v>
      </c>
      <c r="AH15" s="415">
        <f t="shared" si="18"/>
        <v>1.2999999999999999E-2</v>
      </c>
      <c r="AI15" s="414">
        <f t="shared" si="5"/>
        <v>120112</v>
      </c>
      <c r="AJ15" s="415">
        <f t="shared" si="19"/>
        <v>1.3100000000000001E-2</v>
      </c>
      <c r="AK15" s="414">
        <f t="shared" si="6"/>
        <v>40561</v>
      </c>
      <c r="AL15" s="415">
        <f t="shared" si="22"/>
        <v>1.6799999999999999E-2</v>
      </c>
      <c r="AM15" s="416"/>
      <c r="AN15" s="414">
        <f t="shared" si="7"/>
        <v>120183</v>
      </c>
      <c r="AO15" s="415">
        <f t="shared" si="20"/>
        <v>7.7000000000000002E-3</v>
      </c>
      <c r="AP15" s="414">
        <f t="shared" si="8"/>
        <v>120112</v>
      </c>
      <c r="AQ15" s="420">
        <f>ROUNDUP(AP15/AP$61,4)</f>
        <v>7.8000000000000005E-3</v>
      </c>
      <c r="AU15" s="417"/>
      <c r="AV15" s="417"/>
      <c r="AW15" s="418"/>
      <c r="AX15" s="417"/>
      <c r="AY15" s="418"/>
      <c r="AZ15" s="417"/>
      <c r="BA15" s="418"/>
      <c r="BB15" s="417"/>
      <c r="BC15" s="418"/>
      <c r="BD15" s="417"/>
      <c r="BE15" s="417"/>
      <c r="BF15" s="417"/>
      <c r="BG15" s="417"/>
      <c r="BH15" s="403"/>
      <c r="BI15" s="404"/>
      <c r="BJ15" s="403"/>
      <c r="BK15" s="404"/>
      <c r="BL15" s="403"/>
    </row>
    <row r="16" spans="1:64" ht="16">
      <c r="A16" s="411" t="s">
        <v>199</v>
      </c>
      <c r="B16" s="412" t="s">
        <v>30</v>
      </c>
      <c r="C16" s="413">
        <v>204</v>
      </c>
      <c r="D16" s="413">
        <v>11</v>
      </c>
      <c r="E16" s="413">
        <v>1732</v>
      </c>
      <c r="F16" s="413">
        <v>222</v>
      </c>
      <c r="G16" s="413">
        <v>5</v>
      </c>
      <c r="H16" s="413">
        <v>4893</v>
      </c>
      <c r="I16" s="413">
        <v>0</v>
      </c>
      <c r="J16" s="413">
        <v>0</v>
      </c>
      <c r="K16" s="413">
        <v>6</v>
      </c>
      <c r="L16" s="413">
        <v>5</v>
      </c>
      <c r="M16" s="413">
        <v>34</v>
      </c>
      <c r="N16" s="413">
        <f t="shared" si="9"/>
        <v>7112</v>
      </c>
      <c r="O16" s="407"/>
      <c r="P16" s="414">
        <v>0</v>
      </c>
      <c r="Q16" s="415">
        <f t="shared" si="10"/>
        <v>0</v>
      </c>
      <c r="R16" s="414">
        <v>0</v>
      </c>
      <c r="S16" s="415">
        <f t="shared" si="11"/>
        <v>0</v>
      </c>
      <c r="T16" s="407"/>
      <c r="U16" s="414">
        <f t="shared" si="0"/>
        <v>0</v>
      </c>
      <c r="V16" s="415">
        <f t="shared" si="12"/>
        <v>0</v>
      </c>
      <c r="W16" s="414">
        <f t="shared" si="1"/>
        <v>0</v>
      </c>
      <c r="X16" s="415">
        <f t="shared" si="13"/>
        <v>0</v>
      </c>
      <c r="Y16" s="717">
        <f t="shared" si="14"/>
        <v>0</v>
      </c>
      <c r="Z16" s="718">
        <f t="shared" si="15"/>
        <v>0</v>
      </c>
      <c r="AA16" s="407"/>
      <c r="AB16" s="414">
        <f t="shared" si="2"/>
        <v>7078</v>
      </c>
      <c r="AC16" s="415">
        <f t="shared" si="16"/>
        <v>1.5E-3</v>
      </c>
      <c r="AD16" s="414">
        <f t="shared" si="3"/>
        <v>34</v>
      </c>
      <c r="AE16" s="415">
        <f t="shared" si="17"/>
        <v>6.7000000000000002E-3</v>
      </c>
      <c r="AF16" s="407"/>
      <c r="AG16" s="414">
        <f t="shared" si="4"/>
        <v>7112</v>
      </c>
      <c r="AH16" s="415">
        <f t="shared" si="18"/>
        <v>8.0000000000000004E-4</v>
      </c>
      <c r="AI16" s="414">
        <f t="shared" si="5"/>
        <v>7078</v>
      </c>
      <c r="AJ16" s="415">
        <f t="shared" si="19"/>
        <v>8.0000000000000004E-4</v>
      </c>
      <c r="AK16" s="414">
        <f t="shared" si="6"/>
        <v>1954</v>
      </c>
      <c r="AL16" s="415">
        <f t="shared" si="22"/>
        <v>8.0000000000000004E-4</v>
      </c>
      <c r="AM16" s="416"/>
      <c r="AN16" s="414">
        <f t="shared" si="7"/>
        <v>7112</v>
      </c>
      <c r="AO16" s="415">
        <f t="shared" si="20"/>
        <v>5.0000000000000001E-4</v>
      </c>
      <c r="AP16" s="414">
        <f t="shared" si="8"/>
        <v>7078</v>
      </c>
      <c r="AQ16" s="415">
        <f t="shared" si="21"/>
        <v>5.0000000000000001E-4</v>
      </c>
      <c r="AU16" s="417"/>
      <c r="AV16" s="417"/>
      <c r="AW16" s="418"/>
      <c r="AX16" s="417"/>
      <c r="AY16" s="418"/>
      <c r="AZ16" s="417"/>
      <c r="BA16" s="418"/>
      <c r="BB16" s="417"/>
      <c r="BC16" s="418"/>
      <c r="BD16" s="417"/>
      <c r="BE16" s="417"/>
      <c r="BF16" s="417"/>
      <c r="BG16" s="417"/>
      <c r="BH16" s="403"/>
      <c r="BI16" s="404"/>
      <c r="BJ16" s="403"/>
      <c r="BK16" s="404"/>
      <c r="BL16" s="403"/>
    </row>
    <row r="17" spans="1:64" ht="16">
      <c r="A17" s="411" t="s">
        <v>199</v>
      </c>
      <c r="B17" s="412" t="s">
        <v>29</v>
      </c>
      <c r="C17" s="413">
        <v>31029</v>
      </c>
      <c r="D17" s="413">
        <v>1254</v>
      </c>
      <c r="E17" s="413">
        <v>131490</v>
      </c>
      <c r="F17" s="413">
        <v>24900</v>
      </c>
      <c r="G17" s="413">
        <v>911</v>
      </c>
      <c r="H17" s="413">
        <v>330103</v>
      </c>
      <c r="I17" s="413">
        <v>5</v>
      </c>
      <c r="J17" s="413">
        <v>41</v>
      </c>
      <c r="K17" s="413">
        <v>507</v>
      </c>
      <c r="L17" s="413">
        <v>0</v>
      </c>
      <c r="M17" s="413">
        <v>1064</v>
      </c>
      <c r="N17" s="413">
        <f t="shared" si="9"/>
        <v>521304</v>
      </c>
      <c r="O17" s="407"/>
      <c r="P17" s="414">
        <v>0</v>
      </c>
      <c r="Q17" s="421">
        <f>ROUND(P17/P$61,4)</f>
        <v>0</v>
      </c>
      <c r="R17" s="414">
        <v>0</v>
      </c>
      <c r="S17" s="415">
        <f t="shared" si="11"/>
        <v>0</v>
      </c>
      <c r="T17" s="407"/>
      <c r="U17" s="414">
        <f t="shared" si="0"/>
        <v>0</v>
      </c>
      <c r="V17" s="421">
        <f>ROUND(U17/U$61,4)</f>
        <v>0</v>
      </c>
      <c r="W17" s="414">
        <f t="shared" si="1"/>
        <v>0</v>
      </c>
      <c r="X17" s="415">
        <f t="shared" si="13"/>
        <v>0</v>
      </c>
      <c r="Y17" s="717">
        <f t="shared" si="14"/>
        <v>0</v>
      </c>
      <c r="Z17" s="718">
        <f t="shared" si="15"/>
        <v>0</v>
      </c>
      <c r="AA17" s="407"/>
      <c r="AB17" s="414">
        <f t="shared" si="2"/>
        <v>520240</v>
      </c>
      <c r="AC17" s="421">
        <f>ROUND(AB17/AB$61,4)</f>
        <v>0.11</v>
      </c>
      <c r="AD17" s="414">
        <f t="shared" si="3"/>
        <v>1064</v>
      </c>
      <c r="AE17" s="415">
        <f t="shared" si="17"/>
        <v>0.21</v>
      </c>
      <c r="AF17" s="407"/>
      <c r="AG17" s="414">
        <f t="shared" si="4"/>
        <v>521304</v>
      </c>
      <c r="AH17" s="420">
        <f>ROUNDUP(AG17/AG$61,4)</f>
        <v>5.6300000000000003E-2</v>
      </c>
      <c r="AI17" s="414">
        <f t="shared" si="5"/>
        <v>520240</v>
      </c>
      <c r="AJ17" s="415">
        <f t="shared" si="19"/>
        <v>5.67E-2</v>
      </c>
      <c r="AK17" s="414">
        <f t="shared" si="6"/>
        <v>156390</v>
      </c>
      <c r="AL17" s="415">
        <f t="shared" si="22"/>
        <v>6.4600000000000005E-2</v>
      </c>
      <c r="AM17" s="416"/>
      <c r="AN17" s="414">
        <f t="shared" si="7"/>
        <v>521304</v>
      </c>
      <c r="AO17" s="415">
        <f>ROUND(AN17/AN$61,4)</f>
        <v>3.3300000000000003E-2</v>
      </c>
      <c r="AP17" s="414">
        <f t="shared" si="8"/>
        <v>520240</v>
      </c>
      <c r="AQ17" s="415">
        <f t="shared" si="21"/>
        <v>3.3500000000000002E-2</v>
      </c>
      <c r="AU17" s="417"/>
      <c r="AV17" s="417"/>
      <c r="AW17" s="418"/>
      <c r="AX17" s="417"/>
      <c r="AY17" s="418"/>
      <c r="AZ17" s="417"/>
      <c r="BA17" s="418"/>
      <c r="BB17" s="417"/>
      <c r="BC17" s="418"/>
      <c r="BD17" s="417"/>
      <c r="BE17" s="417"/>
      <c r="BF17" s="417"/>
      <c r="BG17" s="417"/>
      <c r="BH17" s="403"/>
      <c r="BI17" s="404"/>
      <c r="BJ17" s="403"/>
      <c r="BK17" s="404"/>
      <c r="BL17" s="403"/>
    </row>
    <row r="18" spans="1:64" ht="16">
      <c r="A18" s="411" t="s">
        <v>199</v>
      </c>
      <c r="B18" s="412" t="s">
        <v>28</v>
      </c>
      <c r="C18" s="413">
        <v>4901</v>
      </c>
      <c r="D18" s="413">
        <v>232</v>
      </c>
      <c r="E18" s="413">
        <v>19645</v>
      </c>
      <c r="F18" s="413">
        <v>3883</v>
      </c>
      <c r="G18" s="413">
        <v>183</v>
      </c>
      <c r="H18" s="413">
        <v>45817</v>
      </c>
      <c r="I18" s="413">
        <v>0</v>
      </c>
      <c r="J18" s="413">
        <v>8</v>
      </c>
      <c r="K18" s="413">
        <v>171</v>
      </c>
      <c r="L18" s="413">
        <v>26</v>
      </c>
      <c r="M18" s="413">
        <v>76</v>
      </c>
      <c r="N18" s="413">
        <f t="shared" si="9"/>
        <v>74942</v>
      </c>
      <c r="O18" s="407"/>
      <c r="P18" s="414">
        <v>0</v>
      </c>
      <c r="Q18" s="415">
        <f t="shared" si="10"/>
        <v>0</v>
      </c>
      <c r="R18" s="414">
        <v>0</v>
      </c>
      <c r="S18" s="415">
        <f t="shared" si="11"/>
        <v>0</v>
      </c>
      <c r="T18" s="407"/>
      <c r="U18" s="414">
        <f t="shared" si="0"/>
        <v>0</v>
      </c>
      <c r="V18" s="415">
        <f t="shared" si="12"/>
        <v>0</v>
      </c>
      <c r="W18" s="414">
        <f t="shared" si="1"/>
        <v>0</v>
      </c>
      <c r="X18" s="415">
        <f t="shared" si="13"/>
        <v>0</v>
      </c>
      <c r="Y18" s="717">
        <f t="shared" si="14"/>
        <v>0</v>
      </c>
      <c r="Z18" s="718">
        <f t="shared" si="15"/>
        <v>0</v>
      </c>
      <c r="AA18" s="407"/>
      <c r="AB18" s="414">
        <f t="shared" si="2"/>
        <v>74866</v>
      </c>
      <c r="AC18" s="415">
        <f t="shared" si="16"/>
        <v>1.5800000000000002E-2</v>
      </c>
      <c r="AD18" s="414">
        <f t="shared" si="3"/>
        <v>76</v>
      </c>
      <c r="AE18" s="415">
        <f t="shared" si="17"/>
        <v>1.4999999999999999E-2</v>
      </c>
      <c r="AF18" s="407"/>
      <c r="AG18" s="414">
        <f t="shared" si="4"/>
        <v>74942</v>
      </c>
      <c r="AH18" s="415">
        <f t="shared" si="18"/>
        <v>8.0999999999999996E-3</v>
      </c>
      <c r="AI18" s="414">
        <f t="shared" si="5"/>
        <v>74866</v>
      </c>
      <c r="AJ18" s="415">
        <f t="shared" si="19"/>
        <v>8.2000000000000007E-3</v>
      </c>
      <c r="AK18" s="414">
        <f t="shared" si="6"/>
        <v>23528</v>
      </c>
      <c r="AL18" s="415">
        <f t="shared" si="22"/>
        <v>9.7000000000000003E-3</v>
      </c>
      <c r="AM18" s="416"/>
      <c r="AN18" s="414">
        <f t="shared" si="7"/>
        <v>74942</v>
      </c>
      <c r="AO18" s="415">
        <f t="shared" si="20"/>
        <v>4.7999999999999996E-3</v>
      </c>
      <c r="AP18" s="414">
        <f t="shared" si="8"/>
        <v>74866</v>
      </c>
      <c r="AQ18" s="415">
        <f t="shared" si="21"/>
        <v>4.7999999999999996E-3</v>
      </c>
      <c r="AU18" s="417"/>
      <c r="AV18" s="417"/>
      <c r="AW18" s="418"/>
      <c r="AX18" s="417"/>
      <c r="AY18" s="418"/>
      <c r="AZ18" s="417"/>
      <c r="BA18" s="418"/>
      <c r="BB18" s="417"/>
      <c r="BC18" s="418"/>
      <c r="BD18" s="417"/>
      <c r="BE18" s="417"/>
      <c r="BF18" s="417"/>
      <c r="BG18" s="417"/>
      <c r="BH18" s="403"/>
      <c r="BI18" s="404"/>
      <c r="BJ18" s="403"/>
      <c r="BK18" s="404"/>
      <c r="BL18" s="403"/>
    </row>
    <row r="19" spans="1:64" ht="16">
      <c r="A19" s="411" t="s">
        <v>199</v>
      </c>
      <c r="B19" s="412" t="s">
        <v>27</v>
      </c>
      <c r="C19" s="413">
        <v>1664</v>
      </c>
      <c r="D19" s="413">
        <v>149</v>
      </c>
      <c r="E19" s="413">
        <v>10339</v>
      </c>
      <c r="F19" s="413">
        <v>1310</v>
      </c>
      <c r="G19" s="413">
        <v>33</v>
      </c>
      <c r="H19" s="413">
        <v>26728</v>
      </c>
      <c r="I19" s="413">
        <v>0</v>
      </c>
      <c r="J19" s="413">
        <v>0</v>
      </c>
      <c r="K19" s="413">
        <v>10</v>
      </c>
      <c r="L19" s="413">
        <v>22</v>
      </c>
      <c r="M19" s="413">
        <v>5</v>
      </c>
      <c r="N19" s="413">
        <f t="shared" si="9"/>
        <v>40260</v>
      </c>
      <c r="O19" s="407"/>
      <c r="P19" s="414">
        <v>0</v>
      </c>
      <c r="Q19" s="415">
        <f t="shared" si="10"/>
        <v>0</v>
      </c>
      <c r="R19" s="414">
        <v>0</v>
      </c>
      <c r="S19" s="415">
        <f t="shared" si="11"/>
        <v>0</v>
      </c>
      <c r="T19" s="407"/>
      <c r="U19" s="414">
        <f t="shared" si="0"/>
        <v>0</v>
      </c>
      <c r="V19" s="415">
        <f t="shared" si="12"/>
        <v>0</v>
      </c>
      <c r="W19" s="414">
        <f t="shared" si="1"/>
        <v>0</v>
      </c>
      <c r="X19" s="415">
        <f t="shared" si="13"/>
        <v>0</v>
      </c>
      <c r="Y19" s="717">
        <f t="shared" si="14"/>
        <v>0</v>
      </c>
      <c r="Z19" s="718">
        <f t="shared" si="15"/>
        <v>0</v>
      </c>
      <c r="AA19" s="407"/>
      <c r="AB19" s="414">
        <f t="shared" si="2"/>
        <v>40255</v>
      </c>
      <c r="AC19" s="415">
        <f t="shared" si="16"/>
        <v>8.5000000000000006E-3</v>
      </c>
      <c r="AD19" s="414">
        <f t="shared" si="3"/>
        <v>5</v>
      </c>
      <c r="AE19" s="415">
        <f t="shared" si="17"/>
        <v>1E-3</v>
      </c>
      <c r="AF19" s="407"/>
      <c r="AG19" s="414">
        <f t="shared" si="4"/>
        <v>40260</v>
      </c>
      <c r="AH19" s="415">
        <f t="shared" si="18"/>
        <v>4.3E-3</v>
      </c>
      <c r="AI19" s="414">
        <f t="shared" si="5"/>
        <v>40255</v>
      </c>
      <c r="AJ19" s="415">
        <f t="shared" si="19"/>
        <v>4.4000000000000003E-3</v>
      </c>
      <c r="AK19" s="414">
        <f t="shared" si="6"/>
        <v>11649</v>
      </c>
      <c r="AL19" s="415">
        <f t="shared" si="22"/>
        <v>4.7999999999999996E-3</v>
      </c>
      <c r="AM19" s="416"/>
      <c r="AN19" s="414">
        <f t="shared" si="7"/>
        <v>40260</v>
      </c>
      <c r="AO19" s="415">
        <f t="shared" si="20"/>
        <v>2.5999999999999999E-3</v>
      </c>
      <c r="AP19" s="414">
        <f t="shared" si="8"/>
        <v>40255</v>
      </c>
      <c r="AQ19" s="415">
        <f t="shared" si="21"/>
        <v>2.5999999999999999E-3</v>
      </c>
      <c r="AU19" s="417"/>
      <c r="AV19" s="417"/>
      <c r="AW19" s="418"/>
      <c r="AX19" s="417"/>
      <c r="AY19" s="418"/>
      <c r="AZ19" s="417"/>
      <c r="BA19" s="418"/>
      <c r="BB19" s="417"/>
      <c r="BC19" s="418"/>
      <c r="BD19" s="417"/>
      <c r="BE19" s="417"/>
      <c r="BF19" s="417"/>
      <c r="BG19" s="417"/>
      <c r="BH19" s="403"/>
      <c r="BI19" s="404"/>
      <c r="BJ19" s="403"/>
      <c r="BK19" s="404"/>
      <c r="BL19" s="403"/>
    </row>
    <row r="20" spans="1:64" ht="16">
      <c r="A20" s="411" t="s">
        <v>199</v>
      </c>
      <c r="B20" s="412" t="s">
        <v>26</v>
      </c>
      <c r="C20" s="413">
        <v>713</v>
      </c>
      <c r="D20" s="413">
        <v>35</v>
      </c>
      <c r="E20" s="413">
        <v>2438</v>
      </c>
      <c r="F20" s="413">
        <v>596</v>
      </c>
      <c r="G20" s="413">
        <v>1</v>
      </c>
      <c r="H20" s="413">
        <v>5679</v>
      </c>
      <c r="I20" s="413">
        <v>0</v>
      </c>
      <c r="J20" s="413">
        <v>0</v>
      </c>
      <c r="K20" s="413">
        <v>23</v>
      </c>
      <c r="L20" s="413">
        <v>1</v>
      </c>
      <c r="M20" s="413">
        <v>55</v>
      </c>
      <c r="N20" s="413">
        <f t="shared" si="9"/>
        <v>9541</v>
      </c>
      <c r="O20" s="407"/>
      <c r="P20" s="414">
        <v>0</v>
      </c>
      <c r="Q20" s="415">
        <f t="shared" si="10"/>
        <v>0</v>
      </c>
      <c r="R20" s="414">
        <v>0</v>
      </c>
      <c r="S20" s="415">
        <f t="shared" si="11"/>
        <v>0</v>
      </c>
      <c r="T20" s="407"/>
      <c r="U20" s="414">
        <f t="shared" si="0"/>
        <v>0</v>
      </c>
      <c r="V20" s="415">
        <f t="shared" si="12"/>
        <v>0</v>
      </c>
      <c r="W20" s="414">
        <f t="shared" si="1"/>
        <v>0</v>
      </c>
      <c r="X20" s="415">
        <f t="shared" si="13"/>
        <v>0</v>
      </c>
      <c r="Y20" s="717">
        <f t="shared" si="14"/>
        <v>0</v>
      </c>
      <c r="Z20" s="718">
        <f t="shared" si="15"/>
        <v>0</v>
      </c>
      <c r="AA20" s="407"/>
      <c r="AB20" s="414">
        <f t="shared" si="2"/>
        <v>9486</v>
      </c>
      <c r="AC20" s="415">
        <f t="shared" si="16"/>
        <v>2E-3</v>
      </c>
      <c r="AD20" s="414">
        <f t="shared" si="3"/>
        <v>55</v>
      </c>
      <c r="AE20" s="415">
        <f t="shared" si="17"/>
        <v>1.09E-2</v>
      </c>
      <c r="AF20" s="407"/>
      <c r="AG20" s="414">
        <f t="shared" si="4"/>
        <v>9541</v>
      </c>
      <c r="AH20" s="415">
        <f t="shared" si="18"/>
        <v>1E-3</v>
      </c>
      <c r="AI20" s="414">
        <f t="shared" si="5"/>
        <v>9486</v>
      </c>
      <c r="AJ20" s="415">
        <f t="shared" si="19"/>
        <v>1E-3</v>
      </c>
      <c r="AK20" s="414">
        <f t="shared" si="6"/>
        <v>3034</v>
      </c>
      <c r="AL20" s="415">
        <f t="shared" si="22"/>
        <v>1.2999999999999999E-3</v>
      </c>
      <c r="AM20" s="416"/>
      <c r="AN20" s="414">
        <f t="shared" si="7"/>
        <v>9541</v>
      </c>
      <c r="AO20" s="415">
        <f t="shared" si="20"/>
        <v>5.9999999999999995E-4</v>
      </c>
      <c r="AP20" s="414">
        <f t="shared" si="8"/>
        <v>9486</v>
      </c>
      <c r="AQ20" s="415">
        <f t="shared" si="21"/>
        <v>5.9999999999999995E-4</v>
      </c>
      <c r="AU20" s="417"/>
      <c r="AV20" s="417"/>
      <c r="AW20" s="418"/>
      <c r="AX20" s="417"/>
      <c r="AY20" s="418"/>
      <c r="AZ20" s="417"/>
      <c r="BA20" s="418"/>
      <c r="BB20" s="417"/>
      <c r="BC20" s="418"/>
      <c r="BD20" s="417"/>
      <c r="BE20" s="417"/>
      <c r="BF20" s="417"/>
      <c r="BG20" s="417"/>
      <c r="BH20" s="403"/>
      <c r="BI20" s="404"/>
      <c r="BJ20" s="403"/>
      <c r="BK20" s="404"/>
      <c r="BL20" s="403"/>
    </row>
    <row r="21" spans="1:64" ht="16">
      <c r="A21" s="411" t="s">
        <v>199</v>
      </c>
      <c r="B21" s="412" t="s">
        <v>25</v>
      </c>
      <c r="C21" s="413">
        <v>224350</v>
      </c>
      <c r="D21" s="413">
        <v>10177</v>
      </c>
      <c r="E21" s="413">
        <v>881313</v>
      </c>
      <c r="F21" s="413">
        <v>188938</v>
      </c>
      <c r="G21" s="413">
        <v>14148</v>
      </c>
      <c r="H21" s="413">
        <v>3108065</v>
      </c>
      <c r="I21" s="413">
        <v>465</v>
      </c>
      <c r="J21" s="413">
        <v>6427</v>
      </c>
      <c r="K21" s="413">
        <v>11232</v>
      </c>
      <c r="L21" s="413">
        <v>0</v>
      </c>
      <c r="M21" s="413">
        <v>87851</v>
      </c>
      <c r="N21" s="413">
        <f t="shared" si="9"/>
        <v>4532966</v>
      </c>
      <c r="O21" s="407"/>
      <c r="P21" s="414">
        <f>SUM(C21:L21)</f>
        <v>4445115</v>
      </c>
      <c r="Q21" s="415">
        <f t="shared" si="10"/>
        <v>1</v>
      </c>
      <c r="R21" s="414">
        <f>M21</f>
        <v>87851</v>
      </c>
      <c r="S21" s="415">
        <f t="shared" si="11"/>
        <v>1</v>
      </c>
      <c r="T21" s="407"/>
      <c r="U21" s="414">
        <f t="shared" si="0"/>
        <v>0</v>
      </c>
      <c r="V21" s="415">
        <f t="shared" si="12"/>
        <v>0</v>
      </c>
      <c r="W21" s="414">
        <f t="shared" si="1"/>
        <v>0</v>
      </c>
      <c r="X21" s="415">
        <f t="shared" si="13"/>
        <v>0</v>
      </c>
      <c r="Y21" s="717">
        <f t="shared" si="14"/>
        <v>0</v>
      </c>
      <c r="Z21" s="718">
        <f t="shared" si="15"/>
        <v>0</v>
      </c>
      <c r="AA21" s="407"/>
      <c r="AB21" s="414">
        <v>0</v>
      </c>
      <c r="AC21" s="415">
        <f t="shared" si="16"/>
        <v>0</v>
      </c>
      <c r="AD21" s="414">
        <v>0</v>
      </c>
      <c r="AE21" s="415">
        <f t="shared" si="17"/>
        <v>0</v>
      </c>
      <c r="AF21" s="407"/>
      <c r="AG21" s="414">
        <f t="shared" si="4"/>
        <v>4532966</v>
      </c>
      <c r="AH21" s="415">
        <f t="shared" si="18"/>
        <v>0.48899999999999999</v>
      </c>
      <c r="AI21" s="414">
        <f t="shared" si="5"/>
        <v>4445115</v>
      </c>
      <c r="AJ21" s="415">
        <f t="shared" si="19"/>
        <v>0.4844</v>
      </c>
      <c r="AK21" s="414">
        <f t="shared" si="6"/>
        <v>1070251</v>
      </c>
      <c r="AL21" s="415">
        <f t="shared" si="22"/>
        <v>0.44240000000000002</v>
      </c>
      <c r="AM21" s="416"/>
      <c r="AN21" s="414">
        <f t="shared" si="7"/>
        <v>4532966</v>
      </c>
      <c r="AO21" s="415">
        <f t="shared" si="20"/>
        <v>0.28949999999999998</v>
      </c>
      <c r="AP21" s="414">
        <f t="shared" si="8"/>
        <v>4445115</v>
      </c>
      <c r="AQ21" s="415">
        <f t="shared" si="21"/>
        <v>0.28620000000000001</v>
      </c>
      <c r="AU21" s="417"/>
      <c r="AV21" s="417"/>
      <c r="AW21" s="418"/>
      <c r="AX21" s="417"/>
      <c r="AY21" s="418"/>
      <c r="AZ21" s="417"/>
      <c r="BA21" s="418"/>
      <c r="BB21" s="417"/>
      <c r="BC21" s="418"/>
      <c r="BD21" s="417"/>
      <c r="BE21" s="417"/>
      <c r="BF21" s="417"/>
      <c r="BG21" s="417"/>
      <c r="BH21" s="403"/>
      <c r="BI21" s="404"/>
      <c r="BJ21" s="403"/>
      <c r="BK21" s="404"/>
      <c r="BL21" s="403"/>
    </row>
    <row r="22" spans="1:64" ht="16">
      <c r="A22" s="411" t="s">
        <v>199</v>
      </c>
      <c r="B22" s="412" t="s">
        <v>24</v>
      </c>
      <c r="C22" s="413">
        <v>5371</v>
      </c>
      <c r="D22" s="413">
        <v>235</v>
      </c>
      <c r="E22" s="413">
        <v>22836</v>
      </c>
      <c r="F22" s="413">
        <v>4380</v>
      </c>
      <c r="G22" s="413">
        <v>104</v>
      </c>
      <c r="H22" s="413">
        <v>57610</v>
      </c>
      <c r="I22" s="413">
        <v>0</v>
      </c>
      <c r="J22" s="413">
        <v>4</v>
      </c>
      <c r="K22" s="413">
        <v>71</v>
      </c>
      <c r="L22" s="413">
        <v>21</v>
      </c>
      <c r="M22" s="413">
        <v>113</v>
      </c>
      <c r="N22" s="413">
        <f t="shared" si="9"/>
        <v>90745</v>
      </c>
      <c r="O22" s="407"/>
      <c r="P22" s="414">
        <v>0</v>
      </c>
      <c r="Q22" s="415">
        <f t="shared" si="10"/>
        <v>0</v>
      </c>
      <c r="R22" s="414">
        <v>0</v>
      </c>
      <c r="S22" s="415">
        <f t="shared" si="11"/>
        <v>0</v>
      </c>
      <c r="T22" s="407"/>
      <c r="U22" s="414">
        <f t="shared" si="0"/>
        <v>0</v>
      </c>
      <c r="V22" s="415">
        <f t="shared" si="12"/>
        <v>0</v>
      </c>
      <c r="W22" s="414">
        <f t="shared" si="1"/>
        <v>0</v>
      </c>
      <c r="X22" s="415">
        <f t="shared" si="13"/>
        <v>0</v>
      </c>
      <c r="Y22" s="717">
        <f t="shared" si="14"/>
        <v>0</v>
      </c>
      <c r="Z22" s="718">
        <f t="shared" si="15"/>
        <v>0</v>
      </c>
      <c r="AA22" s="407"/>
      <c r="AB22" s="414">
        <f t="shared" ref="AB22:AB60" si="23">SUMIF($A22,"CA",C22)+SUMIF($A22,"CA",D22)+SUMIF($A22,"CA",E22)+SUMIF($A22,"CA",F22)+SUMIF($A22,"CA",G22)+SUMIF($A22,"CA",H22)+SUMIF($A22,"CA",I22)+SUMIF($A22,"CA",J22)+SUMIF($A22,"CA",K22)+SUMIF($A22,"CA",L22)</f>
        <v>90632</v>
      </c>
      <c r="AC22" s="415">
        <f t="shared" si="16"/>
        <v>1.9199999999999998E-2</v>
      </c>
      <c r="AD22" s="414">
        <f t="shared" ref="AD22:AD60" si="24">SUMIF($A22,"CA",M22)</f>
        <v>113</v>
      </c>
      <c r="AE22" s="415">
        <f t="shared" si="17"/>
        <v>2.23E-2</v>
      </c>
      <c r="AF22" s="407"/>
      <c r="AG22" s="414">
        <f t="shared" si="4"/>
        <v>90745</v>
      </c>
      <c r="AH22" s="415">
        <f t="shared" si="18"/>
        <v>9.7999999999999997E-3</v>
      </c>
      <c r="AI22" s="414">
        <f t="shared" si="5"/>
        <v>90632</v>
      </c>
      <c r="AJ22" s="415">
        <f t="shared" si="19"/>
        <v>9.9000000000000008E-3</v>
      </c>
      <c r="AK22" s="414">
        <f t="shared" si="6"/>
        <v>27216</v>
      </c>
      <c r="AL22" s="420">
        <f>ROUNDDOWN(AK22/AK$61,4)</f>
        <v>1.12E-2</v>
      </c>
      <c r="AM22" s="416"/>
      <c r="AN22" s="414">
        <f t="shared" si="7"/>
        <v>90745</v>
      </c>
      <c r="AO22" s="415">
        <f t="shared" si="20"/>
        <v>5.7999999999999996E-3</v>
      </c>
      <c r="AP22" s="414">
        <f t="shared" si="8"/>
        <v>90632</v>
      </c>
      <c r="AQ22" s="415">
        <f t="shared" si="21"/>
        <v>5.7999999999999996E-3</v>
      </c>
      <c r="AU22" s="417"/>
      <c r="AV22" s="417"/>
      <c r="AW22" s="418"/>
      <c r="AX22" s="417"/>
      <c r="AY22" s="418"/>
      <c r="AZ22" s="417"/>
      <c r="BA22" s="418"/>
      <c r="BB22" s="417"/>
      <c r="BC22" s="418"/>
      <c r="BD22" s="417"/>
      <c r="BE22" s="417"/>
      <c r="BF22" s="417"/>
      <c r="BG22" s="417"/>
      <c r="BH22" s="403"/>
      <c r="BI22" s="404"/>
      <c r="BJ22" s="403"/>
      <c r="BK22" s="404"/>
      <c r="BL22" s="403"/>
    </row>
    <row r="23" spans="1:64" ht="16">
      <c r="A23" s="411" t="s">
        <v>199</v>
      </c>
      <c r="B23" s="412" t="s">
        <v>23</v>
      </c>
      <c r="C23" s="413">
        <v>1297</v>
      </c>
      <c r="D23" s="413">
        <v>50</v>
      </c>
      <c r="E23" s="413">
        <v>8267</v>
      </c>
      <c r="F23" s="413">
        <v>1166</v>
      </c>
      <c r="G23" s="413">
        <v>393</v>
      </c>
      <c r="H23" s="413">
        <v>41593</v>
      </c>
      <c r="I23" s="413">
        <v>1</v>
      </c>
      <c r="J23" s="413">
        <v>49</v>
      </c>
      <c r="K23" s="413">
        <v>11</v>
      </c>
      <c r="L23" s="413">
        <v>62</v>
      </c>
      <c r="M23" s="413">
        <v>567</v>
      </c>
      <c r="N23" s="413">
        <f t="shared" si="9"/>
        <v>53456</v>
      </c>
      <c r="O23" s="407"/>
      <c r="P23" s="414">
        <v>0</v>
      </c>
      <c r="Q23" s="415">
        <f t="shared" si="10"/>
        <v>0</v>
      </c>
      <c r="R23" s="414">
        <v>0</v>
      </c>
      <c r="S23" s="415">
        <f t="shared" si="11"/>
        <v>0</v>
      </c>
      <c r="T23" s="407"/>
      <c r="U23" s="414">
        <f t="shared" si="0"/>
        <v>0</v>
      </c>
      <c r="V23" s="415">
        <f t="shared" si="12"/>
        <v>0</v>
      </c>
      <c r="W23" s="414">
        <f t="shared" si="1"/>
        <v>0</v>
      </c>
      <c r="X23" s="415">
        <f t="shared" si="13"/>
        <v>0</v>
      </c>
      <c r="Y23" s="717">
        <f t="shared" si="14"/>
        <v>0</v>
      </c>
      <c r="Z23" s="718">
        <f t="shared" si="15"/>
        <v>0</v>
      </c>
      <c r="AA23" s="407"/>
      <c r="AB23" s="414">
        <f t="shared" si="23"/>
        <v>52889</v>
      </c>
      <c r="AC23" s="415">
        <f t="shared" si="16"/>
        <v>1.12E-2</v>
      </c>
      <c r="AD23" s="414">
        <f t="shared" si="24"/>
        <v>567</v>
      </c>
      <c r="AE23" s="415">
        <f t="shared" si="17"/>
        <v>0.1119</v>
      </c>
      <c r="AF23" s="407"/>
      <c r="AG23" s="414">
        <f t="shared" si="4"/>
        <v>53456</v>
      </c>
      <c r="AH23" s="415">
        <f t="shared" si="18"/>
        <v>5.7999999999999996E-3</v>
      </c>
      <c r="AI23" s="414">
        <f t="shared" si="5"/>
        <v>52889</v>
      </c>
      <c r="AJ23" s="415">
        <f t="shared" si="19"/>
        <v>5.7999999999999996E-3</v>
      </c>
      <c r="AK23" s="414">
        <f t="shared" si="6"/>
        <v>9433</v>
      </c>
      <c r="AL23" s="415">
        <f t="shared" si="22"/>
        <v>3.8999999999999998E-3</v>
      </c>
      <c r="AM23" s="416"/>
      <c r="AN23" s="414">
        <f t="shared" si="7"/>
        <v>53456</v>
      </c>
      <c r="AO23" s="415">
        <f t="shared" si="20"/>
        <v>3.3999999999999998E-3</v>
      </c>
      <c r="AP23" s="414">
        <f t="shared" si="8"/>
        <v>52889</v>
      </c>
      <c r="AQ23" s="415">
        <f t="shared" si="21"/>
        <v>3.3999999999999998E-3</v>
      </c>
      <c r="AU23" s="417"/>
      <c r="AV23" s="417"/>
      <c r="AW23" s="418"/>
      <c r="AX23" s="417"/>
      <c r="AY23" s="418"/>
      <c r="AZ23" s="417"/>
      <c r="BA23" s="418"/>
      <c r="BB23" s="417"/>
      <c r="BC23" s="418"/>
      <c r="BD23" s="417"/>
      <c r="BE23" s="417"/>
      <c r="BF23" s="417"/>
      <c r="BG23" s="417"/>
      <c r="BH23" s="403"/>
      <c r="BI23" s="404"/>
      <c r="BJ23" s="403"/>
      <c r="BK23" s="404"/>
      <c r="BL23" s="403"/>
    </row>
    <row r="24" spans="1:64" ht="16">
      <c r="A24" s="411" t="s">
        <v>199</v>
      </c>
      <c r="B24" s="412" t="s">
        <v>22</v>
      </c>
      <c r="C24" s="413">
        <v>325</v>
      </c>
      <c r="D24" s="413">
        <v>15</v>
      </c>
      <c r="E24" s="413">
        <v>1627</v>
      </c>
      <c r="F24" s="413">
        <v>255</v>
      </c>
      <c r="G24" s="413">
        <v>4</v>
      </c>
      <c r="H24" s="413">
        <v>3826</v>
      </c>
      <c r="I24" s="413">
        <v>0</v>
      </c>
      <c r="J24" s="413">
        <v>0</v>
      </c>
      <c r="K24" s="413">
        <v>10</v>
      </c>
      <c r="L24" s="413">
        <v>2</v>
      </c>
      <c r="M24" s="413">
        <v>28</v>
      </c>
      <c r="N24" s="413">
        <f t="shared" si="9"/>
        <v>6092</v>
      </c>
      <c r="O24" s="407"/>
      <c r="P24" s="414">
        <v>0</v>
      </c>
      <c r="Q24" s="421">
        <f>ROUND(P24/P$61,4)</f>
        <v>0</v>
      </c>
      <c r="R24" s="414">
        <v>0</v>
      </c>
      <c r="S24" s="415">
        <f t="shared" si="11"/>
        <v>0</v>
      </c>
      <c r="T24" s="407"/>
      <c r="U24" s="414">
        <f t="shared" si="0"/>
        <v>0</v>
      </c>
      <c r="V24" s="421">
        <f>ROUND(U24/U$61,4)</f>
        <v>0</v>
      </c>
      <c r="W24" s="414">
        <f t="shared" si="1"/>
        <v>0</v>
      </c>
      <c r="X24" s="415">
        <f t="shared" si="13"/>
        <v>0</v>
      </c>
      <c r="Y24" s="717">
        <f t="shared" si="14"/>
        <v>0</v>
      </c>
      <c r="Z24" s="718">
        <f t="shared" si="15"/>
        <v>0</v>
      </c>
      <c r="AA24" s="407"/>
      <c r="AB24" s="414">
        <f t="shared" si="23"/>
        <v>6064</v>
      </c>
      <c r="AC24" s="421">
        <f>ROUND(AB24/AB$61,4)</f>
        <v>1.2999999999999999E-3</v>
      </c>
      <c r="AD24" s="414">
        <f t="shared" si="24"/>
        <v>28</v>
      </c>
      <c r="AE24" s="415">
        <f t="shared" si="17"/>
        <v>5.4999999999999997E-3</v>
      </c>
      <c r="AF24" s="407"/>
      <c r="AG24" s="414">
        <f t="shared" si="4"/>
        <v>6092</v>
      </c>
      <c r="AH24" s="415">
        <f t="shared" si="18"/>
        <v>6.9999999999999999E-4</v>
      </c>
      <c r="AI24" s="414">
        <f t="shared" si="5"/>
        <v>6064</v>
      </c>
      <c r="AJ24" s="415">
        <f t="shared" si="19"/>
        <v>6.9999999999999999E-4</v>
      </c>
      <c r="AK24" s="414">
        <f t="shared" si="6"/>
        <v>1882</v>
      </c>
      <c r="AL24" s="415">
        <f t="shared" si="22"/>
        <v>8.0000000000000004E-4</v>
      </c>
      <c r="AM24" s="416"/>
      <c r="AN24" s="414">
        <f t="shared" si="7"/>
        <v>6092</v>
      </c>
      <c r="AO24" s="415">
        <f t="shared" si="20"/>
        <v>4.0000000000000002E-4</v>
      </c>
      <c r="AP24" s="414">
        <f t="shared" si="8"/>
        <v>6064</v>
      </c>
      <c r="AQ24" s="415">
        <f t="shared" si="21"/>
        <v>4.0000000000000002E-4</v>
      </c>
      <c r="AU24" s="417"/>
      <c r="AV24" s="417"/>
      <c r="AW24" s="418"/>
      <c r="AX24" s="417"/>
      <c r="AY24" s="418"/>
      <c r="AZ24" s="417"/>
      <c r="BA24" s="418"/>
      <c r="BB24" s="417"/>
      <c r="BC24" s="418"/>
      <c r="BD24" s="417"/>
      <c r="BE24" s="417"/>
      <c r="BF24" s="417"/>
      <c r="BG24" s="417"/>
      <c r="BH24" s="403"/>
      <c r="BI24" s="404"/>
      <c r="BJ24" s="403"/>
      <c r="BK24" s="404"/>
      <c r="BL24" s="403"/>
    </row>
    <row r="25" spans="1:64" ht="16">
      <c r="A25" s="411" t="s">
        <v>199</v>
      </c>
      <c r="B25" s="412" t="s">
        <v>21</v>
      </c>
      <c r="C25" s="413">
        <v>1536</v>
      </c>
      <c r="D25" s="413">
        <v>202</v>
      </c>
      <c r="E25" s="413">
        <v>10336</v>
      </c>
      <c r="F25" s="413">
        <v>1189</v>
      </c>
      <c r="G25" s="413">
        <v>65</v>
      </c>
      <c r="H25" s="413">
        <v>36013</v>
      </c>
      <c r="I25" s="413">
        <v>1</v>
      </c>
      <c r="J25" s="413">
        <v>3</v>
      </c>
      <c r="K25" s="413">
        <v>57</v>
      </c>
      <c r="L25" s="413">
        <v>4</v>
      </c>
      <c r="M25" s="413">
        <v>50</v>
      </c>
      <c r="N25" s="413">
        <f t="shared" si="9"/>
        <v>49456</v>
      </c>
      <c r="O25" s="407"/>
      <c r="P25" s="414">
        <v>0</v>
      </c>
      <c r="Q25" s="415">
        <f t="shared" si="10"/>
        <v>0</v>
      </c>
      <c r="R25" s="414">
        <v>0</v>
      </c>
      <c r="S25" s="415">
        <f t="shared" si="11"/>
        <v>0</v>
      </c>
      <c r="T25" s="407"/>
      <c r="U25" s="414">
        <f t="shared" si="0"/>
        <v>0</v>
      </c>
      <c r="V25" s="415">
        <f t="shared" si="12"/>
        <v>0</v>
      </c>
      <c r="W25" s="414">
        <f t="shared" si="1"/>
        <v>0</v>
      </c>
      <c r="X25" s="415">
        <f t="shared" si="13"/>
        <v>0</v>
      </c>
      <c r="Y25" s="717">
        <f t="shared" si="14"/>
        <v>0</v>
      </c>
      <c r="Z25" s="718">
        <f t="shared" si="15"/>
        <v>0</v>
      </c>
      <c r="AA25" s="407"/>
      <c r="AB25" s="414">
        <f t="shared" si="23"/>
        <v>49406</v>
      </c>
      <c r="AC25" s="415">
        <f t="shared" si="16"/>
        <v>1.04E-2</v>
      </c>
      <c r="AD25" s="414">
        <f t="shared" si="24"/>
        <v>50</v>
      </c>
      <c r="AE25" s="415">
        <f t="shared" si="17"/>
        <v>9.9000000000000008E-3</v>
      </c>
      <c r="AF25" s="407"/>
      <c r="AG25" s="414">
        <f t="shared" si="4"/>
        <v>49456</v>
      </c>
      <c r="AH25" s="415">
        <f t="shared" si="18"/>
        <v>5.3E-3</v>
      </c>
      <c r="AI25" s="414">
        <f t="shared" si="5"/>
        <v>49406</v>
      </c>
      <c r="AJ25" s="415">
        <f t="shared" si="19"/>
        <v>5.4000000000000003E-3</v>
      </c>
      <c r="AK25" s="414">
        <f t="shared" si="6"/>
        <v>11525</v>
      </c>
      <c r="AL25" s="420">
        <f>ROUNDDOWN(AK25/AK$61,4)</f>
        <v>4.7000000000000002E-3</v>
      </c>
      <c r="AM25" s="416"/>
      <c r="AN25" s="414">
        <f t="shared" si="7"/>
        <v>49456</v>
      </c>
      <c r="AO25" s="415">
        <f t="shared" si="20"/>
        <v>3.2000000000000002E-3</v>
      </c>
      <c r="AP25" s="414">
        <f t="shared" si="8"/>
        <v>49406</v>
      </c>
      <c r="AQ25" s="415">
        <f t="shared" si="21"/>
        <v>3.2000000000000002E-3</v>
      </c>
      <c r="AU25" s="417"/>
      <c r="AV25" s="417"/>
      <c r="AW25" s="418"/>
      <c r="AX25" s="417"/>
      <c r="AY25" s="418"/>
      <c r="AZ25" s="417"/>
      <c r="BA25" s="418"/>
      <c r="BB25" s="417"/>
      <c r="BC25" s="418"/>
      <c r="BD25" s="417"/>
      <c r="BE25" s="417"/>
      <c r="BF25" s="417"/>
      <c r="BG25" s="417"/>
      <c r="BH25" s="403"/>
      <c r="BI25" s="404"/>
      <c r="BJ25" s="403"/>
      <c r="BK25" s="404"/>
      <c r="BL25" s="403"/>
    </row>
    <row r="26" spans="1:64" ht="16">
      <c r="A26" s="411" t="s">
        <v>199</v>
      </c>
      <c r="B26" s="412" t="s">
        <v>20</v>
      </c>
      <c r="C26" s="413">
        <v>11300</v>
      </c>
      <c r="D26" s="413">
        <v>373</v>
      </c>
      <c r="E26" s="413">
        <v>44153</v>
      </c>
      <c r="F26" s="413">
        <v>8890</v>
      </c>
      <c r="G26" s="413">
        <v>130</v>
      </c>
      <c r="H26" s="413">
        <v>107777</v>
      </c>
      <c r="I26" s="413">
        <v>0</v>
      </c>
      <c r="J26" s="413">
        <v>44</v>
      </c>
      <c r="K26" s="413">
        <v>158</v>
      </c>
      <c r="L26" s="413">
        <v>0</v>
      </c>
      <c r="M26" s="413">
        <v>84</v>
      </c>
      <c r="N26" s="413">
        <f t="shared" si="9"/>
        <v>172909</v>
      </c>
      <c r="O26" s="407"/>
      <c r="P26" s="414">
        <v>0</v>
      </c>
      <c r="Q26" s="415">
        <f>ROUND(P26/P$61,4)</f>
        <v>0</v>
      </c>
      <c r="R26" s="414">
        <v>0</v>
      </c>
      <c r="S26" s="415">
        <f t="shared" si="11"/>
        <v>0</v>
      </c>
      <c r="T26" s="407"/>
      <c r="U26" s="414">
        <f t="shared" si="0"/>
        <v>0</v>
      </c>
      <c r="V26" s="415">
        <f>ROUND(U26/U$61,4)</f>
        <v>0</v>
      </c>
      <c r="W26" s="414">
        <f t="shared" si="1"/>
        <v>0</v>
      </c>
      <c r="X26" s="415">
        <f t="shared" si="13"/>
        <v>0</v>
      </c>
      <c r="Y26" s="717">
        <f t="shared" si="14"/>
        <v>0</v>
      </c>
      <c r="Z26" s="718">
        <f t="shared" si="15"/>
        <v>0</v>
      </c>
      <c r="AA26" s="407"/>
      <c r="AB26" s="414">
        <f t="shared" si="23"/>
        <v>172825</v>
      </c>
      <c r="AC26" s="420">
        <f>ROUNDUP(AB26/AB$61,4)</f>
        <v>3.6600000000000001E-2</v>
      </c>
      <c r="AD26" s="414">
        <f t="shared" si="24"/>
        <v>84</v>
      </c>
      <c r="AE26" s="415">
        <f t="shared" si="17"/>
        <v>1.66E-2</v>
      </c>
      <c r="AF26" s="407"/>
      <c r="AG26" s="414">
        <f t="shared" si="4"/>
        <v>172909</v>
      </c>
      <c r="AH26" s="415">
        <f t="shared" si="18"/>
        <v>1.8700000000000001E-2</v>
      </c>
      <c r="AI26" s="414">
        <f t="shared" si="5"/>
        <v>172825</v>
      </c>
      <c r="AJ26" s="415">
        <f t="shared" si="19"/>
        <v>1.8800000000000001E-2</v>
      </c>
      <c r="AK26" s="414">
        <f t="shared" si="6"/>
        <v>53043</v>
      </c>
      <c r="AL26" s="415">
        <f t="shared" si="22"/>
        <v>2.1899999999999999E-2</v>
      </c>
      <c r="AM26" s="416"/>
      <c r="AN26" s="414">
        <f t="shared" si="7"/>
        <v>172909</v>
      </c>
      <c r="AO26" s="420">
        <f>ROUNDUP(AN26/AN$61,4)</f>
        <v>1.1099999999999999E-2</v>
      </c>
      <c r="AP26" s="414">
        <f t="shared" si="8"/>
        <v>172825</v>
      </c>
      <c r="AQ26" s="415">
        <f t="shared" si="21"/>
        <v>1.11E-2</v>
      </c>
      <c r="AU26" s="417"/>
      <c r="AV26" s="417"/>
      <c r="AW26" s="418"/>
      <c r="AX26" s="417"/>
      <c r="AY26" s="418"/>
      <c r="AZ26" s="417"/>
      <c r="BA26" s="418"/>
      <c r="BB26" s="417"/>
      <c r="BC26" s="418"/>
      <c r="BD26" s="417"/>
      <c r="BE26" s="417"/>
      <c r="BF26" s="417"/>
      <c r="BG26" s="417"/>
      <c r="BH26" s="403"/>
      <c r="BI26" s="404"/>
      <c r="BJ26" s="403"/>
      <c r="BK26" s="404"/>
      <c r="BL26" s="403"/>
    </row>
    <row r="27" spans="1:64" ht="16">
      <c r="A27" s="411" t="s">
        <v>199</v>
      </c>
      <c r="B27" s="412" t="s">
        <v>19</v>
      </c>
      <c r="C27" s="413">
        <v>247</v>
      </c>
      <c r="D27" s="413">
        <v>9</v>
      </c>
      <c r="E27" s="413">
        <v>983</v>
      </c>
      <c r="F27" s="413">
        <v>212</v>
      </c>
      <c r="G27" s="413">
        <v>1</v>
      </c>
      <c r="H27" s="413">
        <v>2404</v>
      </c>
      <c r="I27" s="413">
        <v>0</v>
      </c>
      <c r="J27" s="413">
        <v>0</v>
      </c>
      <c r="K27" s="413">
        <v>4</v>
      </c>
      <c r="L27" s="413">
        <v>0</v>
      </c>
      <c r="M27" s="413">
        <v>29</v>
      </c>
      <c r="N27" s="413">
        <f t="shared" si="9"/>
        <v>3889</v>
      </c>
      <c r="O27" s="407"/>
      <c r="P27" s="414">
        <v>0</v>
      </c>
      <c r="Q27" s="415">
        <f t="shared" si="10"/>
        <v>0</v>
      </c>
      <c r="R27" s="414">
        <v>0</v>
      </c>
      <c r="S27" s="415">
        <f t="shared" si="11"/>
        <v>0</v>
      </c>
      <c r="T27" s="407"/>
      <c r="U27" s="414">
        <f t="shared" si="0"/>
        <v>0</v>
      </c>
      <c r="V27" s="415">
        <f t="shared" si="12"/>
        <v>0</v>
      </c>
      <c r="W27" s="414">
        <f t="shared" si="1"/>
        <v>0</v>
      </c>
      <c r="X27" s="415">
        <f t="shared" si="13"/>
        <v>0</v>
      </c>
      <c r="Y27" s="717">
        <f t="shared" si="14"/>
        <v>0</v>
      </c>
      <c r="Z27" s="718">
        <f t="shared" si="15"/>
        <v>0</v>
      </c>
      <c r="AA27" s="407"/>
      <c r="AB27" s="414">
        <f t="shared" si="23"/>
        <v>3860</v>
      </c>
      <c r="AC27" s="415">
        <f t="shared" si="16"/>
        <v>8.0000000000000004E-4</v>
      </c>
      <c r="AD27" s="414">
        <f t="shared" si="24"/>
        <v>29</v>
      </c>
      <c r="AE27" s="415">
        <f t="shared" si="17"/>
        <v>5.7000000000000002E-3</v>
      </c>
      <c r="AF27" s="407"/>
      <c r="AG27" s="414">
        <f t="shared" si="4"/>
        <v>3889</v>
      </c>
      <c r="AH27" s="415">
        <f t="shared" si="18"/>
        <v>4.0000000000000002E-4</v>
      </c>
      <c r="AI27" s="414">
        <f t="shared" si="5"/>
        <v>3860</v>
      </c>
      <c r="AJ27" s="415">
        <f t="shared" si="19"/>
        <v>4.0000000000000002E-4</v>
      </c>
      <c r="AK27" s="414">
        <f t="shared" si="6"/>
        <v>1195</v>
      </c>
      <c r="AL27" s="415">
        <f t="shared" si="22"/>
        <v>5.0000000000000001E-4</v>
      </c>
      <c r="AM27" s="416"/>
      <c r="AN27" s="414">
        <f t="shared" si="7"/>
        <v>3889</v>
      </c>
      <c r="AO27" s="415">
        <f t="shared" si="20"/>
        <v>2.0000000000000001E-4</v>
      </c>
      <c r="AP27" s="414">
        <f t="shared" si="8"/>
        <v>3860</v>
      </c>
      <c r="AQ27" s="415">
        <f t="shared" si="21"/>
        <v>2.0000000000000001E-4</v>
      </c>
      <c r="AU27" s="417"/>
      <c r="AV27" s="417"/>
      <c r="AW27" s="418"/>
      <c r="AX27" s="417"/>
      <c r="AY27" s="418"/>
      <c r="AZ27" s="417"/>
      <c r="BA27" s="418"/>
      <c r="BB27" s="417"/>
      <c r="BC27" s="418"/>
      <c r="BD27" s="417"/>
      <c r="BE27" s="417"/>
      <c r="BF27" s="417"/>
      <c r="BG27" s="417"/>
      <c r="BH27" s="403"/>
      <c r="BI27" s="404"/>
      <c r="BJ27" s="403"/>
      <c r="BK27" s="404"/>
      <c r="BL27" s="403"/>
    </row>
    <row r="28" spans="1:64" ht="16">
      <c r="A28" s="411" t="s">
        <v>199</v>
      </c>
      <c r="B28" s="412" t="s">
        <v>18</v>
      </c>
      <c r="C28" s="413">
        <v>44</v>
      </c>
      <c r="D28" s="413">
        <v>4</v>
      </c>
      <c r="E28" s="413">
        <v>646</v>
      </c>
      <c r="F28" s="413">
        <v>33</v>
      </c>
      <c r="G28" s="413">
        <v>3</v>
      </c>
      <c r="H28" s="413">
        <v>3410</v>
      </c>
      <c r="I28" s="413">
        <v>0</v>
      </c>
      <c r="J28" s="413">
        <v>1</v>
      </c>
      <c r="K28" s="413">
        <v>0</v>
      </c>
      <c r="L28" s="413">
        <v>0</v>
      </c>
      <c r="M28" s="413">
        <v>2</v>
      </c>
      <c r="N28" s="413">
        <f t="shared" si="9"/>
        <v>4143</v>
      </c>
      <c r="O28" s="407"/>
      <c r="P28" s="414">
        <v>0</v>
      </c>
      <c r="Q28" s="415">
        <f t="shared" si="10"/>
        <v>0</v>
      </c>
      <c r="R28" s="414">
        <v>0</v>
      </c>
      <c r="S28" s="415">
        <f t="shared" si="11"/>
        <v>0</v>
      </c>
      <c r="T28" s="407"/>
      <c r="U28" s="414">
        <f t="shared" si="0"/>
        <v>0</v>
      </c>
      <c r="V28" s="415">
        <f t="shared" si="12"/>
        <v>0</v>
      </c>
      <c r="W28" s="414">
        <f t="shared" si="1"/>
        <v>0</v>
      </c>
      <c r="X28" s="415">
        <f t="shared" si="13"/>
        <v>0</v>
      </c>
      <c r="Y28" s="717">
        <f t="shared" si="14"/>
        <v>0</v>
      </c>
      <c r="Z28" s="718">
        <f t="shared" si="15"/>
        <v>0</v>
      </c>
      <c r="AA28" s="407"/>
      <c r="AB28" s="414">
        <f t="shared" si="23"/>
        <v>4141</v>
      </c>
      <c r="AC28" s="415">
        <f t="shared" si="16"/>
        <v>8.9999999999999998E-4</v>
      </c>
      <c r="AD28" s="414">
        <f t="shared" si="24"/>
        <v>2</v>
      </c>
      <c r="AE28" s="415">
        <f t="shared" si="17"/>
        <v>4.0000000000000002E-4</v>
      </c>
      <c r="AF28" s="407"/>
      <c r="AG28" s="414">
        <f t="shared" si="4"/>
        <v>4143</v>
      </c>
      <c r="AH28" s="415">
        <f t="shared" si="18"/>
        <v>4.0000000000000002E-4</v>
      </c>
      <c r="AI28" s="414">
        <f t="shared" si="5"/>
        <v>4141</v>
      </c>
      <c r="AJ28" s="415">
        <f t="shared" si="19"/>
        <v>5.0000000000000001E-4</v>
      </c>
      <c r="AK28" s="414">
        <f t="shared" si="6"/>
        <v>679</v>
      </c>
      <c r="AL28" s="415">
        <f t="shared" si="22"/>
        <v>2.9999999999999997E-4</v>
      </c>
      <c r="AM28" s="416"/>
      <c r="AN28" s="414">
        <f t="shared" si="7"/>
        <v>4143</v>
      </c>
      <c r="AO28" s="415">
        <f t="shared" si="20"/>
        <v>2.9999999999999997E-4</v>
      </c>
      <c r="AP28" s="414">
        <f t="shared" si="8"/>
        <v>4141</v>
      </c>
      <c r="AQ28" s="415">
        <f t="shared" si="21"/>
        <v>2.9999999999999997E-4</v>
      </c>
      <c r="AU28" s="417"/>
      <c r="AV28" s="417"/>
      <c r="AW28" s="418"/>
      <c r="AX28" s="417"/>
      <c r="AY28" s="418"/>
      <c r="AZ28" s="417"/>
      <c r="BA28" s="418"/>
      <c r="BB28" s="417"/>
      <c r="BC28" s="418"/>
      <c r="BD28" s="417"/>
      <c r="BE28" s="417"/>
      <c r="BF28" s="417"/>
      <c r="BG28" s="417"/>
      <c r="BH28" s="403"/>
      <c r="BI28" s="404"/>
      <c r="BJ28" s="403"/>
      <c r="BK28" s="404"/>
      <c r="BL28" s="403"/>
    </row>
    <row r="29" spans="1:64" ht="16">
      <c r="A29" s="411" t="s">
        <v>199</v>
      </c>
      <c r="B29" s="412" t="s">
        <v>17</v>
      </c>
      <c r="C29" s="413">
        <v>7213</v>
      </c>
      <c r="D29" s="413">
        <v>289</v>
      </c>
      <c r="E29" s="413">
        <v>38656</v>
      </c>
      <c r="F29" s="413">
        <v>5770</v>
      </c>
      <c r="G29" s="413">
        <v>291</v>
      </c>
      <c r="H29" s="413">
        <v>164939</v>
      </c>
      <c r="I29" s="413">
        <v>2</v>
      </c>
      <c r="J29" s="413">
        <v>30</v>
      </c>
      <c r="K29" s="413">
        <v>57</v>
      </c>
      <c r="L29" s="413">
        <v>0</v>
      </c>
      <c r="M29" s="413">
        <v>416</v>
      </c>
      <c r="N29" s="413">
        <f t="shared" si="9"/>
        <v>217663</v>
      </c>
      <c r="O29" s="407"/>
      <c r="P29" s="414">
        <v>0</v>
      </c>
      <c r="Q29" s="415">
        <f t="shared" si="10"/>
        <v>0</v>
      </c>
      <c r="R29" s="414">
        <v>0</v>
      </c>
      <c r="S29" s="415">
        <f t="shared" si="11"/>
        <v>0</v>
      </c>
      <c r="T29" s="407"/>
      <c r="U29" s="414">
        <f t="shared" si="0"/>
        <v>0</v>
      </c>
      <c r="V29" s="415">
        <f t="shared" si="12"/>
        <v>0</v>
      </c>
      <c r="W29" s="414">
        <f t="shared" si="1"/>
        <v>0</v>
      </c>
      <c r="X29" s="415">
        <f t="shared" si="13"/>
        <v>0</v>
      </c>
      <c r="Y29" s="717">
        <f t="shared" si="14"/>
        <v>0</v>
      </c>
      <c r="Z29" s="718">
        <f t="shared" si="15"/>
        <v>0</v>
      </c>
      <c r="AA29" s="407"/>
      <c r="AB29" s="414">
        <f t="shared" si="23"/>
        <v>217247</v>
      </c>
      <c r="AC29" s="415">
        <f t="shared" si="16"/>
        <v>4.5900000000000003E-2</v>
      </c>
      <c r="AD29" s="414">
        <f t="shared" si="24"/>
        <v>416</v>
      </c>
      <c r="AE29" s="415">
        <f t="shared" si="17"/>
        <v>8.2100000000000006E-2</v>
      </c>
      <c r="AF29" s="407"/>
      <c r="AG29" s="414">
        <f t="shared" si="4"/>
        <v>217663</v>
      </c>
      <c r="AH29" s="415">
        <f t="shared" si="18"/>
        <v>2.35E-2</v>
      </c>
      <c r="AI29" s="414">
        <f t="shared" si="5"/>
        <v>217247</v>
      </c>
      <c r="AJ29" s="420">
        <f>ROUNDDOWN(AI29/AI$61,4)</f>
        <v>2.3599999999999999E-2</v>
      </c>
      <c r="AK29" s="414">
        <f t="shared" si="6"/>
        <v>44426</v>
      </c>
      <c r="AL29" s="420">
        <f>ROUNDDOWN(AK29/AK$61,4)</f>
        <v>1.83E-2</v>
      </c>
      <c r="AM29" s="416"/>
      <c r="AN29" s="414">
        <f t="shared" si="7"/>
        <v>217663</v>
      </c>
      <c r="AO29" s="415">
        <f t="shared" si="20"/>
        <v>1.3899999999999999E-2</v>
      </c>
      <c r="AP29" s="414">
        <f t="shared" si="8"/>
        <v>217247</v>
      </c>
      <c r="AQ29" s="415">
        <f>ROUND(AP29/AP$61,4)</f>
        <v>1.4E-2</v>
      </c>
      <c r="AU29" s="417"/>
      <c r="AV29" s="417"/>
      <c r="AW29" s="418"/>
      <c r="AX29" s="417"/>
      <c r="AY29" s="418"/>
      <c r="AZ29" s="417"/>
      <c r="BA29" s="418"/>
      <c r="BB29" s="417"/>
      <c r="BC29" s="418"/>
      <c r="BD29" s="417"/>
      <c r="BE29" s="417"/>
      <c r="BF29" s="417"/>
      <c r="BG29" s="417"/>
      <c r="BH29" s="403"/>
      <c r="BI29" s="404"/>
      <c r="BJ29" s="403"/>
      <c r="BK29" s="404"/>
      <c r="BL29" s="403"/>
    </row>
    <row r="30" spans="1:64" ht="16">
      <c r="A30" s="411" t="s">
        <v>199</v>
      </c>
      <c r="B30" s="412" t="s">
        <v>16</v>
      </c>
      <c r="C30" s="413">
        <v>671</v>
      </c>
      <c r="D30" s="413">
        <v>70</v>
      </c>
      <c r="E30" s="413">
        <v>5429</v>
      </c>
      <c r="F30" s="413">
        <v>584</v>
      </c>
      <c r="G30" s="413">
        <v>61</v>
      </c>
      <c r="H30" s="413">
        <v>28194</v>
      </c>
      <c r="I30" s="413">
        <v>0</v>
      </c>
      <c r="J30" s="413">
        <v>7</v>
      </c>
      <c r="K30" s="413">
        <v>12</v>
      </c>
      <c r="L30" s="413">
        <v>33</v>
      </c>
      <c r="M30" s="413">
        <v>18</v>
      </c>
      <c r="N30" s="413">
        <f t="shared" si="9"/>
        <v>35079</v>
      </c>
      <c r="O30" s="407"/>
      <c r="P30" s="414">
        <v>0</v>
      </c>
      <c r="Q30" s="415">
        <f t="shared" si="10"/>
        <v>0</v>
      </c>
      <c r="R30" s="414">
        <v>0</v>
      </c>
      <c r="S30" s="415">
        <f t="shared" si="11"/>
        <v>0</v>
      </c>
      <c r="T30" s="407"/>
      <c r="U30" s="414">
        <f t="shared" si="0"/>
        <v>0</v>
      </c>
      <c r="V30" s="415">
        <f t="shared" si="12"/>
        <v>0</v>
      </c>
      <c r="W30" s="414">
        <f t="shared" si="1"/>
        <v>0</v>
      </c>
      <c r="X30" s="415">
        <f t="shared" si="13"/>
        <v>0</v>
      </c>
      <c r="Y30" s="717">
        <f t="shared" si="14"/>
        <v>0</v>
      </c>
      <c r="Z30" s="718">
        <f t="shared" si="15"/>
        <v>0</v>
      </c>
      <c r="AA30" s="407"/>
      <c r="AB30" s="414">
        <f t="shared" si="23"/>
        <v>35061</v>
      </c>
      <c r="AC30" s="415">
        <f t="shared" si="16"/>
        <v>7.4000000000000003E-3</v>
      </c>
      <c r="AD30" s="414">
        <f t="shared" si="24"/>
        <v>18</v>
      </c>
      <c r="AE30" s="415">
        <f t="shared" si="17"/>
        <v>3.5999999999999999E-3</v>
      </c>
      <c r="AF30" s="407"/>
      <c r="AG30" s="414">
        <f t="shared" si="4"/>
        <v>35079</v>
      </c>
      <c r="AH30" s="415">
        <f t="shared" si="18"/>
        <v>3.8E-3</v>
      </c>
      <c r="AI30" s="414">
        <f t="shared" si="5"/>
        <v>35061</v>
      </c>
      <c r="AJ30" s="415">
        <f t="shared" si="19"/>
        <v>3.8E-3</v>
      </c>
      <c r="AK30" s="414">
        <f t="shared" si="6"/>
        <v>6013</v>
      </c>
      <c r="AL30" s="415">
        <f t="shared" si="22"/>
        <v>2.5000000000000001E-3</v>
      </c>
      <c r="AM30" s="416"/>
      <c r="AN30" s="414">
        <f t="shared" si="7"/>
        <v>35079</v>
      </c>
      <c r="AO30" s="415">
        <f t="shared" si="20"/>
        <v>2.2000000000000001E-3</v>
      </c>
      <c r="AP30" s="414">
        <f t="shared" si="8"/>
        <v>35061</v>
      </c>
      <c r="AQ30" s="415">
        <f t="shared" si="21"/>
        <v>2.3E-3</v>
      </c>
      <c r="AU30" s="417"/>
      <c r="AV30" s="417"/>
      <c r="AW30" s="418"/>
      <c r="AX30" s="417"/>
      <c r="AY30" s="418"/>
      <c r="AZ30" s="417"/>
      <c r="BA30" s="418"/>
      <c r="BB30" s="417"/>
      <c r="BC30" s="418"/>
      <c r="BD30" s="417"/>
      <c r="BE30" s="417"/>
      <c r="BF30" s="417"/>
      <c r="BG30" s="417"/>
      <c r="BH30" s="403"/>
      <c r="BI30" s="404"/>
      <c r="BJ30" s="403"/>
      <c r="BK30" s="404"/>
      <c r="BL30" s="403"/>
    </row>
    <row r="31" spans="1:64" ht="16">
      <c r="A31" s="411" t="s">
        <v>199</v>
      </c>
      <c r="B31" s="412" t="s">
        <v>15</v>
      </c>
      <c r="C31" s="413">
        <v>739</v>
      </c>
      <c r="D31" s="413">
        <v>41</v>
      </c>
      <c r="E31" s="413">
        <v>6371</v>
      </c>
      <c r="F31" s="413">
        <v>598</v>
      </c>
      <c r="G31" s="413">
        <v>13</v>
      </c>
      <c r="H31" s="413">
        <v>22225</v>
      </c>
      <c r="I31" s="413">
        <v>1</v>
      </c>
      <c r="J31" s="413">
        <v>0</v>
      </c>
      <c r="K31" s="413">
        <v>19</v>
      </c>
      <c r="L31" s="413">
        <v>4</v>
      </c>
      <c r="M31" s="413">
        <v>72</v>
      </c>
      <c r="N31" s="413">
        <f t="shared" si="9"/>
        <v>30083</v>
      </c>
      <c r="O31" s="407"/>
      <c r="P31" s="414">
        <v>0</v>
      </c>
      <c r="Q31" s="415">
        <f t="shared" si="10"/>
        <v>0</v>
      </c>
      <c r="R31" s="414">
        <v>0</v>
      </c>
      <c r="S31" s="415">
        <f t="shared" si="11"/>
        <v>0</v>
      </c>
      <c r="T31" s="407"/>
      <c r="U31" s="414">
        <f t="shared" si="0"/>
        <v>0</v>
      </c>
      <c r="V31" s="415">
        <f t="shared" si="12"/>
        <v>0</v>
      </c>
      <c r="W31" s="414">
        <f t="shared" si="1"/>
        <v>0</v>
      </c>
      <c r="X31" s="415">
        <f t="shared" si="13"/>
        <v>0</v>
      </c>
      <c r="Y31" s="717">
        <f t="shared" si="14"/>
        <v>0</v>
      </c>
      <c r="Z31" s="718">
        <f t="shared" si="15"/>
        <v>0</v>
      </c>
      <c r="AA31" s="407"/>
      <c r="AB31" s="414">
        <f t="shared" si="23"/>
        <v>30011</v>
      </c>
      <c r="AC31" s="415">
        <f t="shared" si="16"/>
        <v>6.3E-3</v>
      </c>
      <c r="AD31" s="414">
        <f t="shared" si="24"/>
        <v>72</v>
      </c>
      <c r="AE31" s="415">
        <f t="shared" si="17"/>
        <v>1.4200000000000001E-2</v>
      </c>
      <c r="AF31" s="407"/>
      <c r="AG31" s="414">
        <f t="shared" si="4"/>
        <v>30083</v>
      </c>
      <c r="AH31" s="415">
        <f t="shared" si="18"/>
        <v>3.2000000000000002E-3</v>
      </c>
      <c r="AI31" s="414">
        <f t="shared" si="5"/>
        <v>30011</v>
      </c>
      <c r="AJ31" s="415">
        <f t="shared" si="19"/>
        <v>3.3E-3</v>
      </c>
      <c r="AK31" s="414">
        <f t="shared" si="6"/>
        <v>6969</v>
      </c>
      <c r="AL31" s="415">
        <f t="shared" si="22"/>
        <v>2.8999999999999998E-3</v>
      </c>
      <c r="AM31" s="416"/>
      <c r="AN31" s="414">
        <f t="shared" si="7"/>
        <v>30083</v>
      </c>
      <c r="AO31" s="415">
        <f t="shared" si="20"/>
        <v>1.9E-3</v>
      </c>
      <c r="AP31" s="414">
        <f t="shared" si="8"/>
        <v>30011</v>
      </c>
      <c r="AQ31" s="415">
        <f t="shared" si="21"/>
        <v>1.9E-3</v>
      </c>
      <c r="AU31" s="417"/>
      <c r="AV31" s="417"/>
      <c r="AW31" s="418"/>
      <c r="AX31" s="417"/>
      <c r="AY31" s="418"/>
      <c r="AZ31" s="417"/>
      <c r="BA31" s="418"/>
      <c r="BB31" s="417"/>
      <c r="BC31" s="418"/>
      <c r="BD31" s="417"/>
      <c r="BE31" s="417"/>
      <c r="BF31" s="417"/>
      <c r="BG31" s="417"/>
      <c r="BH31" s="403"/>
      <c r="BI31" s="404"/>
      <c r="BJ31" s="403"/>
      <c r="BK31" s="404"/>
      <c r="BL31" s="403"/>
    </row>
    <row r="32" spans="1:64" ht="16">
      <c r="A32" s="411" t="s">
        <v>198</v>
      </c>
      <c r="B32" s="412" t="s">
        <v>168</v>
      </c>
      <c r="C32" s="413">
        <v>30924</v>
      </c>
      <c r="D32" s="413">
        <v>1152</v>
      </c>
      <c r="E32" s="413">
        <v>199768</v>
      </c>
      <c r="F32" s="413">
        <v>23314</v>
      </c>
      <c r="G32" s="413">
        <v>4134</v>
      </c>
      <c r="H32" s="413">
        <v>767923</v>
      </c>
      <c r="I32" s="413">
        <v>48</v>
      </c>
      <c r="J32" s="413">
        <v>916</v>
      </c>
      <c r="K32" s="413">
        <v>354</v>
      </c>
      <c r="L32" s="413">
        <v>0</v>
      </c>
      <c r="M32" s="413">
        <v>4123</v>
      </c>
      <c r="N32" s="413">
        <f t="shared" si="9"/>
        <v>1032656</v>
      </c>
      <c r="O32" s="407"/>
      <c r="P32" s="414">
        <v>0</v>
      </c>
      <c r="Q32" s="415">
        <f t="shared" si="10"/>
        <v>0</v>
      </c>
      <c r="R32" s="414">
        <v>0</v>
      </c>
      <c r="S32" s="415">
        <f t="shared" si="11"/>
        <v>0</v>
      </c>
      <c r="T32" s="407"/>
      <c r="U32" s="414">
        <f t="shared" si="0"/>
        <v>1028533</v>
      </c>
      <c r="V32" s="415">
        <f t="shared" si="12"/>
        <v>0.16189999999999999</v>
      </c>
      <c r="W32" s="414">
        <f t="shared" si="1"/>
        <v>4123</v>
      </c>
      <c r="X32" s="415">
        <f t="shared" si="13"/>
        <v>0.11070000000000001</v>
      </c>
      <c r="Y32" s="717">
        <f t="shared" si="14"/>
        <v>223082</v>
      </c>
      <c r="Z32" s="718">
        <f t="shared" si="15"/>
        <v>0.1409</v>
      </c>
      <c r="AA32" s="407"/>
      <c r="AB32" s="414">
        <f t="shared" si="23"/>
        <v>0</v>
      </c>
      <c r="AC32" s="415">
        <f t="shared" si="16"/>
        <v>0</v>
      </c>
      <c r="AD32" s="414">
        <f t="shared" si="24"/>
        <v>0</v>
      </c>
      <c r="AE32" s="415">
        <f t="shared" si="17"/>
        <v>0</v>
      </c>
      <c r="AF32" s="407"/>
      <c r="AG32" s="414">
        <f t="shared" si="4"/>
        <v>0</v>
      </c>
      <c r="AH32" s="415">
        <f t="shared" si="18"/>
        <v>0</v>
      </c>
      <c r="AI32" s="414">
        <f t="shared" si="5"/>
        <v>0</v>
      </c>
      <c r="AJ32" s="415">
        <f t="shared" si="19"/>
        <v>0</v>
      </c>
      <c r="AK32" s="414">
        <f t="shared" si="6"/>
        <v>0</v>
      </c>
      <c r="AL32" s="415">
        <f t="shared" si="22"/>
        <v>0</v>
      </c>
      <c r="AM32" s="416"/>
      <c r="AN32" s="414">
        <f t="shared" si="7"/>
        <v>1032656</v>
      </c>
      <c r="AO32" s="415">
        <f t="shared" si="20"/>
        <v>6.59E-2</v>
      </c>
      <c r="AP32" s="414">
        <f t="shared" si="8"/>
        <v>1028533</v>
      </c>
      <c r="AQ32" s="415">
        <f t="shared" si="21"/>
        <v>6.6199999999999995E-2</v>
      </c>
      <c r="AU32" s="417"/>
      <c r="AV32" s="417"/>
      <c r="AW32" s="418"/>
      <c r="AX32" s="417"/>
      <c r="AY32" s="418"/>
      <c r="AZ32" s="417"/>
      <c r="BA32" s="418"/>
      <c r="BB32" s="417"/>
      <c r="BC32" s="418"/>
      <c r="BD32" s="417"/>
      <c r="BE32" s="417"/>
      <c r="BF32" s="417"/>
      <c r="BG32" s="417"/>
      <c r="BH32" s="403"/>
      <c r="BI32" s="404"/>
      <c r="BJ32" s="403"/>
      <c r="BK32" s="404"/>
      <c r="BL32" s="403"/>
    </row>
    <row r="33" spans="1:64" ht="16">
      <c r="A33" s="411" t="s">
        <v>198</v>
      </c>
      <c r="B33" s="412" t="s">
        <v>167</v>
      </c>
      <c r="C33" s="413">
        <v>1914</v>
      </c>
      <c r="D33" s="413">
        <v>137</v>
      </c>
      <c r="E33" s="413">
        <v>14190</v>
      </c>
      <c r="F33" s="413">
        <v>1498</v>
      </c>
      <c r="G33" s="413">
        <v>115</v>
      </c>
      <c r="H33" s="413">
        <v>52346</v>
      </c>
      <c r="I33" s="413">
        <v>3</v>
      </c>
      <c r="J33" s="413">
        <v>30</v>
      </c>
      <c r="K33" s="413">
        <v>30</v>
      </c>
      <c r="L33" s="413">
        <v>0</v>
      </c>
      <c r="M33" s="413">
        <v>415</v>
      </c>
      <c r="N33" s="413">
        <f t="shared" si="9"/>
        <v>70678</v>
      </c>
      <c r="O33" s="407"/>
      <c r="P33" s="414">
        <v>0</v>
      </c>
      <c r="Q33" s="415">
        <f t="shared" si="10"/>
        <v>0</v>
      </c>
      <c r="R33" s="414">
        <v>0</v>
      </c>
      <c r="S33" s="415">
        <f t="shared" si="11"/>
        <v>0</v>
      </c>
      <c r="T33" s="407"/>
      <c r="U33" s="414">
        <f t="shared" si="0"/>
        <v>70263</v>
      </c>
      <c r="V33" s="415">
        <f t="shared" si="12"/>
        <v>1.11E-2</v>
      </c>
      <c r="W33" s="414">
        <f t="shared" si="1"/>
        <v>415</v>
      </c>
      <c r="X33" s="415">
        <f t="shared" si="13"/>
        <v>1.11E-2</v>
      </c>
      <c r="Y33" s="717">
        <f t="shared" si="14"/>
        <v>15688</v>
      </c>
      <c r="Z33" s="718">
        <f t="shared" si="15"/>
        <v>9.9000000000000008E-3</v>
      </c>
      <c r="AA33" s="407"/>
      <c r="AB33" s="414">
        <f t="shared" si="23"/>
        <v>0</v>
      </c>
      <c r="AC33" s="415">
        <f t="shared" si="16"/>
        <v>0</v>
      </c>
      <c r="AD33" s="414">
        <f t="shared" si="24"/>
        <v>0</v>
      </c>
      <c r="AE33" s="415">
        <f t="shared" si="17"/>
        <v>0</v>
      </c>
      <c r="AF33" s="407"/>
      <c r="AG33" s="414">
        <f t="shared" si="4"/>
        <v>0</v>
      </c>
      <c r="AH33" s="415">
        <f t="shared" si="18"/>
        <v>0</v>
      </c>
      <c r="AI33" s="414">
        <f t="shared" si="5"/>
        <v>0</v>
      </c>
      <c r="AJ33" s="415">
        <f t="shared" si="19"/>
        <v>0</v>
      </c>
      <c r="AK33" s="414">
        <f t="shared" si="6"/>
        <v>0</v>
      </c>
      <c r="AL33" s="415">
        <f t="shared" si="22"/>
        <v>0</v>
      </c>
      <c r="AM33" s="416"/>
      <c r="AN33" s="414">
        <f t="shared" si="7"/>
        <v>70678</v>
      </c>
      <c r="AO33" s="415">
        <f t="shared" si="20"/>
        <v>4.4999999999999997E-3</v>
      </c>
      <c r="AP33" s="414">
        <f t="shared" si="8"/>
        <v>70263</v>
      </c>
      <c r="AQ33" s="415">
        <f t="shared" si="21"/>
        <v>4.4999999999999997E-3</v>
      </c>
      <c r="AU33" s="417"/>
      <c r="AV33" s="417"/>
      <c r="AW33" s="418"/>
      <c r="AX33" s="417"/>
      <c r="AY33" s="418"/>
      <c r="AZ33" s="417"/>
      <c r="BA33" s="418"/>
      <c r="BB33" s="417"/>
      <c r="BC33" s="418"/>
      <c r="BD33" s="417"/>
      <c r="BE33" s="417"/>
      <c r="BF33" s="417"/>
      <c r="BG33" s="417"/>
      <c r="BH33" s="403"/>
      <c r="BI33" s="404"/>
      <c r="BJ33" s="403"/>
      <c r="BK33" s="404"/>
      <c r="BL33" s="403"/>
    </row>
    <row r="34" spans="1:64" ht="16">
      <c r="A34" s="411" t="s">
        <v>199</v>
      </c>
      <c r="B34" s="412" t="s">
        <v>14</v>
      </c>
      <c r="C34" s="413">
        <v>211</v>
      </c>
      <c r="D34" s="413">
        <v>26</v>
      </c>
      <c r="E34" s="413">
        <v>1940</v>
      </c>
      <c r="F34" s="413">
        <v>155</v>
      </c>
      <c r="G34" s="413">
        <v>0</v>
      </c>
      <c r="H34" s="413">
        <v>5379</v>
      </c>
      <c r="I34" s="413">
        <v>0</v>
      </c>
      <c r="J34" s="413">
        <v>1</v>
      </c>
      <c r="K34" s="413">
        <v>16</v>
      </c>
      <c r="L34" s="413">
        <v>5</v>
      </c>
      <c r="M34" s="413">
        <v>26</v>
      </c>
      <c r="N34" s="413">
        <f t="shared" si="9"/>
        <v>7759</v>
      </c>
      <c r="O34" s="407"/>
      <c r="P34" s="414">
        <v>0</v>
      </c>
      <c r="Q34" s="415">
        <f t="shared" si="10"/>
        <v>0</v>
      </c>
      <c r="R34" s="414">
        <v>0</v>
      </c>
      <c r="S34" s="415">
        <f t="shared" si="11"/>
        <v>0</v>
      </c>
      <c r="T34" s="407"/>
      <c r="U34" s="414">
        <f t="shared" si="0"/>
        <v>0</v>
      </c>
      <c r="V34" s="415">
        <f t="shared" si="12"/>
        <v>0</v>
      </c>
      <c r="W34" s="414">
        <f t="shared" si="1"/>
        <v>0</v>
      </c>
      <c r="X34" s="415">
        <f t="shared" si="13"/>
        <v>0</v>
      </c>
      <c r="Y34" s="717">
        <f t="shared" si="14"/>
        <v>0</v>
      </c>
      <c r="Z34" s="718">
        <f t="shared" si="15"/>
        <v>0</v>
      </c>
      <c r="AA34" s="407"/>
      <c r="AB34" s="414">
        <f t="shared" si="23"/>
        <v>7733</v>
      </c>
      <c r="AC34" s="415">
        <f t="shared" si="16"/>
        <v>1.6000000000000001E-3</v>
      </c>
      <c r="AD34" s="414">
        <f t="shared" si="24"/>
        <v>26</v>
      </c>
      <c r="AE34" s="415">
        <f t="shared" si="17"/>
        <v>5.1000000000000004E-3</v>
      </c>
      <c r="AF34" s="407"/>
      <c r="AG34" s="414">
        <f t="shared" si="4"/>
        <v>7759</v>
      </c>
      <c r="AH34" s="415">
        <f t="shared" si="18"/>
        <v>8.0000000000000004E-4</v>
      </c>
      <c r="AI34" s="414">
        <f t="shared" si="5"/>
        <v>7733</v>
      </c>
      <c r="AJ34" s="415">
        <f t="shared" si="19"/>
        <v>8.0000000000000004E-4</v>
      </c>
      <c r="AK34" s="414">
        <f t="shared" si="6"/>
        <v>2095</v>
      </c>
      <c r="AL34" s="415">
        <f t="shared" si="22"/>
        <v>8.9999999999999998E-4</v>
      </c>
      <c r="AM34" s="416"/>
      <c r="AN34" s="414">
        <f t="shared" si="7"/>
        <v>7759</v>
      </c>
      <c r="AO34" s="415">
        <f t="shared" si="20"/>
        <v>5.0000000000000001E-4</v>
      </c>
      <c r="AP34" s="414">
        <f t="shared" si="8"/>
        <v>7733</v>
      </c>
      <c r="AQ34" s="415">
        <f t="shared" si="21"/>
        <v>5.0000000000000001E-4</v>
      </c>
      <c r="AU34" s="417"/>
      <c r="AV34" s="417"/>
      <c r="AW34" s="418"/>
      <c r="AX34" s="417"/>
      <c r="AY34" s="418"/>
      <c r="AZ34" s="417"/>
      <c r="BA34" s="418"/>
      <c r="BB34" s="417"/>
      <c r="BC34" s="418"/>
      <c r="BD34" s="417"/>
      <c r="BE34" s="417"/>
      <c r="BF34" s="417"/>
      <c r="BG34" s="417"/>
      <c r="BH34" s="403"/>
      <c r="BI34" s="404"/>
      <c r="BJ34" s="403"/>
      <c r="BK34" s="404"/>
      <c r="BL34" s="403"/>
    </row>
    <row r="35" spans="1:64" ht="16">
      <c r="A35" s="411" t="s">
        <v>199</v>
      </c>
      <c r="B35" s="412" t="s">
        <v>13</v>
      </c>
      <c r="C35" s="413">
        <v>45634</v>
      </c>
      <c r="D35" s="413">
        <v>2461</v>
      </c>
      <c r="E35" s="413">
        <v>224035</v>
      </c>
      <c r="F35" s="413">
        <v>37649</v>
      </c>
      <c r="G35" s="413">
        <v>1064</v>
      </c>
      <c r="H35" s="413">
        <v>686146</v>
      </c>
      <c r="I35" s="413">
        <v>26</v>
      </c>
      <c r="J35" s="413">
        <v>558</v>
      </c>
      <c r="K35" s="413">
        <v>1046</v>
      </c>
      <c r="L35" s="413">
        <v>0</v>
      </c>
      <c r="M35" s="413">
        <v>110</v>
      </c>
      <c r="N35" s="413">
        <f t="shared" si="9"/>
        <v>998729</v>
      </c>
      <c r="O35" s="407"/>
      <c r="P35" s="414">
        <v>0</v>
      </c>
      <c r="Q35" s="415">
        <f t="shared" si="10"/>
        <v>0</v>
      </c>
      <c r="R35" s="414">
        <v>0</v>
      </c>
      <c r="S35" s="415">
        <f t="shared" si="11"/>
        <v>0</v>
      </c>
      <c r="T35" s="407"/>
      <c r="U35" s="414">
        <f t="shared" si="0"/>
        <v>0</v>
      </c>
      <c r="V35" s="415">
        <f t="shared" si="12"/>
        <v>0</v>
      </c>
      <c r="W35" s="414">
        <f t="shared" si="1"/>
        <v>0</v>
      </c>
      <c r="X35" s="415">
        <f t="shared" si="13"/>
        <v>0</v>
      </c>
      <c r="Y35" s="717">
        <f t="shared" si="14"/>
        <v>0</v>
      </c>
      <c r="Z35" s="718">
        <f t="shared" si="15"/>
        <v>0</v>
      </c>
      <c r="AA35" s="407"/>
      <c r="AB35" s="414">
        <f t="shared" si="23"/>
        <v>998619</v>
      </c>
      <c r="AC35" s="415">
        <f t="shared" si="16"/>
        <v>0.21110000000000001</v>
      </c>
      <c r="AD35" s="414">
        <f t="shared" si="24"/>
        <v>110</v>
      </c>
      <c r="AE35" s="415">
        <f t="shared" si="17"/>
        <v>2.1700000000000001E-2</v>
      </c>
      <c r="AF35" s="407"/>
      <c r="AG35" s="414">
        <f t="shared" ref="AG35:AG60" si="25">SUMIF($A35,"CA",N35)</f>
        <v>998729</v>
      </c>
      <c r="AH35" s="415">
        <f t="shared" si="18"/>
        <v>0.1077</v>
      </c>
      <c r="AI35" s="414">
        <f t="shared" ref="AI35:AI60" si="26">SUMIF($A35,"CA",C35)+SUMIF($A35,"CA",D35)+SUMIF($A35,"CA",E35)+SUMIF($A35,"CA",F35)+SUMIF($A35,"CA",G35)+SUMIF($A35,"CA",H35)+SUMIF($A35,"CA",I35)+SUMIF($A35,"CA",J35)+SUMIF($A35,"CA",K35)+SUMIF($A35,"CA",L35)</f>
        <v>998619</v>
      </c>
      <c r="AJ35" s="415">
        <f t="shared" si="19"/>
        <v>0.10879999999999999</v>
      </c>
      <c r="AK35" s="414">
        <f t="shared" ref="AK35:AK60" si="27">SUMIF($A35,"CA",E35)+SUMIF($A35,"CA",F35)</f>
        <v>261684</v>
      </c>
      <c r="AL35" s="415">
        <f t="shared" si="22"/>
        <v>0.1082</v>
      </c>
      <c r="AM35" s="416"/>
      <c r="AN35" s="414">
        <f t="shared" ref="AN35:AN60" si="28">N35</f>
        <v>998729</v>
      </c>
      <c r="AO35" s="415">
        <f t="shared" si="20"/>
        <v>6.3799999999999996E-2</v>
      </c>
      <c r="AP35" s="414">
        <f t="shared" ref="AP35:AP60" si="29">SUM(C35:L35)</f>
        <v>998619</v>
      </c>
      <c r="AQ35" s="415">
        <f t="shared" si="21"/>
        <v>6.4299999999999996E-2</v>
      </c>
      <c r="AU35" s="417"/>
      <c r="AV35" s="417"/>
      <c r="AW35" s="418"/>
      <c r="AX35" s="417"/>
      <c r="AY35" s="418"/>
      <c r="AZ35" s="417"/>
      <c r="BA35" s="418"/>
      <c r="BB35" s="417"/>
      <c r="BC35" s="418"/>
      <c r="BD35" s="417"/>
      <c r="BE35" s="417"/>
      <c r="BF35" s="417"/>
      <c r="BG35" s="417"/>
      <c r="BH35" s="403"/>
      <c r="BI35" s="404"/>
      <c r="BJ35" s="403"/>
      <c r="BK35" s="404"/>
      <c r="BL35" s="403"/>
    </row>
    <row r="36" spans="1:64" ht="16">
      <c r="A36" s="411" t="s">
        <v>198</v>
      </c>
      <c r="B36" s="412" t="s">
        <v>166</v>
      </c>
      <c r="C36" s="413">
        <v>44073</v>
      </c>
      <c r="D36" s="413">
        <v>1507</v>
      </c>
      <c r="E36" s="413">
        <v>163052</v>
      </c>
      <c r="F36" s="413">
        <v>35430</v>
      </c>
      <c r="G36" s="413">
        <v>3197</v>
      </c>
      <c r="H36" s="413">
        <v>402606</v>
      </c>
      <c r="I36" s="413">
        <v>139</v>
      </c>
      <c r="J36" s="413">
        <v>970</v>
      </c>
      <c r="K36" s="413">
        <v>733</v>
      </c>
      <c r="L36" s="413">
        <v>0</v>
      </c>
      <c r="M36" s="413">
        <v>4781</v>
      </c>
      <c r="N36" s="413">
        <f t="shared" si="9"/>
        <v>656488</v>
      </c>
      <c r="O36" s="407"/>
      <c r="P36" s="414">
        <v>0</v>
      </c>
      <c r="Q36" s="415">
        <f t="shared" si="10"/>
        <v>0</v>
      </c>
      <c r="R36" s="414">
        <v>0</v>
      </c>
      <c r="S36" s="415">
        <f t="shared" si="11"/>
        <v>0</v>
      </c>
      <c r="T36" s="407"/>
      <c r="U36" s="414">
        <f t="shared" si="0"/>
        <v>651707</v>
      </c>
      <c r="V36" s="415">
        <f t="shared" si="12"/>
        <v>0.1026</v>
      </c>
      <c r="W36" s="414">
        <f t="shared" si="1"/>
        <v>4781</v>
      </c>
      <c r="X36" s="415">
        <f t="shared" si="13"/>
        <v>0.1283</v>
      </c>
      <c r="Y36" s="717">
        <f t="shared" si="14"/>
        <v>198482</v>
      </c>
      <c r="Z36" s="718">
        <f t="shared" si="15"/>
        <v>0.12529999999999999</v>
      </c>
      <c r="AA36" s="407"/>
      <c r="AB36" s="414">
        <f t="shared" si="23"/>
        <v>0</v>
      </c>
      <c r="AC36" s="415">
        <f t="shared" si="16"/>
        <v>0</v>
      </c>
      <c r="AD36" s="414">
        <f t="shared" si="24"/>
        <v>0</v>
      </c>
      <c r="AE36" s="415">
        <f t="shared" si="17"/>
        <v>0</v>
      </c>
      <c r="AF36" s="407"/>
      <c r="AG36" s="414">
        <f t="shared" si="25"/>
        <v>0</v>
      </c>
      <c r="AH36" s="415">
        <f t="shared" si="18"/>
        <v>0</v>
      </c>
      <c r="AI36" s="414">
        <f t="shared" si="26"/>
        <v>0</v>
      </c>
      <c r="AJ36" s="415">
        <f t="shared" si="19"/>
        <v>0</v>
      </c>
      <c r="AK36" s="414">
        <f t="shared" si="27"/>
        <v>0</v>
      </c>
      <c r="AL36" s="415">
        <f t="shared" si="22"/>
        <v>0</v>
      </c>
      <c r="AM36" s="416"/>
      <c r="AN36" s="414">
        <f t="shared" si="28"/>
        <v>656488</v>
      </c>
      <c r="AO36" s="415">
        <f t="shared" si="20"/>
        <v>4.19E-2</v>
      </c>
      <c r="AP36" s="414">
        <f t="shared" si="29"/>
        <v>651707</v>
      </c>
      <c r="AQ36" s="415">
        <f t="shared" si="21"/>
        <v>4.2000000000000003E-2</v>
      </c>
      <c r="AU36" s="417"/>
      <c r="AV36" s="417"/>
      <c r="AW36" s="418"/>
      <c r="AX36" s="417"/>
      <c r="AY36" s="418"/>
      <c r="AZ36" s="417"/>
      <c r="BA36" s="418"/>
      <c r="BB36" s="417"/>
      <c r="BC36" s="418"/>
      <c r="BD36" s="417"/>
      <c r="BE36" s="417"/>
      <c r="BF36" s="417"/>
      <c r="BG36" s="417"/>
      <c r="BH36" s="403"/>
      <c r="BI36" s="404"/>
      <c r="BJ36" s="403"/>
      <c r="BK36" s="404"/>
      <c r="BL36" s="403"/>
    </row>
    <row r="37" spans="1:64" ht="16">
      <c r="A37" s="411" t="s">
        <v>199</v>
      </c>
      <c r="B37" s="412" t="s">
        <v>12</v>
      </c>
      <c r="C37" s="413">
        <v>842</v>
      </c>
      <c r="D37" s="413">
        <v>33</v>
      </c>
      <c r="E37" s="413">
        <v>3994</v>
      </c>
      <c r="F37" s="413">
        <v>663</v>
      </c>
      <c r="G37" s="413">
        <v>22</v>
      </c>
      <c r="H37" s="413">
        <v>16313</v>
      </c>
      <c r="I37" s="413">
        <v>0</v>
      </c>
      <c r="J37" s="413">
        <v>13</v>
      </c>
      <c r="K37" s="413">
        <v>7</v>
      </c>
      <c r="L37" s="413">
        <v>12</v>
      </c>
      <c r="M37" s="413">
        <v>85</v>
      </c>
      <c r="N37" s="413">
        <f t="shared" si="9"/>
        <v>21984</v>
      </c>
      <c r="O37" s="407"/>
      <c r="P37" s="414">
        <v>0</v>
      </c>
      <c r="Q37" s="415">
        <f t="shared" si="10"/>
        <v>0</v>
      </c>
      <c r="R37" s="414">
        <v>0</v>
      </c>
      <c r="S37" s="415">
        <f t="shared" si="11"/>
        <v>0</v>
      </c>
      <c r="T37" s="407"/>
      <c r="U37" s="414">
        <f t="shared" si="0"/>
        <v>0</v>
      </c>
      <c r="V37" s="415">
        <f t="shared" si="12"/>
        <v>0</v>
      </c>
      <c r="W37" s="414">
        <f t="shared" si="1"/>
        <v>0</v>
      </c>
      <c r="X37" s="415">
        <f t="shared" si="13"/>
        <v>0</v>
      </c>
      <c r="Y37" s="717">
        <f t="shared" si="14"/>
        <v>0</v>
      </c>
      <c r="Z37" s="718">
        <f t="shared" si="15"/>
        <v>0</v>
      </c>
      <c r="AA37" s="407"/>
      <c r="AB37" s="414">
        <f t="shared" si="23"/>
        <v>21899</v>
      </c>
      <c r="AC37" s="415">
        <f t="shared" si="16"/>
        <v>4.5999999999999999E-3</v>
      </c>
      <c r="AD37" s="414">
        <f t="shared" si="24"/>
        <v>85</v>
      </c>
      <c r="AE37" s="415">
        <f t="shared" si="17"/>
        <v>1.6799999999999999E-2</v>
      </c>
      <c r="AF37" s="407"/>
      <c r="AG37" s="414">
        <f t="shared" si="25"/>
        <v>21984</v>
      </c>
      <c r="AH37" s="415">
        <f t="shared" si="18"/>
        <v>2.3999999999999998E-3</v>
      </c>
      <c r="AI37" s="414">
        <f t="shared" si="26"/>
        <v>21899</v>
      </c>
      <c r="AJ37" s="415">
        <f t="shared" si="19"/>
        <v>2.3999999999999998E-3</v>
      </c>
      <c r="AK37" s="414">
        <f t="shared" si="27"/>
        <v>4657</v>
      </c>
      <c r="AL37" s="415">
        <f t="shared" si="22"/>
        <v>1.9E-3</v>
      </c>
      <c r="AM37" s="416"/>
      <c r="AN37" s="414">
        <f t="shared" si="28"/>
        <v>21984</v>
      </c>
      <c r="AO37" s="415">
        <f t="shared" si="20"/>
        <v>1.4E-3</v>
      </c>
      <c r="AP37" s="414">
        <f t="shared" si="29"/>
        <v>21899</v>
      </c>
      <c r="AQ37" s="415">
        <f t="shared" si="21"/>
        <v>1.4E-3</v>
      </c>
      <c r="AU37" s="417"/>
      <c r="AV37" s="417"/>
      <c r="AW37" s="418"/>
      <c r="AX37" s="417"/>
      <c r="AY37" s="418"/>
      <c r="AZ37" s="417"/>
      <c r="BA37" s="418"/>
      <c r="BB37" s="417"/>
      <c r="BC37" s="418"/>
      <c r="BD37" s="417"/>
      <c r="BE37" s="417"/>
      <c r="BF37" s="417"/>
      <c r="BG37" s="417"/>
      <c r="BH37" s="403"/>
      <c r="BI37" s="404"/>
      <c r="BJ37" s="403"/>
      <c r="BK37" s="404"/>
      <c r="BL37" s="403"/>
    </row>
    <row r="38" spans="1:64" ht="16">
      <c r="A38" s="411" t="s">
        <v>199</v>
      </c>
      <c r="B38" s="412" t="s">
        <v>143</v>
      </c>
      <c r="C38" s="413">
        <v>66097</v>
      </c>
      <c r="D38" s="413">
        <v>4354</v>
      </c>
      <c r="E38" s="413">
        <v>292136</v>
      </c>
      <c r="F38" s="413">
        <v>56679</v>
      </c>
      <c r="G38" s="413">
        <v>1533</v>
      </c>
      <c r="H38" s="413">
        <v>677298</v>
      </c>
      <c r="I38" s="413">
        <v>9</v>
      </c>
      <c r="J38" s="413">
        <v>220</v>
      </c>
      <c r="K38" s="413">
        <v>1546</v>
      </c>
      <c r="L38" s="413">
        <v>0</v>
      </c>
      <c r="M38" s="413">
        <v>298</v>
      </c>
      <c r="N38" s="413">
        <f t="shared" si="9"/>
        <v>1100170</v>
      </c>
      <c r="O38" s="407"/>
      <c r="P38" s="414">
        <v>0</v>
      </c>
      <c r="Q38" s="415">
        <f t="shared" si="10"/>
        <v>0</v>
      </c>
      <c r="R38" s="414">
        <v>0</v>
      </c>
      <c r="S38" s="415">
        <f>ROUND(R38/R$61,4)</f>
        <v>0</v>
      </c>
      <c r="T38" s="407"/>
      <c r="U38" s="414">
        <f t="shared" si="0"/>
        <v>0</v>
      </c>
      <c r="V38" s="415">
        <f t="shared" si="12"/>
        <v>0</v>
      </c>
      <c r="W38" s="414">
        <f t="shared" si="1"/>
        <v>0</v>
      </c>
      <c r="X38" s="415">
        <f>ROUND(W38/W$61,4)</f>
        <v>0</v>
      </c>
      <c r="Y38" s="717">
        <f t="shared" si="14"/>
        <v>0</v>
      </c>
      <c r="Z38" s="718">
        <f t="shared" si="15"/>
        <v>0</v>
      </c>
      <c r="AA38" s="407"/>
      <c r="AB38" s="414">
        <f t="shared" si="23"/>
        <v>1099872</v>
      </c>
      <c r="AC38" s="415">
        <f t="shared" si="16"/>
        <v>0.23250000000000001</v>
      </c>
      <c r="AD38" s="821">
        <v>0</v>
      </c>
      <c r="AE38" s="820">
        <v>0</v>
      </c>
      <c r="AF38" s="407"/>
      <c r="AG38" s="414">
        <f t="shared" si="25"/>
        <v>1100170</v>
      </c>
      <c r="AH38" s="415">
        <f t="shared" si="18"/>
        <v>0.1187</v>
      </c>
      <c r="AI38" s="414">
        <f t="shared" si="26"/>
        <v>1099872</v>
      </c>
      <c r="AJ38" s="415">
        <f t="shared" si="19"/>
        <v>0.11990000000000001</v>
      </c>
      <c r="AK38" s="414">
        <f t="shared" si="27"/>
        <v>348815</v>
      </c>
      <c r="AL38" s="415">
        <f t="shared" si="22"/>
        <v>0.14419999999999999</v>
      </c>
      <c r="AM38" s="416"/>
      <c r="AN38" s="414">
        <f t="shared" si="28"/>
        <v>1100170</v>
      </c>
      <c r="AO38" s="415">
        <f t="shared" si="20"/>
        <v>7.0300000000000001E-2</v>
      </c>
      <c r="AP38" s="414">
        <f t="shared" si="29"/>
        <v>1099872</v>
      </c>
      <c r="AQ38" s="415">
        <f t="shared" si="21"/>
        <v>7.0800000000000002E-2</v>
      </c>
      <c r="AU38" s="417"/>
      <c r="AV38" s="417"/>
      <c r="AW38" s="418"/>
      <c r="AX38" s="417"/>
      <c r="AY38" s="418"/>
      <c r="AZ38" s="417"/>
      <c r="BA38" s="418"/>
      <c r="BB38" s="417"/>
      <c r="BC38" s="418"/>
      <c r="BD38" s="417"/>
      <c r="BE38" s="417"/>
      <c r="BF38" s="417"/>
      <c r="BG38" s="417"/>
      <c r="BH38" s="403"/>
      <c r="BI38" s="404"/>
      <c r="BJ38" s="403"/>
      <c r="BK38" s="404"/>
      <c r="BL38" s="403"/>
    </row>
    <row r="39" spans="1:64" ht="16">
      <c r="A39" s="411" t="s">
        <v>198</v>
      </c>
      <c r="B39" s="412" t="s">
        <v>165</v>
      </c>
      <c r="C39" s="413">
        <v>37326</v>
      </c>
      <c r="D39" s="413">
        <v>1507</v>
      </c>
      <c r="E39" s="413">
        <v>230914</v>
      </c>
      <c r="F39" s="413">
        <v>30226</v>
      </c>
      <c r="G39" s="413">
        <v>3081</v>
      </c>
      <c r="H39" s="413">
        <v>737235</v>
      </c>
      <c r="I39" s="413">
        <v>3</v>
      </c>
      <c r="J39" s="413">
        <v>433</v>
      </c>
      <c r="K39" s="413">
        <v>687</v>
      </c>
      <c r="L39" s="413">
        <v>0</v>
      </c>
      <c r="M39" s="413">
        <v>3137</v>
      </c>
      <c r="N39" s="413">
        <f t="shared" si="9"/>
        <v>1044549</v>
      </c>
      <c r="O39" s="407"/>
      <c r="P39" s="414">
        <v>0</v>
      </c>
      <c r="Q39" s="415">
        <f t="shared" si="10"/>
        <v>0</v>
      </c>
      <c r="R39" s="414">
        <v>0</v>
      </c>
      <c r="S39" s="415">
        <f t="shared" si="11"/>
        <v>0</v>
      </c>
      <c r="T39" s="407"/>
      <c r="U39" s="414">
        <f t="shared" si="0"/>
        <v>1041412</v>
      </c>
      <c r="V39" s="415">
        <f t="shared" si="12"/>
        <v>0.16389999999999999</v>
      </c>
      <c r="W39" s="414">
        <f t="shared" si="1"/>
        <v>3137</v>
      </c>
      <c r="X39" s="420">
        <f>ROUNDUP(W39/W$61,4)</f>
        <v>8.43E-2</v>
      </c>
      <c r="Y39" s="717">
        <f t="shared" si="14"/>
        <v>261140</v>
      </c>
      <c r="Z39" s="718">
        <f t="shared" si="15"/>
        <v>0.16489999999999999</v>
      </c>
      <c r="AA39" s="407"/>
      <c r="AB39" s="414">
        <f t="shared" si="23"/>
        <v>0</v>
      </c>
      <c r="AC39" s="415">
        <f t="shared" si="16"/>
        <v>0</v>
      </c>
      <c r="AD39" s="414">
        <f t="shared" si="24"/>
        <v>0</v>
      </c>
      <c r="AE39" s="415">
        <f t="shared" si="17"/>
        <v>0</v>
      </c>
      <c r="AF39" s="407"/>
      <c r="AG39" s="414">
        <f t="shared" si="25"/>
        <v>0</v>
      </c>
      <c r="AH39" s="415">
        <f t="shared" si="18"/>
        <v>0</v>
      </c>
      <c r="AI39" s="414">
        <f t="shared" si="26"/>
        <v>0</v>
      </c>
      <c r="AJ39" s="415">
        <f t="shared" si="19"/>
        <v>0</v>
      </c>
      <c r="AK39" s="414">
        <f t="shared" si="27"/>
        <v>0</v>
      </c>
      <c r="AL39" s="415">
        <f t="shared" si="22"/>
        <v>0</v>
      </c>
      <c r="AM39" s="416"/>
      <c r="AN39" s="414">
        <f t="shared" si="28"/>
        <v>1044549</v>
      </c>
      <c r="AO39" s="415">
        <f t="shared" si="20"/>
        <v>6.6699999999999995E-2</v>
      </c>
      <c r="AP39" s="414">
        <f t="shared" si="29"/>
        <v>1041412</v>
      </c>
      <c r="AQ39" s="415">
        <f t="shared" si="21"/>
        <v>6.7100000000000007E-2</v>
      </c>
      <c r="AU39" s="417"/>
      <c r="AV39" s="417"/>
      <c r="AW39" s="418"/>
      <c r="AX39" s="417"/>
      <c r="AY39" s="418"/>
      <c r="AZ39" s="417"/>
      <c r="BA39" s="418"/>
      <c r="BB39" s="417"/>
      <c r="BC39" s="418"/>
      <c r="BD39" s="417"/>
      <c r="BE39" s="417"/>
      <c r="BF39" s="417"/>
      <c r="BG39" s="417"/>
      <c r="BH39" s="403"/>
      <c r="BI39" s="404"/>
      <c r="BJ39" s="403"/>
      <c r="BK39" s="404"/>
      <c r="BL39" s="403"/>
    </row>
    <row r="40" spans="1:64" ht="16">
      <c r="A40" s="411" t="s">
        <v>198</v>
      </c>
      <c r="B40" s="412" t="s">
        <v>164</v>
      </c>
      <c r="C40" s="413">
        <v>4567</v>
      </c>
      <c r="D40" s="413">
        <v>500</v>
      </c>
      <c r="E40" s="413">
        <v>43663</v>
      </c>
      <c r="F40" s="413">
        <v>4128</v>
      </c>
      <c r="G40" s="413">
        <v>2035</v>
      </c>
      <c r="H40" s="413">
        <v>163684</v>
      </c>
      <c r="I40" s="413">
        <v>16</v>
      </c>
      <c r="J40" s="413">
        <v>570</v>
      </c>
      <c r="K40" s="413">
        <v>414</v>
      </c>
      <c r="L40" s="413">
        <v>0</v>
      </c>
      <c r="M40" s="413">
        <v>4805</v>
      </c>
      <c r="N40" s="413">
        <f t="shared" si="9"/>
        <v>224382</v>
      </c>
      <c r="O40" s="407"/>
      <c r="P40" s="414">
        <v>0</v>
      </c>
      <c r="Q40" s="415">
        <f t="shared" si="10"/>
        <v>0</v>
      </c>
      <c r="R40" s="414">
        <v>0</v>
      </c>
      <c r="S40" s="415">
        <f t="shared" si="11"/>
        <v>0</v>
      </c>
      <c r="T40" s="407"/>
      <c r="U40" s="414">
        <f t="shared" si="0"/>
        <v>219577</v>
      </c>
      <c r="V40" s="415">
        <f>ROUND(U40/U$61,4)</f>
        <v>3.4599999999999999E-2</v>
      </c>
      <c r="W40" s="414">
        <f t="shared" si="1"/>
        <v>4805</v>
      </c>
      <c r="X40" s="415">
        <f t="shared" si="13"/>
        <v>0.129</v>
      </c>
      <c r="Y40" s="717">
        <f t="shared" si="14"/>
        <v>47791</v>
      </c>
      <c r="Z40" s="718">
        <f t="shared" si="15"/>
        <v>3.0200000000000001E-2</v>
      </c>
      <c r="AA40" s="407"/>
      <c r="AB40" s="414">
        <f t="shared" si="23"/>
        <v>0</v>
      </c>
      <c r="AC40" s="415">
        <f t="shared" si="16"/>
        <v>0</v>
      </c>
      <c r="AD40" s="414">
        <f t="shared" si="24"/>
        <v>0</v>
      </c>
      <c r="AE40" s="415">
        <f t="shared" si="17"/>
        <v>0</v>
      </c>
      <c r="AF40" s="407"/>
      <c r="AG40" s="414">
        <f t="shared" si="25"/>
        <v>0</v>
      </c>
      <c r="AH40" s="415">
        <f t="shared" si="18"/>
        <v>0</v>
      </c>
      <c r="AI40" s="414">
        <f t="shared" si="26"/>
        <v>0</v>
      </c>
      <c r="AJ40" s="415">
        <f t="shared" si="19"/>
        <v>0</v>
      </c>
      <c r="AK40" s="414">
        <f t="shared" si="27"/>
        <v>0</v>
      </c>
      <c r="AL40" s="415">
        <f t="shared" si="22"/>
        <v>0</v>
      </c>
      <c r="AM40" s="416"/>
      <c r="AN40" s="414">
        <f t="shared" si="28"/>
        <v>224382</v>
      </c>
      <c r="AO40" s="415">
        <f t="shared" si="20"/>
        <v>1.43E-2</v>
      </c>
      <c r="AP40" s="414">
        <f t="shared" si="29"/>
        <v>219577</v>
      </c>
      <c r="AQ40" s="415">
        <f t="shared" si="21"/>
        <v>1.41E-2</v>
      </c>
      <c r="AU40" s="417"/>
      <c r="AV40" s="417"/>
      <c r="AW40" s="418"/>
      <c r="AX40" s="417"/>
      <c r="AY40" s="418"/>
      <c r="AZ40" s="417"/>
      <c r="BA40" s="418"/>
      <c r="BB40" s="417"/>
      <c r="BC40" s="418"/>
      <c r="BD40" s="417"/>
      <c r="BE40" s="417"/>
      <c r="BF40" s="417"/>
      <c r="BG40" s="417"/>
      <c r="BH40" s="403"/>
      <c r="BI40" s="404"/>
      <c r="BJ40" s="403"/>
      <c r="BK40" s="404"/>
      <c r="BL40" s="403"/>
    </row>
    <row r="41" spans="1:64" ht="16">
      <c r="A41" s="411" t="s">
        <v>199</v>
      </c>
      <c r="B41" s="412" t="s">
        <v>10</v>
      </c>
      <c r="C41" s="413">
        <v>17899</v>
      </c>
      <c r="D41" s="413">
        <v>950</v>
      </c>
      <c r="E41" s="413">
        <v>87232</v>
      </c>
      <c r="F41" s="413">
        <v>15096</v>
      </c>
      <c r="G41" s="413">
        <v>746</v>
      </c>
      <c r="H41" s="413">
        <v>234948</v>
      </c>
      <c r="I41" s="413">
        <v>31</v>
      </c>
      <c r="J41" s="413">
        <v>85</v>
      </c>
      <c r="K41" s="413">
        <v>245</v>
      </c>
      <c r="L41" s="413">
        <v>0</v>
      </c>
      <c r="M41" s="413">
        <v>874</v>
      </c>
      <c r="N41" s="413">
        <f t="shared" si="9"/>
        <v>358106</v>
      </c>
      <c r="O41" s="407"/>
      <c r="P41" s="414">
        <v>0</v>
      </c>
      <c r="Q41" s="415">
        <f t="shared" si="10"/>
        <v>0</v>
      </c>
      <c r="R41" s="414">
        <v>0</v>
      </c>
      <c r="S41" s="415">
        <f t="shared" si="11"/>
        <v>0</v>
      </c>
      <c r="T41" s="407"/>
      <c r="U41" s="414">
        <f t="shared" si="0"/>
        <v>0</v>
      </c>
      <c r="V41" s="415">
        <f t="shared" si="12"/>
        <v>0</v>
      </c>
      <c r="W41" s="414">
        <f t="shared" si="1"/>
        <v>0</v>
      </c>
      <c r="X41" s="415">
        <f t="shared" si="13"/>
        <v>0</v>
      </c>
      <c r="Y41" s="717">
        <f t="shared" si="14"/>
        <v>0</v>
      </c>
      <c r="Z41" s="718">
        <f t="shared" si="15"/>
        <v>0</v>
      </c>
      <c r="AA41" s="407"/>
      <c r="AB41" s="414">
        <f t="shared" si="23"/>
        <v>357232</v>
      </c>
      <c r="AC41" s="415">
        <f t="shared" si="16"/>
        <v>7.5499999999999998E-2</v>
      </c>
      <c r="AD41" s="414">
        <f t="shared" si="24"/>
        <v>874</v>
      </c>
      <c r="AE41" s="415">
        <f t="shared" si="17"/>
        <v>0.17249999999999999</v>
      </c>
      <c r="AF41" s="407"/>
      <c r="AG41" s="414">
        <f t="shared" si="25"/>
        <v>358106</v>
      </c>
      <c r="AH41" s="420">
        <f>ROUNDUP(AG41/AG$61,4)</f>
        <v>3.8700000000000005E-2</v>
      </c>
      <c r="AI41" s="414">
        <f t="shared" si="26"/>
        <v>357232</v>
      </c>
      <c r="AJ41" s="415">
        <f t="shared" si="19"/>
        <v>3.8899999999999997E-2</v>
      </c>
      <c r="AK41" s="414">
        <f t="shared" si="27"/>
        <v>102328</v>
      </c>
      <c r="AL41" s="415">
        <f t="shared" si="22"/>
        <v>4.2299999999999997E-2</v>
      </c>
      <c r="AM41" s="416"/>
      <c r="AN41" s="414">
        <f t="shared" si="28"/>
        <v>358106</v>
      </c>
      <c r="AO41" s="415">
        <f>ROUND(AN41/AN$61,4)</f>
        <v>2.29E-2</v>
      </c>
      <c r="AP41" s="414">
        <f t="shared" si="29"/>
        <v>357232</v>
      </c>
      <c r="AQ41" s="415">
        <f t="shared" si="21"/>
        <v>2.3E-2</v>
      </c>
      <c r="AU41" s="417"/>
      <c r="AV41" s="417"/>
      <c r="AW41" s="418"/>
      <c r="AX41" s="417"/>
      <c r="AY41" s="418"/>
      <c r="AZ41" s="417"/>
      <c r="BA41" s="418"/>
      <c r="BB41" s="417"/>
      <c r="BC41" s="418"/>
      <c r="BD41" s="417"/>
      <c r="BE41" s="417"/>
      <c r="BF41" s="417"/>
      <c r="BG41" s="417"/>
      <c r="BH41" s="403"/>
      <c r="BI41" s="404"/>
      <c r="BJ41" s="403"/>
      <c r="BK41" s="404"/>
      <c r="BL41" s="403"/>
    </row>
    <row r="42" spans="1:64" ht="16">
      <c r="A42" s="411" t="s">
        <v>198</v>
      </c>
      <c r="B42" s="412" t="s">
        <v>163</v>
      </c>
      <c r="C42" s="413">
        <v>2308</v>
      </c>
      <c r="D42" s="413">
        <v>259</v>
      </c>
      <c r="E42" s="413">
        <v>14412</v>
      </c>
      <c r="F42" s="413">
        <v>1936</v>
      </c>
      <c r="G42" s="413">
        <v>49</v>
      </c>
      <c r="H42" s="413">
        <v>51023</v>
      </c>
      <c r="I42" s="413">
        <v>0</v>
      </c>
      <c r="J42" s="413">
        <v>8</v>
      </c>
      <c r="K42" s="413">
        <v>68</v>
      </c>
      <c r="L42" s="413">
        <v>0</v>
      </c>
      <c r="M42" s="413">
        <v>241</v>
      </c>
      <c r="N42" s="413">
        <f t="shared" si="9"/>
        <v>70304</v>
      </c>
      <c r="O42" s="407"/>
      <c r="P42" s="414">
        <v>0</v>
      </c>
      <c r="Q42" s="415">
        <f t="shared" si="10"/>
        <v>0</v>
      </c>
      <c r="R42" s="414">
        <v>0</v>
      </c>
      <c r="S42" s="415">
        <f t="shared" si="11"/>
        <v>0</v>
      </c>
      <c r="T42" s="407"/>
      <c r="U42" s="414">
        <f t="shared" si="0"/>
        <v>70063</v>
      </c>
      <c r="V42" s="415">
        <f t="shared" si="12"/>
        <v>1.0999999999999999E-2</v>
      </c>
      <c r="W42" s="414">
        <f t="shared" si="1"/>
        <v>241</v>
      </c>
      <c r="X42" s="415">
        <f t="shared" si="13"/>
        <v>6.4999999999999997E-3</v>
      </c>
      <c r="Y42" s="717">
        <f t="shared" si="14"/>
        <v>16348</v>
      </c>
      <c r="Z42" s="718">
        <f t="shared" si="15"/>
        <v>1.03E-2</v>
      </c>
      <c r="AA42" s="407"/>
      <c r="AB42" s="414">
        <f t="shared" si="23"/>
        <v>0</v>
      </c>
      <c r="AC42" s="415">
        <f t="shared" si="16"/>
        <v>0</v>
      </c>
      <c r="AD42" s="414">
        <f t="shared" si="24"/>
        <v>0</v>
      </c>
      <c r="AE42" s="415">
        <f t="shared" si="17"/>
        <v>0</v>
      </c>
      <c r="AF42" s="407"/>
      <c r="AG42" s="414">
        <f t="shared" si="25"/>
        <v>0</v>
      </c>
      <c r="AH42" s="415">
        <f t="shared" si="18"/>
        <v>0</v>
      </c>
      <c r="AI42" s="414">
        <f t="shared" si="26"/>
        <v>0</v>
      </c>
      <c r="AJ42" s="415">
        <f t="shared" si="19"/>
        <v>0</v>
      </c>
      <c r="AK42" s="414">
        <f t="shared" si="27"/>
        <v>0</v>
      </c>
      <c r="AL42" s="415">
        <f t="shared" si="22"/>
        <v>0</v>
      </c>
      <c r="AM42" s="416"/>
      <c r="AN42" s="414">
        <f t="shared" si="28"/>
        <v>70304</v>
      </c>
      <c r="AO42" s="415">
        <f t="shared" si="20"/>
        <v>4.4999999999999997E-3</v>
      </c>
      <c r="AP42" s="414">
        <f t="shared" si="29"/>
        <v>70063</v>
      </c>
      <c r="AQ42" s="415">
        <f t="shared" si="21"/>
        <v>4.4999999999999997E-3</v>
      </c>
      <c r="AU42" s="417"/>
      <c r="AV42" s="417"/>
      <c r="AW42" s="418"/>
      <c r="AX42" s="417"/>
      <c r="AY42" s="418"/>
      <c r="AZ42" s="417"/>
      <c r="BA42" s="418"/>
      <c r="BB42" s="417"/>
      <c r="BC42" s="418"/>
      <c r="BD42" s="417"/>
      <c r="BE42" s="417"/>
      <c r="BF42" s="417"/>
      <c r="BG42" s="417"/>
      <c r="BH42" s="403"/>
      <c r="BI42" s="404"/>
      <c r="BJ42" s="403"/>
      <c r="BK42" s="404"/>
      <c r="BL42" s="403"/>
    </row>
    <row r="43" spans="1:64" ht="16">
      <c r="A43" s="411" t="s">
        <v>198</v>
      </c>
      <c r="B43" s="412" t="s">
        <v>162</v>
      </c>
      <c r="C43" s="413">
        <v>1791</v>
      </c>
      <c r="D43" s="413">
        <v>152</v>
      </c>
      <c r="E43" s="413">
        <v>22612</v>
      </c>
      <c r="F43" s="413">
        <v>1469</v>
      </c>
      <c r="G43" s="413">
        <v>646</v>
      </c>
      <c r="H43" s="413">
        <v>133185</v>
      </c>
      <c r="I43" s="413">
        <v>4</v>
      </c>
      <c r="J43" s="413">
        <v>421</v>
      </c>
      <c r="K43" s="413">
        <v>110</v>
      </c>
      <c r="L43" s="413">
        <v>0</v>
      </c>
      <c r="M43" s="413">
        <v>369</v>
      </c>
      <c r="N43" s="413">
        <f t="shared" si="9"/>
        <v>160759</v>
      </c>
      <c r="O43" s="407"/>
      <c r="P43" s="414">
        <v>0</v>
      </c>
      <c r="Q43" s="415">
        <f t="shared" si="10"/>
        <v>0</v>
      </c>
      <c r="R43" s="414">
        <v>0</v>
      </c>
      <c r="S43" s="415">
        <f t="shared" si="11"/>
        <v>0</v>
      </c>
      <c r="T43" s="407"/>
      <c r="U43" s="414">
        <f t="shared" si="0"/>
        <v>160390</v>
      </c>
      <c r="V43" s="415">
        <f t="shared" si="12"/>
        <v>2.52E-2</v>
      </c>
      <c r="W43" s="414">
        <f t="shared" si="1"/>
        <v>369</v>
      </c>
      <c r="X43" s="415">
        <f t="shared" si="13"/>
        <v>9.9000000000000008E-3</v>
      </c>
      <c r="Y43" s="717">
        <f t="shared" si="14"/>
        <v>24081</v>
      </c>
      <c r="Z43" s="718">
        <f t="shared" si="15"/>
        <v>1.52E-2</v>
      </c>
      <c r="AA43" s="407"/>
      <c r="AB43" s="414">
        <f t="shared" si="23"/>
        <v>0</v>
      </c>
      <c r="AC43" s="415">
        <f t="shared" si="16"/>
        <v>0</v>
      </c>
      <c r="AD43" s="414">
        <f t="shared" si="24"/>
        <v>0</v>
      </c>
      <c r="AE43" s="415">
        <f t="shared" si="17"/>
        <v>0</v>
      </c>
      <c r="AF43" s="407"/>
      <c r="AG43" s="414">
        <f t="shared" si="25"/>
        <v>0</v>
      </c>
      <c r="AH43" s="415">
        <f t="shared" si="18"/>
        <v>0</v>
      </c>
      <c r="AI43" s="414">
        <f t="shared" si="26"/>
        <v>0</v>
      </c>
      <c r="AJ43" s="415">
        <f t="shared" si="19"/>
        <v>0</v>
      </c>
      <c r="AK43" s="414">
        <f t="shared" si="27"/>
        <v>0</v>
      </c>
      <c r="AL43" s="415">
        <f t="shared" si="22"/>
        <v>0</v>
      </c>
      <c r="AM43" s="416"/>
      <c r="AN43" s="414">
        <f t="shared" si="28"/>
        <v>160759</v>
      </c>
      <c r="AO43" s="415">
        <f t="shared" si="20"/>
        <v>1.03E-2</v>
      </c>
      <c r="AP43" s="414">
        <f t="shared" si="29"/>
        <v>160390</v>
      </c>
      <c r="AQ43" s="415">
        <f t="shared" si="21"/>
        <v>1.03E-2</v>
      </c>
      <c r="AU43" s="417"/>
      <c r="AV43" s="417"/>
      <c r="AW43" s="418"/>
      <c r="AX43" s="417"/>
      <c r="AY43" s="418"/>
      <c r="AZ43" s="417"/>
      <c r="BA43" s="418"/>
      <c r="BB43" s="417"/>
      <c r="BC43" s="418"/>
      <c r="BD43" s="417"/>
      <c r="BE43" s="417"/>
      <c r="BF43" s="417"/>
      <c r="BG43" s="417"/>
      <c r="BH43" s="403"/>
      <c r="BI43" s="404"/>
      <c r="BJ43" s="403"/>
      <c r="BK43" s="404"/>
      <c r="BL43" s="403"/>
    </row>
    <row r="44" spans="1:64" ht="16">
      <c r="A44" s="411" t="s">
        <v>198</v>
      </c>
      <c r="B44" s="412" t="s">
        <v>161</v>
      </c>
      <c r="C44" s="413">
        <v>6468</v>
      </c>
      <c r="D44" s="413">
        <v>243</v>
      </c>
      <c r="E44" s="413">
        <v>32763</v>
      </c>
      <c r="F44" s="413">
        <v>5251</v>
      </c>
      <c r="G44" s="413">
        <v>235</v>
      </c>
      <c r="H44" s="413">
        <v>129335</v>
      </c>
      <c r="I44" s="413">
        <v>1</v>
      </c>
      <c r="J44" s="413">
        <v>20</v>
      </c>
      <c r="K44" s="413">
        <v>103</v>
      </c>
      <c r="L44" s="413">
        <v>0</v>
      </c>
      <c r="M44" s="413">
        <v>490</v>
      </c>
      <c r="N44" s="413">
        <f t="shared" si="9"/>
        <v>174909</v>
      </c>
      <c r="O44" s="407"/>
      <c r="P44" s="414">
        <v>0</v>
      </c>
      <c r="Q44" s="415">
        <f t="shared" si="10"/>
        <v>0</v>
      </c>
      <c r="R44" s="414">
        <v>0</v>
      </c>
      <c r="S44" s="415">
        <f t="shared" si="11"/>
        <v>0</v>
      </c>
      <c r="T44" s="407"/>
      <c r="U44" s="414">
        <f t="shared" si="0"/>
        <v>174419</v>
      </c>
      <c r="V44" s="415">
        <f t="shared" si="12"/>
        <v>2.75E-2</v>
      </c>
      <c r="W44" s="414">
        <f t="shared" si="1"/>
        <v>490</v>
      </c>
      <c r="X44" s="415">
        <f t="shared" si="13"/>
        <v>1.32E-2</v>
      </c>
      <c r="Y44" s="717">
        <f t="shared" si="14"/>
        <v>38014</v>
      </c>
      <c r="Z44" s="718">
        <f t="shared" si="15"/>
        <v>2.4E-2</v>
      </c>
      <c r="AA44" s="407"/>
      <c r="AB44" s="414">
        <f t="shared" si="23"/>
        <v>0</v>
      </c>
      <c r="AC44" s="415">
        <f t="shared" si="16"/>
        <v>0</v>
      </c>
      <c r="AD44" s="414">
        <f t="shared" si="24"/>
        <v>0</v>
      </c>
      <c r="AE44" s="415">
        <f t="shared" si="17"/>
        <v>0</v>
      </c>
      <c r="AF44" s="407"/>
      <c r="AG44" s="414">
        <f t="shared" si="25"/>
        <v>0</v>
      </c>
      <c r="AH44" s="415">
        <f t="shared" si="18"/>
        <v>0</v>
      </c>
      <c r="AI44" s="414">
        <f t="shared" si="26"/>
        <v>0</v>
      </c>
      <c r="AJ44" s="415">
        <f t="shared" si="19"/>
        <v>0</v>
      </c>
      <c r="AK44" s="414">
        <f t="shared" si="27"/>
        <v>0</v>
      </c>
      <c r="AL44" s="415">
        <f t="shared" si="22"/>
        <v>0</v>
      </c>
      <c r="AM44" s="416"/>
      <c r="AN44" s="414">
        <f t="shared" si="28"/>
        <v>174909</v>
      </c>
      <c r="AO44" s="415">
        <f t="shared" si="20"/>
        <v>1.12E-2</v>
      </c>
      <c r="AP44" s="414">
        <f t="shared" si="29"/>
        <v>174419</v>
      </c>
      <c r="AQ44" s="420">
        <f>ROUNDUP(AP44/AP$61,4)</f>
        <v>1.1299999999999999E-2</v>
      </c>
      <c r="AU44" s="417"/>
      <c r="AV44" s="417"/>
      <c r="AW44" s="418"/>
      <c r="AX44" s="417"/>
      <c r="AY44" s="418"/>
      <c r="AZ44" s="417"/>
      <c r="BA44" s="418"/>
      <c r="BB44" s="417"/>
      <c r="BC44" s="418"/>
      <c r="BD44" s="417"/>
      <c r="BE44" s="417"/>
      <c r="BF44" s="417"/>
      <c r="BG44" s="417"/>
      <c r="BH44" s="403"/>
      <c r="BI44" s="404"/>
      <c r="BJ44" s="403"/>
      <c r="BK44" s="404"/>
      <c r="BL44" s="403"/>
    </row>
    <row r="45" spans="1:64" ht="16">
      <c r="A45" s="411" t="s">
        <v>198</v>
      </c>
      <c r="B45" s="412" t="s">
        <v>160</v>
      </c>
      <c r="C45" s="413">
        <v>10700</v>
      </c>
      <c r="D45" s="413">
        <v>773</v>
      </c>
      <c r="E45" s="413">
        <v>76493</v>
      </c>
      <c r="F45" s="413">
        <v>8370</v>
      </c>
      <c r="G45" s="413">
        <v>1706</v>
      </c>
      <c r="H45" s="413">
        <v>354837</v>
      </c>
      <c r="I45" s="413">
        <v>39</v>
      </c>
      <c r="J45" s="413">
        <v>964</v>
      </c>
      <c r="K45" s="413">
        <v>357</v>
      </c>
      <c r="L45" s="413">
        <v>0</v>
      </c>
      <c r="M45" s="413">
        <v>3698</v>
      </c>
      <c r="N45" s="413">
        <f t="shared" si="9"/>
        <v>457937</v>
      </c>
      <c r="O45" s="407"/>
      <c r="P45" s="414">
        <v>0</v>
      </c>
      <c r="Q45" s="415">
        <f t="shared" si="10"/>
        <v>0</v>
      </c>
      <c r="R45" s="414">
        <v>0</v>
      </c>
      <c r="S45" s="415">
        <f t="shared" si="11"/>
        <v>0</v>
      </c>
      <c r="T45" s="407"/>
      <c r="U45" s="414">
        <f t="shared" si="0"/>
        <v>454239</v>
      </c>
      <c r="V45" s="415">
        <f t="shared" si="12"/>
        <v>7.1499999999999994E-2</v>
      </c>
      <c r="W45" s="414">
        <f t="shared" si="1"/>
        <v>3698</v>
      </c>
      <c r="X45" s="415">
        <f t="shared" si="13"/>
        <v>9.9299999999999999E-2</v>
      </c>
      <c r="Y45" s="717">
        <f t="shared" si="14"/>
        <v>84863</v>
      </c>
      <c r="Z45" s="718">
        <f t="shared" si="15"/>
        <v>5.3600000000000002E-2</v>
      </c>
      <c r="AA45" s="407"/>
      <c r="AB45" s="414">
        <f t="shared" si="23"/>
        <v>0</v>
      </c>
      <c r="AC45" s="415">
        <f t="shared" si="16"/>
        <v>0</v>
      </c>
      <c r="AD45" s="414">
        <f t="shared" si="24"/>
        <v>0</v>
      </c>
      <c r="AE45" s="415">
        <f t="shared" si="17"/>
        <v>0</v>
      </c>
      <c r="AF45" s="407"/>
      <c r="AG45" s="414">
        <f t="shared" si="25"/>
        <v>0</v>
      </c>
      <c r="AH45" s="415">
        <f t="shared" si="18"/>
        <v>0</v>
      </c>
      <c r="AI45" s="414">
        <f t="shared" si="26"/>
        <v>0</v>
      </c>
      <c r="AJ45" s="415">
        <f t="shared" si="19"/>
        <v>0</v>
      </c>
      <c r="AK45" s="414">
        <f t="shared" si="27"/>
        <v>0</v>
      </c>
      <c r="AL45" s="415">
        <f t="shared" si="22"/>
        <v>0</v>
      </c>
      <c r="AM45" s="416"/>
      <c r="AN45" s="414">
        <f t="shared" si="28"/>
        <v>457937</v>
      </c>
      <c r="AO45" s="415">
        <f t="shared" si="20"/>
        <v>2.92E-2</v>
      </c>
      <c r="AP45" s="414">
        <f t="shared" si="29"/>
        <v>454239</v>
      </c>
      <c r="AQ45" s="415">
        <f t="shared" si="21"/>
        <v>2.92E-2</v>
      </c>
      <c r="AU45" s="417"/>
      <c r="AV45" s="417"/>
      <c r="AW45" s="418"/>
      <c r="AX45" s="417"/>
      <c r="AY45" s="418"/>
      <c r="AZ45" s="417"/>
      <c r="BA45" s="418"/>
      <c r="BB45" s="417"/>
      <c r="BC45" s="418"/>
      <c r="BD45" s="417"/>
      <c r="BE45" s="417"/>
      <c r="BF45" s="417"/>
      <c r="BG45" s="417"/>
      <c r="BH45" s="403"/>
      <c r="BI45" s="404"/>
      <c r="BJ45" s="403"/>
      <c r="BK45" s="404"/>
      <c r="BL45" s="403"/>
    </row>
    <row r="46" spans="1:64" ht="16">
      <c r="A46" s="411" t="s">
        <v>198</v>
      </c>
      <c r="B46" s="412" t="s">
        <v>159</v>
      </c>
      <c r="C46" s="413">
        <v>2534</v>
      </c>
      <c r="D46" s="413">
        <v>122</v>
      </c>
      <c r="E46" s="413">
        <v>23025</v>
      </c>
      <c r="F46" s="413">
        <v>2408</v>
      </c>
      <c r="G46" s="413">
        <v>76</v>
      </c>
      <c r="H46" s="413">
        <v>67559</v>
      </c>
      <c r="I46" s="413">
        <v>0</v>
      </c>
      <c r="J46" s="413">
        <v>5</v>
      </c>
      <c r="K46" s="413">
        <v>50</v>
      </c>
      <c r="L46" s="413">
        <v>0</v>
      </c>
      <c r="M46" s="413">
        <v>247</v>
      </c>
      <c r="N46" s="413">
        <f t="shared" si="9"/>
        <v>96026</v>
      </c>
      <c r="O46" s="407"/>
      <c r="P46" s="414">
        <v>0</v>
      </c>
      <c r="Q46" s="415">
        <f t="shared" si="10"/>
        <v>0</v>
      </c>
      <c r="R46" s="414">
        <v>0</v>
      </c>
      <c r="S46" s="415">
        <f t="shared" si="11"/>
        <v>0</v>
      </c>
      <c r="T46" s="407"/>
      <c r="U46" s="414">
        <f t="shared" si="0"/>
        <v>95779</v>
      </c>
      <c r="V46" s="415">
        <f>ROUND(U46/U$61,4)</f>
        <v>1.5100000000000001E-2</v>
      </c>
      <c r="W46" s="414">
        <f t="shared" si="1"/>
        <v>247</v>
      </c>
      <c r="X46" s="415">
        <f t="shared" si="13"/>
        <v>6.6E-3</v>
      </c>
      <c r="Y46" s="717">
        <f t="shared" si="14"/>
        <v>25433</v>
      </c>
      <c r="Z46" s="718">
        <f t="shared" si="15"/>
        <v>1.61E-2</v>
      </c>
      <c r="AA46" s="407"/>
      <c r="AB46" s="414">
        <f t="shared" si="23"/>
        <v>0</v>
      </c>
      <c r="AC46" s="415">
        <f t="shared" si="16"/>
        <v>0</v>
      </c>
      <c r="AD46" s="414">
        <f t="shared" si="24"/>
        <v>0</v>
      </c>
      <c r="AE46" s="415">
        <f t="shared" si="17"/>
        <v>0</v>
      </c>
      <c r="AF46" s="407"/>
      <c r="AG46" s="414">
        <f t="shared" si="25"/>
        <v>0</v>
      </c>
      <c r="AH46" s="415">
        <f t="shared" si="18"/>
        <v>0</v>
      </c>
      <c r="AI46" s="414">
        <f t="shared" si="26"/>
        <v>0</v>
      </c>
      <c r="AJ46" s="415">
        <f t="shared" si="19"/>
        <v>0</v>
      </c>
      <c r="AK46" s="414">
        <f t="shared" si="27"/>
        <v>0</v>
      </c>
      <c r="AL46" s="415">
        <f t="shared" si="22"/>
        <v>0</v>
      </c>
      <c r="AM46" s="416"/>
      <c r="AN46" s="414">
        <f t="shared" si="28"/>
        <v>96026</v>
      </c>
      <c r="AO46" s="415">
        <f t="shared" si="20"/>
        <v>6.1000000000000004E-3</v>
      </c>
      <c r="AP46" s="414">
        <f t="shared" si="29"/>
        <v>95779</v>
      </c>
      <c r="AQ46" s="415">
        <f t="shared" si="21"/>
        <v>6.1999999999999998E-3</v>
      </c>
      <c r="AU46" s="417"/>
      <c r="AV46" s="417"/>
      <c r="AW46" s="418"/>
      <c r="AX46" s="417"/>
      <c r="AY46" s="418"/>
      <c r="AZ46" s="417"/>
      <c r="BA46" s="418"/>
      <c r="BB46" s="417"/>
      <c r="BC46" s="418"/>
      <c r="BD46" s="417"/>
      <c r="BE46" s="417"/>
      <c r="BF46" s="417"/>
      <c r="BG46" s="417"/>
      <c r="BH46" s="403"/>
      <c r="BI46" s="404"/>
      <c r="BJ46" s="403"/>
      <c r="BK46" s="404"/>
      <c r="BL46" s="403"/>
    </row>
    <row r="47" spans="1:64" ht="16">
      <c r="A47" s="411" t="s">
        <v>199</v>
      </c>
      <c r="B47" s="412" t="s">
        <v>9</v>
      </c>
      <c r="C47" s="413">
        <v>3838</v>
      </c>
      <c r="D47" s="413">
        <v>332</v>
      </c>
      <c r="E47" s="413">
        <v>20283</v>
      </c>
      <c r="F47" s="413">
        <v>2638</v>
      </c>
      <c r="G47" s="413">
        <v>45</v>
      </c>
      <c r="H47" s="413">
        <v>46228</v>
      </c>
      <c r="I47" s="413">
        <v>0</v>
      </c>
      <c r="J47" s="413">
        <v>1</v>
      </c>
      <c r="K47" s="413">
        <v>117</v>
      </c>
      <c r="L47" s="413">
        <v>19</v>
      </c>
      <c r="M47" s="413">
        <v>295</v>
      </c>
      <c r="N47" s="413">
        <f t="shared" si="9"/>
        <v>73796</v>
      </c>
      <c r="O47" s="407"/>
      <c r="P47" s="414">
        <v>0</v>
      </c>
      <c r="Q47" s="415">
        <f>ROUND(P47/P$61,4)</f>
        <v>0</v>
      </c>
      <c r="R47" s="414">
        <v>0</v>
      </c>
      <c r="S47" s="415">
        <f t="shared" si="11"/>
        <v>0</v>
      </c>
      <c r="T47" s="407"/>
      <c r="U47" s="414">
        <f t="shared" si="0"/>
        <v>0</v>
      </c>
      <c r="V47" s="415">
        <f>ROUND(U47/U$61,4)</f>
        <v>0</v>
      </c>
      <c r="W47" s="414">
        <f t="shared" si="1"/>
        <v>0</v>
      </c>
      <c r="X47" s="415">
        <f t="shared" si="13"/>
        <v>0</v>
      </c>
      <c r="Y47" s="717">
        <f t="shared" si="14"/>
        <v>0</v>
      </c>
      <c r="Z47" s="718">
        <f t="shared" si="15"/>
        <v>0</v>
      </c>
      <c r="AA47" s="407"/>
      <c r="AB47" s="414">
        <f t="shared" si="23"/>
        <v>73501</v>
      </c>
      <c r="AC47" s="415">
        <f>ROUND(AB47/AB$61,4)</f>
        <v>1.55E-2</v>
      </c>
      <c r="AD47" s="414">
        <f t="shared" si="24"/>
        <v>295</v>
      </c>
      <c r="AE47" s="415">
        <f t="shared" si="17"/>
        <v>5.8200000000000002E-2</v>
      </c>
      <c r="AF47" s="407"/>
      <c r="AG47" s="414">
        <f t="shared" si="25"/>
        <v>73796</v>
      </c>
      <c r="AH47" s="415">
        <f t="shared" si="18"/>
        <v>8.0000000000000002E-3</v>
      </c>
      <c r="AI47" s="414">
        <f t="shared" si="26"/>
        <v>73501</v>
      </c>
      <c r="AJ47" s="415">
        <f t="shared" si="19"/>
        <v>8.0000000000000002E-3</v>
      </c>
      <c r="AK47" s="414">
        <f t="shared" si="27"/>
        <v>22921</v>
      </c>
      <c r="AL47" s="415">
        <f t="shared" si="22"/>
        <v>9.4999999999999998E-3</v>
      </c>
      <c r="AM47" s="416"/>
      <c r="AN47" s="414">
        <f t="shared" si="28"/>
        <v>73796</v>
      </c>
      <c r="AO47" s="415">
        <f t="shared" si="20"/>
        <v>4.7000000000000002E-3</v>
      </c>
      <c r="AP47" s="414">
        <f t="shared" si="29"/>
        <v>73501</v>
      </c>
      <c r="AQ47" s="415">
        <f t="shared" si="21"/>
        <v>4.7000000000000002E-3</v>
      </c>
      <c r="AU47" s="417"/>
      <c r="AV47" s="417"/>
      <c r="AW47" s="418"/>
      <c r="AX47" s="417"/>
      <c r="AY47" s="418"/>
      <c r="AZ47" s="417"/>
      <c r="BA47" s="418"/>
      <c r="BB47" s="417"/>
      <c r="BC47" s="418"/>
      <c r="BD47" s="417"/>
      <c r="BE47" s="417"/>
      <c r="BF47" s="417"/>
      <c r="BG47" s="417"/>
      <c r="BH47" s="403"/>
      <c r="BI47" s="404"/>
      <c r="BJ47" s="403"/>
      <c r="BK47" s="404"/>
      <c r="BL47" s="403"/>
    </row>
    <row r="48" spans="1:64" ht="16">
      <c r="A48" s="411" t="s">
        <v>199</v>
      </c>
      <c r="B48" s="412" t="s">
        <v>8</v>
      </c>
      <c r="C48" s="413">
        <v>34</v>
      </c>
      <c r="D48" s="413">
        <v>1</v>
      </c>
      <c r="E48" s="413">
        <v>230</v>
      </c>
      <c r="F48" s="413">
        <v>24</v>
      </c>
      <c r="G48" s="413">
        <v>0</v>
      </c>
      <c r="H48" s="413">
        <v>690</v>
      </c>
      <c r="I48" s="413">
        <v>0</v>
      </c>
      <c r="J48" s="413">
        <v>0</v>
      </c>
      <c r="K48" s="413">
        <v>0</v>
      </c>
      <c r="L48" s="413">
        <v>0</v>
      </c>
      <c r="M48" s="413">
        <v>3</v>
      </c>
      <c r="N48" s="413">
        <f t="shared" si="9"/>
        <v>982</v>
      </c>
      <c r="O48" s="407"/>
      <c r="P48" s="414">
        <v>0</v>
      </c>
      <c r="Q48" s="415">
        <f t="shared" si="10"/>
        <v>0</v>
      </c>
      <c r="R48" s="414">
        <v>0</v>
      </c>
      <c r="S48" s="415">
        <f t="shared" si="11"/>
        <v>0</v>
      </c>
      <c r="T48" s="407"/>
      <c r="U48" s="414">
        <f t="shared" si="0"/>
        <v>0</v>
      </c>
      <c r="V48" s="415">
        <f t="shared" si="12"/>
        <v>0</v>
      </c>
      <c r="W48" s="414">
        <f t="shared" si="1"/>
        <v>0</v>
      </c>
      <c r="X48" s="415">
        <f t="shared" si="13"/>
        <v>0</v>
      </c>
      <c r="Y48" s="717">
        <f t="shared" si="14"/>
        <v>0</v>
      </c>
      <c r="Z48" s="718">
        <f t="shared" si="15"/>
        <v>0</v>
      </c>
      <c r="AA48" s="407"/>
      <c r="AB48" s="414">
        <f t="shared" si="23"/>
        <v>979</v>
      </c>
      <c r="AC48" s="415">
        <f t="shared" si="16"/>
        <v>2.0000000000000001E-4</v>
      </c>
      <c r="AD48" s="414">
        <f t="shared" si="24"/>
        <v>3</v>
      </c>
      <c r="AE48" s="415">
        <f t="shared" si="17"/>
        <v>5.9999999999999995E-4</v>
      </c>
      <c r="AF48" s="407"/>
      <c r="AG48" s="414">
        <f t="shared" si="25"/>
        <v>982</v>
      </c>
      <c r="AH48" s="415">
        <f t="shared" si="18"/>
        <v>1E-4</v>
      </c>
      <c r="AI48" s="414">
        <f t="shared" si="26"/>
        <v>979</v>
      </c>
      <c r="AJ48" s="415">
        <f t="shared" si="19"/>
        <v>1E-4</v>
      </c>
      <c r="AK48" s="414">
        <f t="shared" si="27"/>
        <v>254</v>
      </c>
      <c r="AL48" s="415">
        <f t="shared" si="22"/>
        <v>1E-4</v>
      </c>
      <c r="AM48" s="416"/>
      <c r="AN48" s="414">
        <f t="shared" si="28"/>
        <v>982</v>
      </c>
      <c r="AO48" s="415">
        <f t="shared" si="20"/>
        <v>1E-4</v>
      </c>
      <c r="AP48" s="414">
        <f t="shared" si="29"/>
        <v>979</v>
      </c>
      <c r="AQ48" s="415">
        <f t="shared" si="21"/>
        <v>1E-4</v>
      </c>
      <c r="AU48" s="417"/>
      <c r="AV48" s="417"/>
      <c r="AW48" s="418"/>
      <c r="AX48" s="417"/>
      <c r="AY48" s="418"/>
      <c r="AZ48" s="417"/>
      <c r="BA48" s="418"/>
      <c r="BB48" s="417"/>
      <c r="BC48" s="418"/>
      <c r="BD48" s="417"/>
      <c r="BE48" s="417"/>
      <c r="BF48" s="417"/>
      <c r="BG48" s="417"/>
      <c r="BH48" s="403"/>
      <c r="BI48" s="404"/>
      <c r="BJ48" s="403"/>
      <c r="BK48" s="404"/>
      <c r="BL48" s="403"/>
    </row>
    <row r="49" spans="1:64" ht="16">
      <c r="A49" s="411" t="s">
        <v>199</v>
      </c>
      <c r="B49" s="412" t="s">
        <v>7</v>
      </c>
      <c r="C49" s="413">
        <v>1067</v>
      </c>
      <c r="D49" s="413">
        <v>82</v>
      </c>
      <c r="E49" s="413">
        <v>5429</v>
      </c>
      <c r="F49" s="413">
        <v>930</v>
      </c>
      <c r="G49" s="413">
        <v>11</v>
      </c>
      <c r="H49" s="413">
        <v>14160</v>
      </c>
      <c r="I49" s="413">
        <v>0</v>
      </c>
      <c r="J49" s="413">
        <v>0</v>
      </c>
      <c r="K49" s="413">
        <v>38</v>
      </c>
      <c r="L49" s="413">
        <v>2</v>
      </c>
      <c r="M49" s="413">
        <v>37</v>
      </c>
      <c r="N49" s="413">
        <f t="shared" si="9"/>
        <v>21756</v>
      </c>
      <c r="O49" s="407"/>
      <c r="P49" s="414">
        <v>0</v>
      </c>
      <c r="Q49" s="415">
        <f t="shared" si="10"/>
        <v>0</v>
      </c>
      <c r="R49" s="414">
        <v>0</v>
      </c>
      <c r="S49" s="415">
        <f t="shared" si="11"/>
        <v>0</v>
      </c>
      <c r="T49" s="407"/>
      <c r="U49" s="414">
        <f t="shared" si="0"/>
        <v>0</v>
      </c>
      <c r="V49" s="415">
        <f t="shared" si="12"/>
        <v>0</v>
      </c>
      <c r="W49" s="414">
        <f t="shared" si="1"/>
        <v>0</v>
      </c>
      <c r="X49" s="415">
        <f t="shared" si="13"/>
        <v>0</v>
      </c>
      <c r="Y49" s="717">
        <f t="shared" si="14"/>
        <v>0</v>
      </c>
      <c r="Z49" s="718">
        <f t="shared" si="15"/>
        <v>0</v>
      </c>
      <c r="AA49" s="407"/>
      <c r="AB49" s="414">
        <f t="shared" si="23"/>
        <v>21719</v>
      </c>
      <c r="AC49" s="415">
        <f t="shared" si="16"/>
        <v>4.5999999999999999E-3</v>
      </c>
      <c r="AD49" s="414">
        <f t="shared" si="24"/>
        <v>37</v>
      </c>
      <c r="AE49" s="415">
        <f t="shared" si="17"/>
        <v>7.3000000000000001E-3</v>
      </c>
      <c r="AF49" s="407"/>
      <c r="AG49" s="414">
        <f t="shared" si="25"/>
        <v>21756</v>
      </c>
      <c r="AH49" s="415">
        <f t="shared" si="18"/>
        <v>2.3E-3</v>
      </c>
      <c r="AI49" s="414">
        <f t="shared" si="26"/>
        <v>21719</v>
      </c>
      <c r="AJ49" s="415">
        <f t="shared" si="19"/>
        <v>2.3999999999999998E-3</v>
      </c>
      <c r="AK49" s="414">
        <f t="shared" si="27"/>
        <v>6359</v>
      </c>
      <c r="AL49" s="415">
        <f t="shared" si="22"/>
        <v>2.5999999999999999E-3</v>
      </c>
      <c r="AM49" s="416"/>
      <c r="AN49" s="414">
        <f t="shared" si="28"/>
        <v>21756</v>
      </c>
      <c r="AO49" s="415">
        <f t="shared" si="20"/>
        <v>1.4E-3</v>
      </c>
      <c r="AP49" s="414">
        <f t="shared" si="29"/>
        <v>21719</v>
      </c>
      <c r="AQ49" s="415">
        <f t="shared" si="21"/>
        <v>1.4E-3</v>
      </c>
      <c r="AU49" s="417"/>
      <c r="AV49" s="417"/>
      <c r="AW49" s="418"/>
      <c r="AX49" s="417"/>
      <c r="AY49" s="418"/>
      <c r="AZ49" s="417"/>
      <c r="BA49" s="418"/>
      <c r="BB49" s="417"/>
      <c r="BC49" s="418"/>
      <c r="BD49" s="417"/>
      <c r="BE49" s="417"/>
      <c r="BF49" s="417"/>
      <c r="BG49" s="417"/>
      <c r="BH49" s="403"/>
      <c r="BI49" s="404"/>
      <c r="BJ49" s="403"/>
      <c r="BK49" s="404"/>
      <c r="BL49" s="403"/>
    </row>
    <row r="50" spans="1:64" ht="16">
      <c r="A50" s="411" t="s">
        <v>198</v>
      </c>
      <c r="B50" s="412" t="s">
        <v>158</v>
      </c>
      <c r="C50" s="413">
        <v>6684</v>
      </c>
      <c r="D50" s="413">
        <v>315</v>
      </c>
      <c r="E50" s="413">
        <v>32944</v>
      </c>
      <c r="F50" s="413">
        <v>5230</v>
      </c>
      <c r="G50" s="413">
        <v>280</v>
      </c>
      <c r="H50" s="413">
        <v>96036</v>
      </c>
      <c r="I50" s="413">
        <v>3</v>
      </c>
      <c r="J50" s="413">
        <v>114</v>
      </c>
      <c r="K50" s="413">
        <v>97</v>
      </c>
      <c r="L50" s="413">
        <v>23</v>
      </c>
      <c r="M50" s="413">
        <v>636</v>
      </c>
      <c r="N50" s="413">
        <f t="shared" si="9"/>
        <v>142362</v>
      </c>
      <c r="O50" s="407"/>
      <c r="P50" s="414">
        <v>0</v>
      </c>
      <c r="Q50" s="415">
        <f t="shared" si="10"/>
        <v>0</v>
      </c>
      <c r="R50" s="414">
        <v>0</v>
      </c>
      <c r="S50" s="415">
        <f t="shared" si="11"/>
        <v>0</v>
      </c>
      <c r="T50" s="407"/>
      <c r="U50" s="414">
        <f t="shared" si="0"/>
        <v>141726</v>
      </c>
      <c r="V50" s="415">
        <f t="shared" si="12"/>
        <v>2.23E-2</v>
      </c>
      <c r="W50" s="414">
        <f t="shared" si="1"/>
        <v>636</v>
      </c>
      <c r="X50" s="415">
        <f>ROUND(W50/W$61,4)</f>
        <v>1.7100000000000001E-2</v>
      </c>
      <c r="Y50" s="717">
        <f t="shared" si="14"/>
        <v>38174</v>
      </c>
      <c r="Z50" s="718">
        <f t="shared" si="15"/>
        <v>2.41E-2</v>
      </c>
      <c r="AA50" s="407"/>
      <c r="AB50" s="414">
        <f t="shared" si="23"/>
        <v>0</v>
      </c>
      <c r="AC50" s="415">
        <f t="shared" si="16"/>
        <v>0</v>
      </c>
      <c r="AD50" s="414">
        <f t="shared" si="24"/>
        <v>0</v>
      </c>
      <c r="AE50" s="415">
        <f t="shared" si="17"/>
        <v>0</v>
      </c>
      <c r="AF50" s="407"/>
      <c r="AG50" s="414">
        <f t="shared" si="25"/>
        <v>0</v>
      </c>
      <c r="AH50" s="415">
        <f t="shared" si="18"/>
        <v>0</v>
      </c>
      <c r="AI50" s="414">
        <f t="shared" si="26"/>
        <v>0</v>
      </c>
      <c r="AJ50" s="415">
        <f t="shared" si="19"/>
        <v>0</v>
      </c>
      <c r="AK50" s="414">
        <f t="shared" si="27"/>
        <v>0</v>
      </c>
      <c r="AL50" s="415">
        <f t="shared" si="22"/>
        <v>0</v>
      </c>
      <c r="AM50" s="416"/>
      <c r="AN50" s="414">
        <f t="shared" si="28"/>
        <v>142362</v>
      </c>
      <c r="AO50" s="415">
        <f t="shared" si="20"/>
        <v>9.1000000000000004E-3</v>
      </c>
      <c r="AP50" s="414">
        <f t="shared" si="29"/>
        <v>141726</v>
      </c>
      <c r="AQ50" s="415">
        <f t="shared" si="21"/>
        <v>9.1000000000000004E-3</v>
      </c>
      <c r="AU50" s="417"/>
      <c r="AV50" s="417"/>
      <c r="AW50" s="418"/>
      <c r="AX50" s="417"/>
      <c r="AY50" s="418"/>
      <c r="AZ50" s="417"/>
      <c r="BA50" s="418"/>
      <c r="BB50" s="417"/>
      <c r="BC50" s="418"/>
      <c r="BD50" s="417"/>
      <c r="BE50" s="417"/>
      <c r="BF50" s="417"/>
      <c r="BG50" s="417"/>
      <c r="BH50" s="403"/>
      <c r="BI50" s="404"/>
      <c r="BJ50" s="403"/>
      <c r="BK50" s="404"/>
      <c r="BL50" s="403"/>
    </row>
    <row r="51" spans="1:64" ht="16">
      <c r="A51" s="411" t="s">
        <v>198</v>
      </c>
      <c r="B51" s="412" t="s">
        <v>157</v>
      </c>
      <c r="C51" s="413">
        <v>3096</v>
      </c>
      <c r="D51" s="413">
        <v>278</v>
      </c>
      <c r="E51" s="413">
        <v>26147</v>
      </c>
      <c r="F51" s="413">
        <v>2820</v>
      </c>
      <c r="G51" s="413">
        <v>323</v>
      </c>
      <c r="H51" s="413">
        <v>110159</v>
      </c>
      <c r="I51" s="413">
        <v>2</v>
      </c>
      <c r="J51" s="413">
        <v>73</v>
      </c>
      <c r="K51" s="413">
        <v>60</v>
      </c>
      <c r="L51" s="413">
        <v>76</v>
      </c>
      <c r="M51" s="413">
        <v>280</v>
      </c>
      <c r="N51" s="413">
        <f t="shared" si="9"/>
        <v>143314</v>
      </c>
      <c r="O51" s="407"/>
      <c r="P51" s="414">
        <v>0</v>
      </c>
      <c r="Q51" s="415">
        <f t="shared" si="10"/>
        <v>0</v>
      </c>
      <c r="R51" s="414">
        <v>0</v>
      </c>
      <c r="S51" s="415">
        <f t="shared" si="11"/>
        <v>0</v>
      </c>
      <c r="T51" s="407"/>
      <c r="U51" s="414">
        <f t="shared" si="0"/>
        <v>143034</v>
      </c>
      <c r="V51" s="415">
        <f t="shared" si="12"/>
        <v>2.2499999999999999E-2</v>
      </c>
      <c r="W51" s="414">
        <f t="shared" si="1"/>
        <v>280</v>
      </c>
      <c r="X51" s="415">
        <f t="shared" si="13"/>
        <v>7.4999999999999997E-3</v>
      </c>
      <c r="Y51" s="717">
        <f t="shared" si="14"/>
        <v>28967</v>
      </c>
      <c r="Z51" s="718">
        <f t="shared" si="15"/>
        <v>1.83E-2</v>
      </c>
      <c r="AA51" s="407"/>
      <c r="AB51" s="414">
        <f t="shared" si="23"/>
        <v>0</v>
      </c>
      <c r="AC51" s="415">
        <f t="shared" si="16"/>
        <v>0</v>
      </c>
      <c r="AD51" s="414">
        <f t="shared" si="24"/>
        <v>0</v>
      </c>
      <c r="AE51" s="415">
        <f t="shared" si="17"/>
        <v>0</v>
      </c>
      <c r="AF51" s="407"/>
      <c r="AG51" s="414">
        <f t="shared" si="25"/>
        <v>0</v>
      </c>
      <c r="AH51" s="415">
        <f t="shared" si="18"/>
        <v>0</v>
      </c>
      <c r="AI51" s="414">
        <f t="shared" si="26"/>
        <v>0</v>
      </c>
      <c r="AJ51" s="415">
        <f t="shared" si="19"/>
        <v>0</v>
      </c>
      <c r="AK51" s="414">
        <f t="shared" si="27"/>
        <v>0</v>
      </c>
      <c r="AL51" s="415">
        <f t="shared" si="22"/>
        <v>0</v>
      </c>
      <c r="AM51" s="416"/>
      <c r="AN51" s="414">
        <f t="shared" si="28"/>
        <v>143314</v>
      </c>
      <c r="AO51" s="415">
        <f t="shared" si="20"/>
        <v>9.1999999999999998E-3</v>
      </c>
      <c r="AP51" s="414">
        <f t="shared" si="29"/>
        <v>143034</v>
      </c>
      <c r="AQ51" s="415">
        <f t="shared" si="21"/>
        <v>9.1999999999999998E-3</v>
      </c>
      <c r="AU51" s="417"/>
      <c r="AV51" s="417"/>
      <c r="AW51" s="418"/>
      <c r="AX51" s="417"/>
      <c r="AY51" s="418"/>
      <c r="AZ51" s="417"/>
      <c r="BA51" s="418"/>
      <c r="BB51" s="417"/>
      <c r="BC51" s="418"/>
      <c r="BD51" s="417"/>
      <c r="BE51" s="417"/>
      <c r="BF51" s="417"/>
      <c r="BG51" s="417"/>
      <c r="BH51" s="403"/>
      <c r="BI51" s="404"/>
      <c r="BJ51" s="403"/>
      <c r="BK51" s="404"/>
      <c r="BL51" s="403"/>
    </row>
    <row r="52" spans="1:64" ht="16">
      <c r="A52" s="411" t="s">
        <v>199</v>
      </c>
      <c r="B52" s="412" t="s">
        <v>6</v>
      </c>
      <c r="C52" s="413">
        <v>14845</v>
      </c>
      <c r="D52" s="413">
        <v>613</v>
      </c>
      <c r="E52" s="413">
        <v>67232</v>
      </c>
      <c r="F52" s="413">
        <v>12537</v>
      </c>
      <c r="G52" s="413">
        <v>265</v>
      </c>
      <c r="H52" s="413">
        <v>199649</v>
      </c>
      <c r="I52" s="413">
        <v>62</v>
      </c>
      <c r="J52" s="413">
        <v>153</v>
      </c>
      <c r="K52" s="413">
        <v>77</v>
      </c>
      <c r="L52" s="413">
        <v>0</v>
      </c>
      <c r="M52" s="413">
        <v>160</v>
      </c>
      <c r="N52" s="413">
        <f t="shared" si="9"/>
        <v>295593</v>
      </c>
      <c r="O52" s="407"/>
      <c r="P52" s="414">
        <v>0</v>
      </c>
      <c r="Q52" s="421">
        <f>ROUND(P52/P$61,4)</f>
        <v>0</v>
      </c>
      <c r="R52" s="414">
        <v>0</v>
      </c>
      <c r="S52" s="415">
        <f t="shared" si="11"/>
        <v>0</v>
      </c>
      <c r="T52" s="407"/>
      <c r="U52" s="414">
        <f t="shared" si="0"/>
        <v>0</v>
      </c>
      <c r="V52" s="421">
        <f>ROUND(U52/U$61,4)</f>
        <v>0</v>
      </c>
      <c r="W52" s="414">
        <f t="shared" si="1"/>
        <v>0</v>
      </c>
      <c r="X52" s="415">
        <f t="shared" si="13"/>
        <v>0</v>
      </c>
      <c r="Y52" s="717">
        <f t="shared" si="14"/>
        <v>0</v>
      </c>
      <c r="Z52" s="718">
        <f t="shared" si="15"/>
        <v>0</v>
      </c>
      <c r="AA52" s="407"/>
      <c r="AB52" s="414">
        <f t="shared" si="23"/>
        <v>295433</v>
      </c>
      <c r="AC52" s="421">
        <f>ROUND(AB52/AB$61,4)</f>
        <v>6.25E-2</v>
      </c>
      <c r="AD52" s="414">
        <f t="shared" si="24"/>
        <v>160</v>
      </c>
      <c r="AE52" s="415">
        <f t="shared" si="17"/>
        <v>3.1600000000000003E-2</v>
      </c>
      <c r="AF52" s="407"/>
      <c r="AG52" s="414">
        <f t="shared" si="25"/>
        <v>295593</v>
      </c>
      <c r="AH52" s="415">
        <f t="shared" si="18"/>
        <v>3.1899999999999998E-2</v>
      </c>
      <c r="AI52" s="414">
        <f t="shared" si="26"/>
        <v>295433</v>
      </c>
      <c r="AJ52" s="420">
        <f>ROUNDDOWN(AI52/AI$61,4)</f>
        <v>3.2099999999999997E-2</v>
      </c>
      <c r="AK52" s="414">
        <f t="shared" si="27"/>
        <v>79769</v>
      </c>
      <c r="AL52" s="415">
        <f t="shared" si="22"/>
        <v>3.3000000000000002E-2</v>
      </c>
      <c r="AM52" s="416"/>
      <c r="AN52" s="414">
        <f t="shared" si="28"/>
        <v>295593</v>
      </c>
      <c r="AO52" s="415">
        <f t="shared" si="20"/>
        <v>1.89E-2</v>
      </c>
      <c r="AP52" s="414">
        <f t="shared" si="29"/>
        <v>295433</v>
      </c>
      <c r="AQ52" s="415">
        <f>ROUND(AP52/AP$61,4)</f>
        <v>1.9E-2</v>
      </c>
      <c r="AU52" s="417"/>
      <c r="AV52" s="417"/>
      <c r="AW52" s="418"/>
      <c r="AX52" s="417"/>
      <c r="AY52" s="418"/>
      <c r="AZ52" s="417"/>
      <c r="BA52" s="418"/>
      <c r="BB52" s="417"/>
      <c r="BC52" s="418"/>
      <c r="BD52" s="417"/>
      <c r="BE52" s="417"/>
      <c r="BF52" s="417"/>
      <c r="BG52" s="417"/>
      <c r="BH52" s="403"/>
      <c r="BI52" s="404"/>
      <c r="BJ52" s="403"/>
      <c r="BK52" s="404"/>
      <c r="BL52" s="403"/>
    </row>
    <row r="53" spans="1:64" ht="16">
      <c r="A53" s="411" t="s">
        <v>199</v>
      </c>
      <c r="B53" s="412" t="s">
        <v>5</v>
      </c>
      <c r="C53" s="413">
        <v>2412</v>
      </c>
      <c r="D53" s="413">
        <v>138</v>
      </c>
      <c r="E53" s="413">
        <v>10217</v>
      </c>
      <c r="F53" s="413">
        <v>1823</v>
      </c>
      <c r="G53" s="413">
        <v>91</v>
      </c>
      <c r="H53" s="413">
        <v>33318</v>
      </c>
      <c r="I53" s="413">
        <v>3</v>
      </c>
      <c r="J53" s="413">
        <v>22</v>
      </c>
      <c r="K53" s="413">
        <v>8</v>
      </c>
      <c r="L53" s="413">
        <v>39</v>
      </c>
      <c r="M53" s="413">
        <v>12</v>
      </c>
      <c r="N53" s="413">
        <f t="shared" si="9"/>
        <v>48083</v>
      </c>
      <c r="O53" s="407"/>
      <c r="P53" s="414">
        <v>0</v>
      </c>
      <c r="Q53" s="415">
        <f t="shared" si="10"/>
        <v>0</v>
      </c>
      <c r="R53" s="414">
        <v>0</v>
      </c>
      <c r="S53" s="415">
        <f t="shared" si="11"/>
        <v>0</v>
      </c>
      <c r="T53" s="407"/>
      <c r="U53" s="414">
        <f t="shared" si="0"/>
        <v>0</v>
      </c>
      <c r="V53" s="415">
        <f t="shared" si="12"/>
        <v>0</v>
      </c>
      <c r="W53" s="414">
        <f t="shared" si="1"/>
        <v>0</v>
      </c>
      <c r="X53" s="415">
        <f t="shared" si="13"/>
        <v>0</v>
      </c>
      <c r="Y53" s="717">
        <f t="shared" si="14"/>
        <v>0</v>
      </c>
      <c r="Z53" s="718">
        <f t="shared" si="15"/>
        <v>0</v>
      </c>
      <c r="AA53" s="407"/>
      <c r="AB53" s="414">
        <f t="shared" si="23"/>
        <v>48071</v>
      </c>
      <c r="AC53" s="415">
        <f t="shared" si="16"/>
        <v>1.0200000000000001E-2</v>
      </c>
      <c r="AD53" s="414">
        <f t="shared" si="24"/>
        <v>12</v>
      </c>
      <c r="AE53" s="415">
        <f t="shared" si="17"/>
        <v>2.3999999999999998E-3</v>
      </c>
      <c r="AF53" s="407"/>
      <c r="AG53" s="414">
        <f t="shared" si="25"/>
        <v>48083</v>
      </c>
      <c r="AH53" s="415">
        <f t="shared" si="18"/>
        <v>5.1999999999999998E-3</v>
      </c>
      <c r="AI53" s="414">
        <f t="shared" si="26"/>
        <v>48071</v>
      </c>
      <c r="AJ53" s="415">
        <f t="shared" si="19"/>
        <v>5.1999999999999998E-3</v>
      </c>
      <c r="AK53" s="414">
        <f t="shared" si="27"/>
        <v>12040</v>
      </c>
      <c r="AL53" s="415">
        <f t="shared" si="22"/>
        <v>5.0000000000000001E-3</v>
      </c>
      <c r="AM53" s="416"/>
      <c r="AN53" s="414">
        <f t="shared" si="28"/>
        <v>48083</v>
      </c>
      <c r="AO53" s="415">
        <f t="shared" si="20"/>
        <v>3.0999999999999999E-3</v>
      </c>
      <c r="AP53" s="414">
        <f t="shared" si="29"/>
        <v>48071</v>
      </c>
      <c r="AQ53" s="415">
        <f t="shared" si="21"/>
        <v>3.0999999999999999E-3</v>
      </c>
      <c r="AU53" s="417"/>
      <c r="AV53" s="417"/>
      <c r="AW53" s="418"/>
      <c r="AX53" s="417"/>
      <c r="AY53" s="418"/>
      <c r="AZ53" s="417"/>
      <c r="BA53" s="418"/>
      <c r="BB53" s="417"/>
      <c r="BC53" s="418"/>
      <c r="BD53" s="417"/>
      <c r="BE53" s="417"/>
      <c r="BF53" s="417"/>
      <c r="BG53" s="417"/>
      <c r="BH53" s="403"/>
      <c r="BI53" s="404"/>
      <c r="BJ53" s="403"/>
      <c r="BK53" s="404"/>
      <c r="BL53" s="403"/>
    </row>
    <row r="54" spans="1:64" ht="16">
      <c r="A54" s="411" t="s">
        <v>199</v>
      </c>
      <c r="B54" s="412" t="s">
        <v>4</v>
      </c>
      <c r="C54" s="413">
        <v>1439</v>
      </c>
      <c r="D54" s="413">
        <v>165</v>
      </c>
      <c r="E54" s="413">
        <v>7921</v>
      </c>
      <c r="F54" s="413">
        <v>1077</v>
      </c>
      <c r="G54" s="413">
        <v>8</v>
      </c>
      <c r="H54" s="413">
        <v>21335</v>
      </c>
      <c r="I54" s="413">
        <v>1</v>
      </c>
      <c r="J54" s="413">
        <v>0</v>
      </c>
      <c r="K54" s="413">
        <v>7</v>
      </c>
      <c r="L54" s="413">
        <v>10</v>
      </c>
      <c r="M54" s="413">
        <v>26</v>
      </c>
      <c r="N54" s="413">
        <f t="shared" si="9"/>
        <v>31989</v>
      </c>
      <c r="O54" s="407"/>
      <c r="P54" s="414">
        <v>0</v>
      </c>
      <c r="Q54" s="415">
        <f t="shared" si="10"/>
        <v>0</v>
      </c>
      <c r="R54" s="414">
        <v>0</v>
      </c>
      <c r="S54" s="415">
        <f t="shared" si="11"/>
        <v>0</v>
      </c>
      <c r="T54" s="407"/>
      <c r="U54" s="414">
        <f t="shared" si="0"/>
        <v>0</v>
      </c>
      <c r="V54" s="415">
        <f t="shared" si="12"/>
        <v>0</v>
      </c>
      <c r="W54" s="414">
        <f t="shared" si="1"/>
        <v>0</v>
      </c>
      <c r="X54" s="415">
        <f t="shared" si="13"/>
        <v>0</v>
      </c>
      <c r="Y54" s="717">
        <f t="shared" si="14"/>
        <v>0</v>
      </c>
      <c r="Z54" s="718">
        <f t="shared" si="15"/>
        <v>0</v>
      </c>
      <c r="AA54" s="407"/>
      <c r="AB54" s="414">
        <f t="shared" si="23"/>
        <v>31963</v>
      </c>
      <c r="AC54" s="415">
        <f t="shared" si="16"/>
        <v>6.7999999999999996E-3</v>
      </c>
      <c r="AD54" s="414">
        <f t="shared" si="24"/>
        <v>26</v>
      </c>
      <c r="AE54" s="415">
        <f t="shared" si="17"/>
        <v>5.1000000000000004E-3</v>
      </c>
      <c r="AF54" s="407"/>
      <c r="AG54" s="414">
        <f t="shared" si="25"/>
        <v>31989</v>
      </c>
      <c r="AH54" s="415">
        <f t="shared" si="18"/>
        <v>3.5000000000000001E-3</v>
      </c>
      <c r="AI54" s="414">
        <f t="shared" si="26"/>
        <v>31963</v>
      </c>
      <c r="AJ54" s="415">
        <f t="shared" si="19"/>
        <v>3.5000000000000001E-3</v>
      </c>
      <c r="AK54" s="414">
        <f t="shared" si="27"/>
        <v>8998</v>
      </c>
      <c r="AL54" s="415">
        <f t="shared" si="22"/>
        <v>3.7000000000000002E-3</v>
      </c>
      <c r="AM54" s="416"/>
      <c r="AN54" s="414">
        <f t="shared" si="28"/>
        <v>31989</v>
      </c>
      <c r="AO54" s="415">
        <f t="shared" si="20"/>
        <v>2E-3</v>
      </c>
      <c r="AP54" s="414">
        <f t="shared" si="29"/>
        <v>31963</v>
      </c>
      <c r="AQ54" s="415">
        <f t="shared" si="21"/>
        <v>2.0999999999999999E-3</v>
      </c>
      <c r="AU54" s="417"/>
      <c r="AV54" s="417"/>
      <c r="AW54" s="418"/>
      <c r="AX54" s="417"/>
      <c r="AY54" s="418"/>
      <c r="AZ54" s="417"/>
      <c r="BA54" s="418"/>
      <c r="BB54" s="417"/>
      <c r="BC54" s="418"/>
      <c r="BD54" s="417"/>
      <c r="BE54" s="417"/>
      <c r="BF54" s="417"/>
      <c r="BG54" s="417"/>
      <c r="BH54" s="403"/>
      <c r="BI54" s="404"/>
      <c r="BJ54" s="403"/>
      <c r="BK54" s="404"/>
      <c r="BL54" s="403"/>
    </row>
    <row r="55" spans="1:64" ht="16">
      <c r="A55" s="411" t="s">
        <v>199</v>
      </c>
      <c r="B55" s="412" t="s">
        <v>3</v>
      </c>
      <c r="C55" s="413">
        <v>213</v>
      </c>
      <c r="D55" s="413">
        <v>24</v>
      </c>
      <c r="E55" s="413">
        <v>1501</v>
      </c>
      <c r="F55" s="413">
        <v>172</v>
      </c>
      <c r="G55" s="413">
        <v>1</v>
      </c>
      <c r="H55" s="413">
        <v>3764</v>
      </c>
      <c r="I55" s="413">
        <v>0</v>
      </c>
      <c r="J55" s="413">
        <v>0</v>
      </c>
      <c r="K55" s="413">
        <v>4</v>
      </c>
      <c r="L55" s="413">
        <v>1</v>
      </c>
      <c r="M55" s="413">
        <v>8</v>
      </c>
      <c r="N55" s="413">
        <f t="shared" si="9"/>
        <v>5688</v>
      </c>
      <c r="O55" s="407"/>
      <c r="P55" s="414">
        <v>0</v>
      </c>
      <c r="Q55" s="415">
        <f t="shared" si="10"/>
        <v>0</v>
      </c>
      <c r="R55" s="414">
        <v>0</v>
      </c>
      <c r="S55" s="415">
        <f t="shared" si="11"/>
        <v>0</v>
      </c>
      <c r="T55" s="407"/>
      <c r="U55" s="414">
        <f t="shared" si="0"/>
        <v>0</v>
      </c>
      <c r="V55" s="415">
        <f t="shared" si="12"/>
        <v>0</v>
      </c>
      <c r="W55" s="414">
        <f t="shared" si="1"/>
        <v>0</v>
      </c>
      <c r="X55" s="415">
        <f t="shared" si="13"/>
        <v>0</v>
      </c>
      <c r="Y55" s="717">
        <f t="shared" si="14"/>
        <v>0</v>
      </c>
      <c r="Z55" s="718">
        <f t="shared" si="15"/>
        <v>0</v>
      </c>
      <c r="AA55" s="407"/>
      <c r="AB55" s="414">
        <f t="shared" si="23"/>
        <v>5680</v>
      </c>
      <c r="AC55" s="415">
        <f t="shared" si="16"/>
        <v>1.1999999999999999E-3</v>
      </c>
      <c r="AD55" s="414">
        <f t="shared" si="24"/>
        <v>8</v>
      </c>
      <c r="AE55" s="415">
        <f t="shared" si="17"/>
        <v>1.6000000000000001E-3</v>
      </c>
      <c r="AF55" s="407"/>
      <c r="AG55" s="414">
        <f t="shared" si="25"/>
        <v>5688</v>
      </c>
      <c r="AH55" s="415">
        <f t="shared" si="18"/>
        <v>5.9999999999999995E-4</v>
      </c>
      <c r="AI55" s="414">
        <f t="shared" si="26"/>
        <v>5680</v>
      </c>
      <c r="AJ55" s="415">
        <f t="shared" si="19"/>
        <v>5.9999999999999995E-4</v>
      </c>
      <c r="AK55" s="414">
        <f t="shared" si="27"/>
        <v>1673</v>
      </c>
      <c r="AL55" s="415">
        <f t="shared" si="22"/>
        <v>6.9999999999999999E-4</v>
      </c>
      <c r="AM55" s="416"/>
      <c r="AN55" s="414">
        <f t="shared" si="28"/>
        <v>5688</v>
      </c>
      <c r="AO55" s="415">
        <f t="shared" si="20"/>
        <v>4.0000000000000002E-4</v>
      </c>
      <c r="AP55" s="414">
        <f t="shared" si="29"/>
        <v>5680</v>
      </c>
      <c r="AQ55" s="415">
        <f t="shared" si="21"/>
        <v>4.0000000000000002E-4</v>
      </c>
      <c r="AU55" s="417"/>
      <c r="AV55" s="417"/>
      <c r="AW55" s="418"/>
      <c r="AX55" s="417"/>
      <c r="AY55" s="418"/>
      <c r="AZ55" s="417"/>
      <c r="BA55" s="418"/>
      <c r="BB55" s="417"/>
      <c r="BC55" s="418"/>
      <c r="BD55" s="417"/>
      <c r="BE55" s="417"/>
      <c r="BF55" s="417"/>
      <c r="BG55" s="417"/>
      <c r="BH55" s="403"/>
      <c r="BI55" s="404"/>
      <c r="BJ55" s="403"/>
      <c r="BK55" s="404"/>
      <c r="BL55" s="403"/>
    </row>
    <row r="56" spans="1:64" ht="16">
      <c r="A56" s="411" t="s">
        <v>198</v>
      </c>
      <c r="B56" s="412" t="s">
        <v>156</v>
      </c>
      <c r="C56" s="413">
        <v>22959</v>
      </c>
      <c r="D56" s="413">
        <v>767</v>
      </c>
      <c r="E56" s="413">
        <v>96228</v>
      </c>
      <c r="F56" s="413">
        <v>19413</v>
      </c>
      <c r="G56" s="413">
        <v>1082</v>
      </c>
      <c r="H56" s="413">
        <v>201134</v>
      </c>
      <c r="I56" s="413">
        <v>0</v>
      </c>
      <c r="J56" s="413">
        <v>169</v>
      </c>
      <c r="K56" s="413">
        <v>336</v>
      </c>
      <c r="L56" s="413">
        <v>0</v>
      </c>
      <c r="M56" s="413">
        <v>529</v>
      </c>
      <c r="N56" s="413">
        <f t="shared" si="9"/>
        <v>342617</v>
      </c>
      <c r="O56" s="407"/>
      <c r="P56" s="414">
        <v>0</v>
      </c>
      <c r="Q56" s="415">
        <f t="shared" si="10"/>
        <v>0</v>
      </c>
      <c r="R56" s="414">
        <v>0</v>
      </c>
      <c r="S56" s="415">
        <f t="shared" si="11"/>
        <v>0</v>
      </c>
      <c r="T56" s="407"/>
      <c r="U56" s="414">
        <f t="shared" si="0"/>
        <v>342088</v>
      </c>
      <c r="V56" s="415">
        <f t="shared" si="12"/>
        <v>5.3800000000000001E-2</v>
      </c>
      <c r="W56" s="414">
        <f t="shared" si="1"/>
        <v>529</v>
      </c>
      <c r="X56" s="415">
        <f t="shared" si="13"/>
        <v>1.4200000000000001E-2</v>
      </c>
      <c r="Y56" s="717">
        <f t="shared" si="14"/>
        <v>115641</v>
      </c>
      <c r="Z56" s="718">
        <f t="shared" si="15"/>
        <v>7.2999999999999995E-2</v>
      </c>
      <c r="AA56" s="407"/>
      <c r="AB56" s="414">
        <f t="shared" si="23"/>
        <v>0</v>
      </c>
      <c r="AC56" s="415">
        <f t="shared" si="16"/>
        <v>0</v>
      </c>
      <c r="AD56" s="414">
        <f t="shared" si="24"/>
        <v>0</v>
      </c>
      <c r="AE56" s="415">
        <f t="shared" si="17"/>
        <v>0</v>
      </c>
      <c r="AF56" s="407"/>
      <c r="AG56" s="414">
        <f t="shared" si="25"/>
        <v>0</v>
      </c>
      <c r="AH56" s="415">
        <f t="shared" si="18"/>
        <v>0</v>
      </c>
      <c r="AI56" s="414">
        <f t="shared" si="26"/>
        <v>0</v>
      </c>
      <c r="AJ56" s="415">
        <f t="shared" si="19"/>
        <v>0</v>
      </c>
      <c r="AK56" s="414">
        <f t="shared" si="27"/>
        <v>0</v>
      </c>
      <c r="AL56" s="415">
        <f t="shared" si="22"/>
        <v>0</v>
      </c>
      <c r="AM56" s="416"/>
      <c r="AN56" s="414">
        <f t="shared" si="28"/>
        <v>342617</v>
      </c>
      <c r="AO56" s="415">
        <f t="shared" si="20"/>
        <v>2.1899999999999999E-2</v>
      </c>
      <c r="AP56" s="414">
        <f t="shared" si="29"/>
        <v>342088</v>
      </c>
      <c r="AQ56" s="415">
        <f t="shared" si="21"/>
        <v>2.1999999999999999E-2</v>
      </c>
      <c r="AU56" s="417"/>
      <c r="AV56" s="417"/>
      <c r="AW56" s="418"/>
      <c r="AX56" s="417"/>
      <c r="AY56" s="418"/>
      <c r="AZ56" s="417"/>
      <c r="BA56" s="418"/>
      <c r="BB56" s="417"/>
      <c r="BC56" s="418"/>
      <c r="BD56" s="417"/>
      <c r="BE56" s="417"/>
      <c r="BF56" s="417"/>
      <c r="BG56" s="417"/>
      <c r="BH56" s="403"/>
      <c r="BI56" s="404"/>
      <c r="BJ56" s="403"/>
      <c r="BK56" s="404"/>
      <c r="BL56" s="403"/>
    </row>
    <row r="57" spans="1:64" ht="16">
      <c r="A57" s="411" t="s">
        <v>199</v>
      </c>
      <c r="B57" s="412" t="s">
        <v>2</v>
      </c>
      <c r="C57" s="413">
        <v>742</v>
      </c>
      <c r="D57" s="413">
        <v>65</v>
      </c>
      <c r="E57" s="413">
        <v>4137</v>
      </c>
      <c r="F57" s="413">
        <v>588</v>
      </c>
      <c r="G57" s="413">
        <v>6</v>
      </c>
      <c r="H57" s="413">
        <v>10732</v>
      </c>
      <c r="I57" s="413">
        <v>0</v>
      </c>
      <c r="J57" s="413">
        <v>0</v>
      </c>
      <c r="K57" s="413">
        <v>8</v>
      </c>
      <c r="L57" s="413">
        <v>2</v>
      </c>
      <c r="M57" s="413">
        <v>4</v>
      </c>
      <c r="N57" s="413">
        <f t="shared" si="9"/>
        <v>16284</v>
      </c>
      <c r="O57" s="407"/>
      <c r="P57" s="414">
        <v>0</v>
      </c>
      <c r="Q57" s="415">
        <f t="shared" si="10"/>
        <v>0</v>
      </c>
      <c r="R57" s="414">
        <v>0</v>
      </c>
      <c r="S57" s="415">
        <f t="shared" si="11"/>
        <v>0</v>
      </c>
      <c r="T57" s="407"/>
      <c r="U57" s="414">
        <f t="shared" si="0"/>
        <v>0</v>
      </c>
      <c r="V57" s="415">
        <f t="shared" si="12"/>
        <v>0</v>
      </c>
      <c r="W57" s="414">
        <f t="shared" si="1"/>
        <v>0</v>
      </c>
      <c r="X57" s="415">
        <f t="shared" si="13"/>
        <v>0</v>
      </c>
      <c r="Y57" s="717">
        <f t="shared" si="14"/>
        <v>0</v>
      </c>
      <c r="Z57" s="718">
        <f t="shared" si="15"/>
        <v>0</v>
      </c>
      <c r="AA57" s="407"/>
      <c r="AB57" s="414">
        <f t="shared" si="23"/>
        <v>16280</v>
      </c>
      <c r="AC57" s="415">
        <f t="shared" si="16"/>
        <v>3.3999999999999998E-3</v>
      </c>
      <c r="AD57" s="414">
        <f t="shared" si="24"/>
        <v>4</v>
      </c>
      <c r="AE57" s="415">
        <f t="shared" si="17"/>
        <v>8.0000000000000004E-4</v>
      </c>
      <c r="AF57" s="407"/>
      <c r="AG57" s="414">
        <f t="shared" si="25"/>
        <v>16284</v>
      </c>
      <c r="AH57" s="415">
        <f t="shared" si="18"/>
        <v>1.8E-3</v>
      </c>
      <c r="AI57" s="414">
        <f t="shared" si="26"/>
        <v>16280</v>
      </c>
      <c r="AJ57" s="415">
        <f t="shared" si="19"/>
        <v>1.8E-3</v>
      </c>
      <c r="AK57" s="414">
        <f t="shared" si="27"/>
        <v>4725</v>
      </c>
      <c r="AL57" s="415">
        <f t="shared" si="22"/>
        <v>2E-3</v>
      </c>
      <c r="AM57" s="416"/>
      <c r="AN57" s="414">
        <f t="shared" si="28"/>
        <v>16284</v>
      </c>
      <c r="AO57" s="415">
        <f t="shared" si="20"/>
        <v>1E-3</v>
      </c>
      <c r="AP57" s="414">
        <f t="shared" si="29"/>
        <v>16280</v>
      </c>
      <c r="AQ57" s="415">
        <f t="shared" si="21"/>
        <v>1E-3</v>
      </c>
      <c r="AU57" s="417"/>
      <c r="AV57" s="417"/>
      <c r="AW57" s="418"/>
      <c r="AX57" s="417"/>
      <c r="AY57" s="418"/>
      <c r="AZ57" s="417"/>
      <c r="BA57" s="418"/>
      <c r="BB57" s="417"/>
      <c r="BC57" s="418"/>
      <c r="BD57" s="417"/>
      <c r="BE57" s="417"/>
      <c r="BF57" s="417"/>
      <c r="BG57" s="417"/>
      <c r="BH57" s="403"/>
      <c r="BI57" s="404"/>
      <c r="BJ57" s="403"/>
      <c r="BK57" s="404"/>
      <c r="BL57" s="403"/>
    </row>
    <row r="58" spans="1:64" ht="16">
      <c r="A58" s="411" t="s">
        <v>198</v>
      </c>
      <c r="B58" s="412" t="s">
        <v>155</v>
      </c>
      <c r="C58" s="413">
        <v>8315</v>
      </c>
      <c r="D58" s="413">
        <v>574</v>
      </c>
      <c r="E58" s="413">
        <v>60437</v>
      </c>
      <c r="F58" s="413">
        <v>6518</v>
      </c>
      <c r="G58" s="413">
        <v>649</v>
      </c>
      <c r="H58" s="413">
        <v>201673</v>
      </c>
      <c r="I58" s="413">
        <v>4</v>
      </c>
      <c r="J58" s="413">
        <v>144</v>
      </c>
      <c r="K58" s="413">
        <v>671</v>
      </c>
      <c r="L58" s="413">
        <v>0</v>
      </c>
      <c r="M58" s="413">
        <v>378</v>
      </c>
      <c r="N58" s="413">
        <f t="shared" si="9"/>
        <v>279363</v>
      </c>
      <c r="O58" s="407"/>
      <c r="P58" s="414">
        <v>0</v>
      </c>
      <c r="Q58" s="415">
        <f t="shared" si="10"/>
        <v>0</v>
      </c>
      <c r="R58" s="414">
        <v>0</v>
      </c>
      <c r="S58" s="415">
        <f t="shared" si="11"/>
        <v>0</v>
      </c>
      <c r="T58" s="407"/>
      <c r="U58" s="414">
        <f t="shared" si="0"/>
        <v>278985</v>
      </c>
      <c r="V58" s="415">
        <f t="shared" si="12"/>
        <v>4.3900000000000002E-2</v>
      </c>
      <c r="W58" s="414">
        <f t="shared" si="1"/>
        <v>378</v>
      </c>
      <c r="X58" s="415">
        <f t="shared" si="13"/>
        <v>1.01E-2</v>
      </c>
      <c r="Y58" s="717">
        <f t="shared" si="14"/>
        <v>66955</v>
      </c>
      <c r="Z58" s="718">
        <f t="shared" si="15"/>
        <v>4.2299999999999997E-2</v>
      </c>
      <c r="AA58" s="407"/>
      <c r="AB58" s="414">
        <f t="shared" si="23"/>
        <v>0</v>
      </c>
      <c r="AC58" s="415">
        <f t="shared" si="16"/>
        <v>0</v>
      </c>
      <c r="AD58" s="414">
        <f t="shared" si="24"/>
        <v>0</v>
      </c>
      <c r="AE58" s="415">
        <f t="shared" si="17"/>
        <v>0</v>
      </c>
      <c r="AF58" s="407"/>
      <c r="AG58" s="414">
        <f t="shared" si="25"/>
        <v>0</v>
      </c>
      <c r="AH58" s="415">
        <f t="shared" si="18"/>
        <v>0</v>
      </c>
      <c r="AI58" s="414">
        <f t="shared" si="26"/>
        <v>0</v>
      </c>
      <c r="AJ58" s="415">
        <f t="shared" si="19"/>
        <v>0</v>
      </c>
      <c r="AK58" s="414">
        <f t="shared" si="27"/>
        <v>0</v>
      </c>
      <c r="AL58" s="415">
        <f t="shared" si="22"/>
        <v>0</v>
      </c>
      <c r="AM58" s="416"/>
      <c r="AN58" s="414">
        <f t="shared" si="28"/>
        <v>279363</v>
      </c>
      <c r="AO58" s="415">
        <f t="shared" si="20"/>
        <v>1.78E-2</v>
      </c>
      <c r="AP58" s="414">
        <f t="shared" si="29"/>
        <v>278985</v>
      </c>
      <c r="AQ58" s="415">
        <f t="shared" si="21"/>
        <v>1.7999999999999999E-2</v>
      </c>
      <c r="AU58" s="417"/>
      <c r="AV58" s="417"/>
      <c r="AW58" s="418"/>
      <c r="AX58" s="417"/>
      <c r="AY58" s="418"/>
      <c r="AZ58" s="417"/>
      <c r="BA58" s="418"/>
      <c r="BB58" s="417"/>
      <c r="BC58" s="418"/>
      <c r="BD58" s="417"/>
      <c r="BE58" s="417"/>
      <c r="BF58" s="417"/>
      <c r="BG58" s="417"/>
      <c r="BH58" s="403"/>
      <c r="BI58" s="404"/>
      <c r="BJ58" s="403"/>
      <c r="BK58" s="404"/>
      <c r="BL58" s="403"/>
    </row>
    <row r="59" spans="1:64" ht="16">
      <c r="A59" s="411" t="s">
        <v>198</v>
      </c>
      <c r="B59" s="412" t="s">
        <v>154</v>
      </c>
      <c r="C59" s="413">
        <v>2552</v>
      </c>
      <c r="D59" s="413">
        <v>268</v>
      </c>
      <c r="E59" s="413">
        <v>16111</v>
      </c>
      <c r="F59" s="413">
        <v>1967</v>
      </c>
      <c r="G59" s="413">
        <v>366</v>
      </c>
      <c r="H59" s="413">
        <v>48973</v>
      </c>
      <c r="I59" s="413">
        <v>12</v>
      </c>
      <c r="J59" s="413">
        <v>96</v>
      </c>
      <c r="K59" s="413">
        <v>22</v>
      </c>
      <c r="L59" s="413">
        <v>3</v>
      </c>
      <c r="M59" s="413">
        <v>80</v>
      </c>
      <c r="N59" s="413">
        <f t="shared" si="9"/>
        <v>70450</v>
      </c>
      <c r="O59" s="407"/>
      <c r="P59" s="414">
        <v>0</v>
      </c>
      <c r="Q59" s="415">
        <f t="shared" si="10"/>
        <v>0</v>
      </c>
      <c r="R59" s="414">
        <v>0</v>
      </c>
      <c r="S59" s="415">
        <f t="shared" si="11"/>
        <v>0</v>
      </c>
      <c r="T59" s="407"/>
      <c r="U59" s="414">
        <f t="shared" si="0"/>
        <v>70370</v>
      </c>
      <c r="V59" s="415">
        <f t="shared" si="12"/>
        <v>1.11E-2</v>
      </c>
      <c r="W59" s="414">
        <f t="shared" si="1"/>
        <v>80</v>
      </c>
      <c r="X59" s="415">
        <f t="shared" si="13"/>
        <v>2.0999999999999999E-3</v>
      </c>
      <c r="Y59" s="717">
        <f t="shared" si="14"/>
        <v>18078</v>
      </c>
      <c r="Z59" s="718">
        <f t="shared" si="15"/>
        <v>1.14E-2</v>
      </c>
      <c r="AA59" s="407"/>
      <c r="AB59" s="414">
        <f t="shared" si="23"/>
        <v>0</v>
      </c>
      <c r="AC59" s="415">
        <f t="shared" si="16"/>
        <v>0</v>
      </c>
      <c r="AD59" s="414">
        <f t="shared" si="24"/>
        <v>0</v>
      </c>
      <c r="AE59" s="415">
        <f t="shared" si="17"/>
        <v>0</v>
      </c>
      <c r="AF59" s="407"/>
      <c r="AG59" s="414">
        <f t="shared" si="25"/>
        <v>0</v>
      </c>
      <c r="AH59" s="415">
        <f t="shared" si="18"/>
        <v>0</v>
      </c>
      <c r="AI59" s="414">
        <f t="shared" si="26"/>
        <v>0</v>
      </c>
      <c r="AJ59" s="415">
        <f t="shared" si="19"/>
        <v>0</v>
      </c>
      <c r="AK59" s="414">
        <f t="shared" si="27"/>
        <v>0</v>
      </c>
      <c r="AL59" s="415">
        <f t="shared" si="22"/>
        <v>0</v>
      </c>
      <c r="AM59" s="416"/>
      <c r="AN59" s="414">
        <f t="shared" si="28"/>
        <v>70450</v>
      </c>
      <c r="AO59" s="415">
        <f t="shared" si="20"/>
        <v>4.4999999999999997E-3</v>
      </c>
      <c r="AP59" s="414">
        <f t="shared" si="29"/>
        <v>70370</v>
      </c>
      <c r="AQ59" s="415">
        <f t="shared" si="21"/>
        <v>4.4999999999999997E-3</v>
      </c>
      <c r="AU59" s="417"/>
      <c r="AV59" s="417"/>
      <c r="AW59" s="418"/>
      <c r="AX59" s="417"/>
      <c r="AY59" s="418"/>
      <c r="AZ59" s="417"/>
      <c r="BA59" s="418"/>
      <c r="BB59" s="417"/>
      <c r="BC59" s="418"/>
      <c r="BD59" s="417"/>
      <c r="BE59" s="417"/>
      <c r="BF59" s="417"/>
      <c r="BG59" s="417"/>
      <c r="BH59" s="403"/>
      <c r="BI59" s="404"/>
      <c r="BJ59" s="403"/>
      <c r="BK59" s="404"/>
      <c r="BL59" s="403"/>
    </row>
    <row r="60" spans="1:64" ht="16">
      <c r="A60" s="411" t="s">
        <v>199</v>
      </c>
      <c r="B60" s="412" t="s">
        <v>1</v>
      </c>
      <c r="C60" s="413">
        <v>2345</v>
      </c>
      <c r="D60" s="413">
        <v>157</v>
      </c>
      <c r="E60" s="413">
        <v>10783</v>
      </c>
      <c r="F60" s="413">
        <v>2081</v>
      </c>
      <c r="G60" s="413">
        <v>55</v>
      </c>
      <c r="H60" s="413">
        <v>24483</v>
      </c>
      <c r="I60" s="413">
        <v>0</v>
      </c>
      <c r="J60" s="413">
        <v>3</v>
      </c>
      <c r="K60" s="413">
        <v>6</v>
      </c>
      <c r="L60" s="413">
        <v>5</v>
      </c>
      <c r="M60" s="413">
        <v>22</v>
      </c>
      <c r="N60" s="413">
        <f t="shared" si="9"/>
        <v>39940</v>
      </c>
      <c r="O60" s="407"/>
      <c r="P60" s="414">
        <v>0</v>
      </c>
      <c r="Q60" s="415">
        <f t="shared" si="10"/>
        <v>0</v>
      </c>
      <c r="R60" s="414">
        <v>0</v>
      </c>
      <c r="S60" s="415">
        <f t="shared" si="11"/>
        <v>0</v>
      </c>
      <c r="T60" s="407"/>
      <c r="U60" s="414">
        <f t="shared" si="0"/>
        <v>0</v>
      </c>
      <c r="V60" s="415">
        <f t="shared" si="12"/>
        <v>0</v>
      </c>
      <c r="W60" s="414">
        <f t="shared" si="1"/>
        <v>0</v>
      </c>
      <c r="X60" s="415">
        <f t="shared" si="13"/>
        <v>0</v>
      </c>
      <c r="Y60" s="717">
        <f t="shared" si="14"/>
        <v>0</v>
      </c>
      <c r="Z60" s="718">
        <f t="shared" si="15"/>
        <v>0</v>
      </c>
      <c r="AA60" s="407"/>
      <c r="AB60" s="414">
        <f t="shared" si="23"/>
        <v>39918</v>
      </c>
      <c r="AC60" s="415">
        <f t="shared" si="16"/>
        <v>8.3999999999999995E-3</v>
      </c>
      <c r="AD60" s="414">
        <f t="shared" si="24"/>
        <v>22</v>
      </c>
      <c r="AE60" s="415">
        <f t="shared" si="17"/>
        <v>4.3E-3</v>
      </c>
      <c r="AF60" s="407"/>
      <c r="AG60" s="414">
        <f t="shared" si="25"/>
        <v>39940</v>
      </c>
      <c r="AH60" s="415">
        <f t="shared" si="18"/>
        <v>4.3E-3</v>
      </c>
      <c r="AI60" s="414">
        <f t="shared" si="26"/>
        <v>39918</v>
      </c>
      <c r="AJ60" s="415">
        <f t="shared" si="19"/>
        <v>4.4000000000000003E-3</v>
      </c>
      <c r="AK60" s="414">
        <f t="shared" si="27"/>
        <v>12864</v>
      </c>
      <c r="AL60" s="415">
        <f t="shared" si="22"/>
        <v>5.3E-3</v>
      </c>
      <c r="AM60" s="416"/>
      <c r="AN60" s="414">
        <f t="shared" si="28"/>
        <v>39940</v>
      </c>
      <c r="AO60" s="415">
        <f t="shared" si="20"/>
        <v>2.5999999999999999E-3</v>
      </c>
      <c r="AP60" s="414">
        <f t="shared" si="29"/>
        <v>39918</v>
      </c>
      <c r="AQ60" s="415">
        <f t="shared" si="21"/>
        <v>2.5999999999999999E-3</v>
      </c>
      <c r="AU60" s="417"/>
      <c r="AV60" s="417"/>
      <c r="AW60" s="418"/>
      <c r="AX60" s="417"/>
      <c r="AY60" s="418"/>
      <c r="AZ60" s="417"/>
      <c r="BA60" s="418"/>
      <c r="BB60" s="417"/>
      <c r="BC60" s="418"/>
      <c r="BD60" s="417"/>
      <c r="BE60" s="417"/>
      <c r="BF60" s="417"/>
      <c r="BG60" s="417"/>
      <c r="BH60" s="403"/>
      <c r="BI60" s="404"/>
      <c r="BJ60" s="403"/>
      <c r="BK60" s="404"/>
      <c r="BL60" s="403"/>
    </row>
    <row r="61" spans="1:64" ht="15.5">
      <c r="B61" s="407"/>
      <c r="C61" s="422">
        <f>SUM(C3:C60)</f>
        <v>719990</v>
      </c>
      <c r="D61" s="422">
        <f t="shared" ref="D61:N61" si="30">SUM(D3:D60)</f>
        <v>35629</v>
      </c>
      <c r="E61" s="422">
        <f t="shared" si="30"/>
        <v>3410021</v>
      </c>
      <c r="F61" s="422">
        <f t="shared" si="30"/>
        <v>592532</v>
      </c>
      <c r="G61" s="422">
        <f t="shared" si="30"/>
        <v>43921</v>
      </c>
      <c r="H61" s="422">
        <f t="shared" si="30"/>
        <v>10689856</v>
      </c>
      <c r="I61" s="422">
        <f t="shared" si="30"/>
        <v>1068</v>
      </c>
      <c r="J61" s="422">
        <f t="shared" si="30"/>
        <v>14361</v>
      </c>
      <c r="K61" s="422">
        <f t="shared" si="30"/>
        <v>21589</v>
      </c>
      <c r="L61" s="422">
        <f t="shared" si="30"/>
        <v>576</v>
      </c>
      <c r="M61" s="422">
        <f t="shared" si="30"/>
        <v>130540</v>
      </c>
      <c r="N61" s="422">
        <f t="shared" si="30"/>
        <v>15660083</v>
      </c>
      <c r="O61" s="407"/>
      <c r="P61" s="423">
        <f t="shared" ref="P61:S61" si="31">SUM(P3:P60)</f>
        <v>4445115</v>
      </c>
      <c r="Q61" s="424">
        <f t="shared" si="31"/>
        <v>1</v>
      </c>
      <c r="R61" s="423">
        <f t="shared" si="31"/>
        <v>87851</v>
      </c>
      <c r="S61" s="424">
        <f t="shared" si="31"/>
        <v>1</v>
      </c>
      <c r="T61" s="407"/>
      <c r="U61" s="423">
        <f>SUM(U3:U60)</f>
        <v>6353843</v>
      </c>
      <c r="V61" s="424">
        <f>SUM(V3:V60)</f>
        <v>0.99999999999999989</v>
      </c>
      <c r="W61" s="423">
        <f>SUM(W3:W60)</f>
        <v>37251</v>
      </c>
      <c r="X61" s="424">
        <f>SUM(X3:X60)</f>
        <v>1.0000000000000002</v>
      </c>
      <c r="Y61" s="719">
        <f t="shared" ref="Y61:Z61" si="32">SUM(Y3:Y60)</f>
        <v>1583428</v>
      </c>
      <c r="Z61" s="720">
        <f t="shared" si="32"/>
        <v>0.99999999999999989</v>
      </c>
      <c r="AA61" s="407"/>
      <c r="AB61" s="423">
        <f t="shared" ref="AB61:AE61" si="33">SUM(AB3:AB60)</f>
        <v>4730585</v>
      </c>
      <c r="AC61" s="424">
        <f t="shared" si="33"/>
        <v>1.0000000000000002</v>
      </c>
      <c r="AD61" s="423">
        <f t="shared" si="33"/>
        <v>5066</v>
      </c>
      <c r="AE61" s="424">
        <f t="shared" si="33"/>
        <v>1</v>
      </c>
      <c r="AF61" s="407"/>
      <c r="AG61" s="423">
        <f>SUM(AG3:AG60)</f>
        <v>9268989</v>
      </c>
      <c r="AH61" s="424">
        <f>SUM(AH3:AH60)</f>
        <v>1</v>
      </c>
      <c r="AI61" s="423">
        <f>SUM(AI3:AI60)</f>
        <v>9175700</v>
      </c>
      <c r="AJ61" s="424">
        <f>SUM(AJ3:AJ60)</f>
        <v>0.99999999999999989</v>
      </c>
      <c r="AK61" s="423">
        <f t="shared" ref="AK61:AL61" si="34">SUM(AK3:AK60)</f>
        <v>2419125</v>
      </c>
      <c r="AL61" s="424">
        <f t="shared" si="34"/>
        <v>1</v>
      </c>
      <c r="AM61" s="407"/>
      <c r="AN61" s="423">
        <f>SUM(AN3:AN60)</f>
        <v>15660083</v>
      </c>
      <c r="AO61" s="424">
        <f>SUM(AO3:AO60)</f>
        <v>0.99999999999999978</v>
      </c>
      <c r="AP61" s="423">
        <f>SUM(AP3:AP60)</f>
        <v>15529543</v>
      </c>
      <c r="AQ61" s="424">
        <f>SUM(AQ3:AQ60)</f>
        <v>0.99999999999999989</v>
      </c>
    </row>
    <row r="62" spans="1:64">
      <c r="B62" s="407"/>
      <c r="C62" s="425">
        <f>ROUND(C61/$N$61,4)</f>
        <v>4.5999999999999999E-2</v>
      </c>
      <c r="D62" s="425">
        <f t="shared" ref="D62:M62" si="35">ROUND(D61/$N$61,4)</f>
        <v>2.3E-3</v>
      </c>
      <c r="E62" s="425">
        <f t="shared" si="35"/>
        <v>0.21779999999999999</v>
      </c>
      <c r="F62" s="426">
        <f>ROUNDDOWN(F61/$N$61,4)</f>
        <v>3.78E-2</v>
      </c>
      <c r="G62" s="425">
        <f t="shared" si="35"/>
        <v>2.8E-3</v>
      </c>
      <c r="H62" s="425">
        <f t="shared" si="35"/>
        <v>0.68259999999999998</v>
      </c>
      <c r="I62" s="425">
        <f t="shared" si="35"/>
        <v>1E-4</v>
      </c>
      <c r="J62" s="425">
        <f t="shared" si="35"/>
        <v>8.9999999999999998E-4</v>
      </c>
      <c r="K62" s="425">
        <f t="shared" si="35"/>
        <v>1.4E-3</v>
      </c>
      <c r="L62" s="425">
        <f t="shared" si="35"/>
        <v>0</v>
      </c>
      <c r="M62" s="425">
        <f t="shared" si="35"/>
        <v>8.3000000000000001E-3</v>
      </c>
      <c r="N62" s="425">
        <f>SUM(C62:M62)</f>
        <v>1</v>
      </c>
      <c r="O62" s="407"/>
      <c r="P62" s="407"/>
      <c r="Q62" s="407"/>
      <c r="R62" s="407"/>
      <c r="S62" s="407"/>
      <c r="T62" s="407"/>
      <c r="U62" s="407"/>
      <c r="V62" s="407"/>
      <c r="W62" s="407"/>
      <c r="X62" s="407"/>
      <c r="Y62" s="716"/>
      <c r="Z62" s="716"/>
      <c r="AA62" s="407"/>
      <c r="AB62" s="407"/>
      <c r="AC62" s="407"/>
      <c r="AD62" s="407"/>
      <c r="AE62" s="407"/>
      <c r="AF62" s="407"/>
      <c r="AG62" s="427"/>
      <c r="AH62" s="427"/>
      <c r="AI62" s="427"/>
      <c r="AJ62" s="427"/>
      <c r="AK62" s="407"/>
      <c r="AL62" s="407"/>
      <c r="AM62" s="407"/>
      <c r="AN62" s="407"/>
      <c r="AO62" s="407"/>
    </row>
    <row r="63" spans="1:64">
      <c r="B63" s="407"/>
      <c r="C63" s="407"/>
      <c r="D63" s="407"/>
      <c r="E63" s="1022">
        <f>E62+F62</f>
        <v>0.25559999999999999</v>
      </c>
      <c r="F63" s="1023"/>
      <c r="G63" s="407"/>
      <c r="H63" s="407"/>
      <c r="I63" s="407"/>
      <c r="J63" s="407"/>
      <c r="K63" s="407"/>
      <c r="L63" s="407"/>
      <c r="M63" s="407"/>
      <c r="N63" s="407"/>
      <c r="O63" s="407"/>
      <c r="P63" s="428">
        <v>4445115</v>
      </c>
      <c r="Q63" s="407"/>
      <c r="R63" s="428">
        <v>87851</v>
      </c>
      <c r="S63" s="407"/>
      <c r="T63" s="407"/>
      <c r="U63" s="428">
        <v>6353843</v>
      </c>
      <c r="V63" s="407"/>
      <c r="W63" s="428">
        <v>37251</v>
      </c>
      <c r="X63" s="407"/>
      <c r="Y63" s="721">
        <v>1583428</v>
      </c>
      <c r="Z63" s="716"/>
      <c r="AA63" s="407"/>
      <c r="AB63" s="428">
        <v>4730585</v>
      </c>
      <c r="AC63" s="407"/>
      <c r="AD63" s="428">
        <v>5066</v>
      </c>
      <c r="AE63" s="407"/>
      <c r="AF63" s="407"/>
      <c r="AG63" s="428">
        <v>9268989</v>
      </c>
      <c r="AH63" s="427"/>
      <c r="AI63" s="428">
        <v>9175700</v>
      </c>
      <c r="AJ63" s="427"/>
      <c r="AK63" s="428">
        <v>2419125</v>
      </c>
      <c r="AL63" s="407"/>
      <c r="AM63" s="407"/>
      <c r="AN63" s="428">
        <v>15660083</v>
      </c>
      <c r="AO63" s="407"/>
      <c r="AP63" s="428">
        <v>15529543</v>
      </c>
    </row>
    <row r="64" spans="1:64">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716"/>
      <c r="Z64" s="716"/>
      <c r="AA64" s="407"/>
      <c r="AB64" s="407"/>
      <c r="AC64" s="407"/>
      <c r="AD64" s="407"/>
      <c r="AE64" s="407"/>
      <c r="AF64" s="407"/>
      <c r="AG64" s="427"/>
      <c r="AH64" s="427"/>
      <c r="AI64" s="427"/>
      <c r="AJ64" s="427"/>
      <c r="AK64" s="407"/>
      <c r="AL64" s="407"/>
      <c r="AM64" s="407"/>
      <c r="AN64" s="407"/>
      <c r="AO64" s="407"/>
    </row>
    <row r="65" spans="1:41">
      <c r="B65" s="429" t="s">
        <v>200</v>
      </c>
      <c r="C65" s="405"/>
      <c r="D65" s="405"/>
      <c r="E65" s="405"/>
      <c r="F65" s="405"/>
      <c r="G65" s="405"/>
      <c r="H65" s="405"/>
      <c r="I65" s="405"/>
      <c r="J65" s="405"/>
      <c r="K65" s="405"/>
      <c r="L65" s="405"/>
      <c r="M65" s="405"/>
      <c r="N65" s="405"/>
      <c r="AB65" s="407"/>
      <c r="AC65" s="407"/>
      <c r="AD65" s="407"/>
      <c r="AE65" s="407"/>
      <c r="AF65" s="407"/>
      <c r="AG65" s="427"/>
      <c r="AH65" s="427"/>
      <c r="AI65" s="427"/>
      <c r="AJ65" s="427"/>
      <c r="AK65" s="407"/>
      <c r="AL65" s="407"/>
      <c r="AM65" s="407"/>
      <c r="AN65" s="407"/>
      <c r="AO65" s="407"/>
    </row>
    <row r="66" spans="1:41">
      <c r="C66" s="405"/>
      <c r="D66" s="405"/>
      <c r="E66" s="405"/>
      <c r="F66" s="405"/>
      <c r="G66" s="405"/>
      <c r="H66" s="405"/>
      <c r="I66" s="405"/>
      <c r="J66" s="405"/>
      <c r="K66" s="405"/>
      <c r="L66" s="405"/>
      <c r="M66" s="405"/>
      <c r="N66" s="405"/>
      <c r="AB66" s="407"/>
      <c r="AC66" s="407"/>
      <c r="AD66" s="407"/>
      <c r="AE66" s="407"/>
      <c r="AG66" s="430"/>
      <c r="AH66" s="430"/>
      <c r="AI66" s="430"/>
      <c r="AJ66" s="430"/>
      <c r="AN66" s="407"/>
      <c r="AO66" s="407"/>
    </row>
    <row r="67" spans="1:41">
      <c r="C67" s="405"/>
      <c r="D67" s="405"/>
      <c r="E67" s="405"/>
      <c r="F67" s="405"/>
      <c r="G67" s="405"/>
      <c r="H67" s="405"/>
      <c r="I67" s="405"/>
      <c r="J67" s="405"/>
      <c r="K67" s="405"/>
      <c r="L67" s="405"/>
      <c r="M67" s="405"/>
      <c r="N67" s="405"/>
      <c r="AB67" s="407"/>
      <c r="AC67" s="407"/>
      <c r="AD67" s="407"/>
      <c r="AE67" s="407"/>
      <c r="AN67" s="407"/>
      <c r="AO67" s="407"/>
    </row>
    <row r="68" spans="1:41">
      <c r="C68" s="405"/>
      <c r="D68" s="405"/>
      <c r="E68" s="405"/>
      <c r="F68" s="405"/>
      <c r="G68" s="405"/>
      <c r="H68" s="405"/>
      <c r="I68" s="405"/>
      <c r="J68" s="405"/>
      <c r="K68" s="405"/>
      <c r="L68" s="405"/>
      <c r="M68" s="405"/>
      <c r="N68" s="405"/>
      <c r="AB68" s="407"/>
      <c r="AC68" s="407"/>
      <c r="AD68" s="407"/>
      <c r="AE68" s="407"/>
      <c r="AN68" s="407"/>
      <c r="AO68" s="407"/>
    </row>
    <row r="69" spans="1:41">
      <c r="B69" s="431" t="s">
        <v>201</v>
      </c>
      <c r="C69" s="432">
        <v>719990</v>
      </c>
      <c r="D69" s="432">
        <v>35629</v>
      </c>
      <c r="E69" s="432">
        <v>3410021</v>
      </c>
      <c r="F69" s="432">
        <v>592532</v>
      </c>
      <c r="G69" s="432">
        <v>43921</v>
      </c>
      <c r="H69" s="432">
        <v>10689856</v>
      </c>
      <c r="I69" s="432">
        <v>1068</v>
      </c>
      <c r="J69" s="432">
        <v>14361</v>
      </c>
      <c r="K69" s="432">
        <v>21589</v>
      </c>
      <c r="L69" s="432">
        <v>576</v>
      </c>
      <c r="M69" s="432">
        <v>130540</v>
      </c>
      <c r="N69" s="432">
        <v>15660083</v>
      </c>
      <c r="AB69" s="433"/>
      <c r="AC69" s="407"/>
      <c r="AD69" s="407"/>
      <c r="AE69" s="407"/>
      <c r="AN69" s="407"/>
      <c r="AO69" s="407"/>
    </row>
    <row r="70" spans="1:41">
      <c r="B70" s="431" t="s">
        <v>202</v>
      </c>
      <c r="C70" s="434">
        <f>C61-C69</f>
        <v>0</v>
      </c>
      <c r="D70" s="434">
        <f t="shared" ref="D70:N70" si="36">D61-D69</f>
        <v>0</v>
      </c>
      <c r="E70" s="434">
        <f t="shared" si="36"/>
        <v>0</v>
      </c>
      <c r="F70" s="434">
        <f t="shared" si="36"/>
        <v>0</v>
      </c>
      <c r="G70" s="434">
        <f t="shared" si="36"/>
        <v>0</v>
      </c>
      <c r="H70" s="434">
        <f t="shared" si="36"/>
        <v>0</v>
      </c>
      <c r="I70" s="434">
        <f t="shared" si="36"/>
        <v>0</v>
      </c>
      <c r="J70" s="434">
        <f t="shared" si="36"/>
        <v>0</v>
      </c>
      <c r="K70" s="434">
        <f t="shared" si="36"/>
        <v>0</v>
      </c>
      <c r="L70" s="434">
        <f t="shared" si="36"/>
        <v>0</v>
      </c>
      <c r="M70" s="434">
        <f t="shared" si="36"/>
        <v>0</v>
      </c>
      <c r="N70" s="434">
        <f t="shared" si="36"/>
        <v>0</v>
      </c>
      <c r="AB70" s="407"/>
      <c r="AC70" s="407"/>
      <c r="AD70" s="407"/>
      <c r="AE70" s="407"/>
      <c r="AN70" s="407"/>
      <c r="AO70" s="407"/>
    </row>
    <row r="71" spans="1:41">
      <c r="C71" s="435"/>
      <c r="D71" s="435"/>
      <c r="E71" s="435"/>
      <c r="F71" s="435"/>
      <c r="G71" s="435"/>
      <c r="H71" s="435"/>
      <c r="I71" s="435"/>
      <c r="J71" s="435"/>
      <c r="K71" s="435"/>
      <c r="L71" s="435"/>
      <c r="M71" s="435"/>
      <c r="N71" s="435"/>
      <c r="AB71" s="407"/>
      <c r="AC71" s="407"/>
      <c r="AD71" s="407"/>
      <c r="AE71" s="407"/>
      <c r="AN71" s="407"/>
      <c r="AO71" s="407"/>
    </row>
    <row r="72" spans="1:41">
      <c r="B72" s="431" t="s">
        <v>201</v>
      </c>
      <c r="C72" s="436">
        <v>4.5999999999999999E-2</v>
      </c>
      <c r="D72" s="436">
        <v>2.3E-3</v>
      </c>
      <c r="E72" s="436">
        <v>0.25558951379759609</v>
      </c>
      <c r="F72" s="436"/>
      <c r="G72" s="436">
        <v>2.8E-3</v>
      </c>
      <c r="H72" s="436">
        <v>0.68259999999999998</v>
      </c>
      <c r="I72" s="436">
        <v>1E-4</v>
      </c>
      <c r="J72" s="436">
        <v>8.9999999999999998E-4</v>
      </c>
      <c r="K72" s="436">
        <v>1.4E-3</v>
      </c>
      <c r="L72" s="436">
        <v>0</v>
      </c>
      <c r="M72" s="436">
        <v>8.3000000000000001E-3</v>
      </c>
      <c r="N72" s="436">
        <v>0.99998951379759604</v>
      </c>
      <c r="AB72" s="407"/>
      <c r="AC72" s="407"/>
      <c r="AD72" s="407"/>
      <c r="AE72" s="407"/>
      <c r="AF72" s="407"/>
      <c r="AG72" s="407"/>
      <c r="AH72" s="407"/>
      <c r="AI72" s="407"/>
      <c r="AJ72" s="407"/>
      <c r="AK72" s="407"/>
      <c r="AL72" s="407"/>
      <c r="AM72" s="407"/>
      <c r="AN72" s="407"/>
      <c r="AO72" s="407"/>
    </row>
    <row r="73" spans="1:41">
      <c r="B73" s="431" t="s">
        <v>202</v>
      </c>
      <c r="C73" s="437">
        <f>C62-C72</f>
        <v>0</v>
      </c>
      <c r="D73" s="437">
        <f t="shared" ref="D73:N73" si="37">D62-D72</f>
        <v>0</v>
      </c>
      <c r="E73" s="437">
        <f>E63-E72</f>
        <v>1.0486202403903189E-5</v>
      </c>
      <c r="F73" s="437"/>
      <c r="G73" s="437">
        <f t="shared" si="37"/>
        <v>0</v>
      </c>
      <c r="H73" s="437">
        <f t="shared" si="37"/>
        <v>0</v>
      </c>
      <c r="I73" s="437">
        <f t="shared" si="37"/>
        <v>0</v>
      </c>
      <c r="J73" s="437">
        <f t="shared" si="37"/>
        <v>0</v>
      </c>
      <c r="K73" s="437">
        <f t="shared" si="37"/>
        <v>0</v>
      </c>
      <c r="L73" s="437">
        <f t="shared" si="37"/>
        <v>0</v>
      </c>
      <c r="M73" s="437">
        <f t="shared" si="37"/>
        <v>0</v>
      </c>
      <c r="N73" s="437">
        <f t="shared" si="37"/>
        <v>1.04862024039587E-5</v>
      </c>
      <c r="AB73" s="407"/>
      <c r="AC73" s="407"/>
      <c r="AD73" s="407"/>
      <c r="AE73" s="407"/>
      <c r="AF73" s="407"/>
      <c r="AG73" s="407"/>
      <c r="AH73" s="407"/>
      <c r="AI73" s="407"/>
      <c r="AJ73" s="407"/>
      <c r="AK73" s="407"/>
      <c r="AL73" s="407"/>
      <c r="AM73" s="407"/>
      <c r="AN73" s="407"/>
      <c r="AO73" s="407"/>
    </row>
    <row r="74" spans="1:41">
      <c r="C74" s="435"/>
      <c r="D74" s="435"/>
      <c r="E74" s="435"/>
      <c r="F74" s="435"/>
      <c r="G74" s="435"/>
      <c r="H74" s="435"/>
      <c r="I74" s="435"/>
      <c r="J74" s="435"/>
      <c r="K74" s="435"/>
      <c r="L74" s="435"/>
      <c r="M74" s="435"/>
      <c r="N74" s="435"/>
      <c r="AB74" s="407"/>
      <c r="AC74" s="407"/>
      <c r="AD74" s="407"/>
      <c r="AE74" s="407"/>
      <c r="AF74" s="407"/>
      <c r="AG74" s="407"/>
      <c r="AH74" s="407"/>
      <c r="AI74" s="407"/>
      <c r="AJ74" s="407"/>
      <c r="AK74" s="407"/>
      <c r="AL74" s="407"/>
      <c r="AM74" s="407"/>
      <c r="AN74" s="407"/>
      <c r="AO74" s="407"/>
    </row>
    <row r="75" spans="1:41">
      <c r="B75" s="407"/>
      <c r="C75" s="438"/>
      <c r="D75" s="438"/>
      <c r="E75" s="438"/>
      <c r="F75" s="438"/>
      <c r="G75" s="438"/>
      <c r="H75" s="438"/>
      <c r="I75" s="438"/>
      <c r="J75" s="438"/>
      <c r="K75" s="438"/>
      <c r="L75" s="438"/>
      <c r="M75" s="438"/>
      <c r="N75" s="438"/>
      <c r="O75" s="407"/>
      <c r="P75" s="407"/>
      <c r="Q75" s="407"/>
      <c r="R75" s="407"/>
      <c r="S75" s="407"/>
      <c r="T75" s="407"/>
      <c r="U75" s="407"/>
      <c r="V75" s="407"/>
      <c r="W75" s="407"/>
      <c r="X75" s="407"/>
      <c r="Y75" s="716"/>
      <c r="Z75" s="716"/>
      <c r="AA75" s="407"/>
      <c r="AB75" s="407"/>
      <c r="AC75" s="407"/>
      <c r="AD75" s="407"/>
      <c r="AE75" s="407"/>
      <c r="AF75" s="407"/>
      <c r="AG75" s="407"/>
      <c r="AH75" s="407"/>
      <c r="AI75" s="407"/>
      <c r="AJ75" s="407"/>
      <c r="AK75" s="407"/>
      <c r="AL75" s="407"/>
      <c r="AM75" s="407"/>
      <c r="AN75" s="407"/>
      <c r="AO75" s="407"/>
    </row>
    <row r="76" spans="1:41">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716"/>
      <c r="Z76" s="716"/>
      <c r="AA76" s="407"/>
      <c r="AB76" s="407"/>
      <c r="AC76" s="407"/>
      <c r="AD76" s="407"/>
      <c r="AE76" s="407"/>
      <c r="AF76" s="407"/>
      <c r="AG76" s="407"/>
      <c r="AH76" s="407"/>
      <c r="AI76" s="407"/>
      <c r="AJ76" s="407"/>
      <c r="AK76" s="407"/>
      <c r="AL76" s="407"/>
      <c r="AM76" s="407"/>
      <c r="AN76" s="407"/>
      <c r="AO76" s="407"/>
    </row>
    <row r="77" spans="1:41">
      <c r="B77" s="407"/>
      <c r="C77" s="407"/>
      <c r="D77" s="407"/>
      <c r="E77" s="407"/>
      <c r="F77" s="407"/>
      <c r="G77" s="407"/>
      <c r="H77" s="407"/>
      <c r="I77" s="407"/>
      <c r="J77" s="407"/>
      <c r="K77" s="407"/>
      <c r="L77" s="407"/>
      <c r="M77" s="407"/>
      <c r="N77" s="407"/>
      <c r="O77" s="407"/>
      <c r="P77" s="407"/>
      <c r="Q77" s="407"/>
      <c r="R77" s="407"/>
      <c r="S77" s="407"/>
      <c r="T77" s="407"/>
      <c r="U77" s="407"/>
      <c r="V77" s="407"/>
      <c r="W77" s="407"/>
      <c r="X77" s="407"/>
      <c r="Y77" s="716"/>
      <c r="Z77" s="716"/>
      <c r="AA77" s="407"/>
      <c r="AB77" s="407"/>
      <c r="AC77" s="407"/>
      <c r="AD77" s="407"/>
      <c r="AE77" s="407"/>
      <c r="AF77" s="407"/>
      <c r="AG77" s="407"/>
      <c r="AH77" s="407"/>
      <c r="AI77" s="407"/>
      <c r="AJ77" s="407"/>
      <c r="AK77" s="407"/>
      <c r="AL77" s="407"/>
      <c r="AM77" s="407"/>
      <c r="AN77" s="407"/>
      <c r="AO77" s="407"/>
    </row>
    <row r="78" spans="1:41">
      <c r="A78" s="439">
        <f>COUNTIF(A3:A60,"CA")</f>
        <v>40</v>
      </c>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716"/>
      <c r="Z78" s="716"/>
      <c r="AA78" s="407"/>
      <c r="AB78" s="407"/>
      <c r="AC78" s="407"/>
      <c r="AD78" s="407"/>
      <c r="AE78" s="407"/>
      <c r="AF78" s="407"/>
      <c r="AG78" s="407"/>
      <c r="AH78" s="407"/>
      <c r="AI78" s="407"/>
      <c r="AJ78" s="407"/>
      <c r="AK78" s="407"/>
      <c r="AL78" s="407"/>
      <c r="AM78" s="407"/>
      <c r="AN78" s="407"/>
      <c r="AO78" s="407"/>
    </row>
    <row r="79" spans="1:41">
      <c r="A79" s="439">
        <f>COUNTIF(A3:A60,"CW")</f>
        <v>18</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716"/>
      <c r="Z79" s="716"/>
      <c r="AA79" s="407"/>
      <c r="AB79" s="407"/>
      <c r="AC79" s="407"/>
      <c r="AD79" s="407"/>
      <c r="AE79" s="407"/>
      <c r="AF79" s="407"/>
      <c r="AG79" s="407"/>
      <c r="AH79" s="407"/>
      <c r="AI79" s="407"/>
      <c r="AJ79" s="407"/>
      <c r="AK79" s="407"/>
      <c r="AL79" s="407"/>
      <c r="AM79" s="407"/>
      <c r="AN79" s="407"/>
      <c r="AO79" s="407"/>
    </row>
    <row r="80" spans="1:41">
      <c r="B80" s="407"/>
      <c r="C80" s="407"/>
      <c r="D80" s="407"/>
      <c r="E80" s="407"/>
      <c r="F80" s="407"/>
      <c r="G80" s="407"/>
      <c r="H80" s="407"/>
      <c r="I80" s="407"/>
      <c r="J80" s="407"/>
      <c r="K80" s="407"/>
      <c r="L80" s="407"/>
      <c r="M80" s="407"/>
      <c r="N80" s="407"/>
      <c r="O80" s="407"/>
      <c r="P80" s="407"/>
      <c r="Q80" s="407"/>
      <c r="R80" s="407"/>
      <c r="S80" s="407"/>
      <c r="T80" s="407"/>
      <c r="U80" s="407"/>
      <c r="V80" s="407"/>
      <c r="W80" s="407"/>
      <c r="X80" s="407"/>
      <c r="Y80" s="716"/>
      <c r="Z80" s="716"/>
      <c r="AA80" s="407"/>
      <c r="AB80" s="407"/>
      <c r="AC80" s="407"/>
      <c r="AD80" s="407"/>
      <c r="AE80" s="407"/>
      <c r="AF80" s="407"/>
      <c r="AG80" s="407"/>
      <c r="AH80" s="407"/>
      <c r="AI80" s="407"/>
      <c r="AJ80" s="407"/>
      <c r="AK80" s="407"/>
      <c r="AL80" s="407"/>
      <c r="AM80" s="407"/>
      <c r="AN80" s="407"/>
      <c r="AO80" s="407"/>
    </row>
    <row r="81" spans="2:41">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716"/>
      <c r="Z81" s="716"/>
      <c r="AA81" s="407"/>
      <c r="AB81" s="407"/>
      <c r="AC81" s="407"/>
      <c r="AD81" s="407"/>
      <c r="AE81" s="407"/>
      <c r="AF81" s="407"/>
      <c r="AG81" s="407"/>
      <c r="AH81" s="407"/>
      <c r="AI81" s="407"/>
      <c r="AJ81" s="407"/>
      <c r="AK81" s="407"/>
      <c r="AL81" s="407"/>
      <c r="AM81" s="407"/>
      <c r="AN81" s="407"/>
      <c r="AO81" s="407"/>
    </row>
    <row r="82" spans="2:41">
      <c r="B82" s="407"/>
      <c r="C82" s="407"/>
      <c r="D82" s="407"/>
      <c r="E82" s="407"/>
      <c r="F82" s="407"/>
      <c r="G82" s="407"/>
      <c r="H82" s="407"/>
      <c r="I82" s="407"/>
      <c r="J82" s="407"/>
      <c r="K82" s="407"/>
      <c r="L82" s="407"/>
      <c r="M82" s="407"/>
      <c r="N82" s="407"/>
      <c r="O82" s="407"/>
      <c r="P82" s="407"/>
      <c r="Q82" s="407"/>
      <c r="R82" s="407"/>
      <c r="S82" s="407"/>
      <c r="T82" s="407"/>
      <c r="U82" s="407"/>
      <c r="V82" s="407"/>
      <c r="W82" s="407"/>
      <c r="X82" s="407"/>
      <c r="Y82" s="716"/>
      <c r="Z82" s="716"/>
      <c r="AA82" s="407"/>
      <c r="AB82" s="407"/>
      <c r="AC82" s="407"/>
      <c r="AD82" s="407"/>
      <c r="AE82" s="407"/>
      <c r="AF82" s="407"/>
      <c r="AG82" s="407"/>
      <c r="AH82" s="407"/>
      <c r="AI82" s="407"/>
      <c r="AJ82" s="407"/>
      <c r="AK82" s="407"/>
      <c r="AL82" s="407"/>
      <c r="AM82" s="407"/>
      <c r="AN82" s="407"/>
      <c r="AO82" s="407"/>
    </row>
  </sheetData>
  <mergeCells count="14">
    <mergeCell ref="E63:F63"/>
    <mergeCell ref="AD2:AE2"/>
    <mergeCell ref="AG2:AH2"/>
    <mergeCell ref="AI2:AJ2"/>
    <mergeCell ref="AK2:AL2"/>
    <mergeCell ref="Y2:Z2"/>
    <mergeCell ref="AN2:AO2"/>
    <mergeCell ref="AP2:AQ2"/>
    <mergeCell ref="E1:F1"/>
    <mergeCell ref="P2:Q2"/>
    <mergeCell ref="R2:S2"/>
    <mergeCell ref="U2:V2"/>
    <mergeCell ref="W2:X2"/>
    <mergeCell ref="AB2:AC2"/>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9"/>
  <sheetViews>
    <sheetView workbookViewId="0">
      <selection activeCell="B5" sqref="B5"/>
    </sheetView>
  </sheetViews>
  <sheetFormatPr defaultColWidth="8.7265625" defaultRowHeight="12.5"/>
  <cols>
    <col min="1" max="1" width="3.26953125" style="633" customWidth="1"/>
    <col min="2" max="2" width="17.26953125" style="633" customWidth="1"/>
    <col min="3" max="3" width="9" style="633" customWidth="1"/>
    <col min="4" max="4" width="8.7265625" style="633"/>
    <col min="5" max="5" width="8.26953125" style="633" customWidth="1"/>
    <col min="6" max="6" width="8.7265625" style="633"/>
    <col min="7" max="7" width="10.453125" style="633" customWidth="1"/>
    <col min="8" max="8" width="12.453125" style="633" customWidth="1"/>
    <col min="9" max="9" width="12" style="633" customWidth="1"/>
    <col min="10" max="10" width="10.26953125" style="633" customWidth="1"/>
    <col min="11" max="11" width="8.7265625" style="633"/>
    <col min="12" max="13" width="10.453125" style="633" customWidth="1"/>
    <col min="14" max="14" width="8.7265625" style="633" customWidth="1"/>
    <col min="15" max="15" width="8.7265625" style="633"/>
    <col min="16" max="16" width="9.26953125" style="633" customWidth="1"/>
    <col min="17" max="16384" width="8.7265625" style="633"/>
  </cols>
  <sheetData>
    <row r="1" spans="1:16">
      <c r="A1" s="633" t="s">
        <v>234</v>
      </c>
    </row>
    <row r="2" spans="1:16">
      <c r="O2" s="634"/>
    </row>
    <row r="3" spans="1:16">
      <c r="C3" s="635"/>
    </row>
    <row r="4" spans="1:16" ht="13" thickBot="1">
      <c r="B4" s="636" t="s">
        <v>235</v>
      </c>
      <c r="C4" s="636" t="s">
        <v>236</v>
      </c>
      <c r="D4" s="636" t="s">
        <v>237</v>
      </c>
      <c r="E4" s="636" t="s">
        <v>238</v>
      </c>
      <c r="F4" s="636" t="s">
        <v>239</v>
      </c>
      <c r="G4" s="636" t="s">
        <v>240</v>
      </c>
      <c r="H4" s="636" t="s">
        <v>241</v>
      </c>
      <c r="I4" s="636" t="s">
        <v>242</v>
      </c>
      <c r="J4" s="636" t="s">
        <v>243</v>
      </c>
      <c r="K4" s="636" t="s">
        <v>244</v>
      </c>
      <c r="L4" s="636" t="s">
        <v>245</v>
      </c>
      <c r="M4" s="636" t="s">
        <v>246</v>
      </c>
      <c r="N4" s="636"/>
      <c r="O4" s="636"/>
      <c r="P4" s="636"/>
    </row>
    <row r="5" spans="1:16">
      <c r="A5" s="636">
        <v>5</v>
      </c>
      <c r="B5" s="637"/>
      <c r="C5" s="638" t="s">
        <v>48</v>
      </c>
      <c r="D5" s="638" t="s">
        <v>138</v>
      </c>
      <c r="E5" s="638"/>
      <c r="F5" s="638" t="s">
        <v>247</v>
      </c>
      <c r="G5" s="638" t="s">
        <v>248</v>
      </c>
      <c r="H5" s="638" t="s">
        <v>248</v>
      </c>
      <c r="I5" s="638" t="s">
        <v>138</v>
      </c>
      <c r="J5" s="638" t="s">
        <v>48</v>
      </c>
      <c r="K5" s="638" t="s">
        <v>249</v>
      </c>
      <c r="L5" s="638" t="s">
        <v>250</v>
      </c>
      <c r="M5" s="638"/>
      <c r="N5" s="636"/>
      <c r="O5" s="636"/>
      <c r="P5" s="636"/>
    </row>
    <row r="6" spans="1:16" ht="13" thickBot="1">
      <c r="A6" s="636">
        <v>6</v>
      </c>
      <c r="B6" s="639" t="s">
        <v>44</v>
      </c>
      <c r="C6" s="639" t="s">
        <v>251</v>
      </c>
      <c r="D6" s="639" t="s">
        <v>251</v>
      </c>
      <c r="E6" s="639" t="s">
        <v>252</v>
      </c>
      <c r="F6" s="639" t="s">
        <v>253</v>
      </c>
      <c r="G6" s="639" t="s">
        <v>251</v>
      </c>
      <c r="H6" s="640" t="s">
        <v>254</v>
      </c>
      <c r="I6" s="639" t="s">
        <v>255</v>
      </c>
      <c r="J6" s="639" t="s">
        <v>256</v>
      </c>
      <c r="K6" s="639" t="s">
        <v>257</v>
      </c>
      <c r="L6" s="639" t="s">
        <v>257</v>
      </c>
      <c r="M6" s="639" t="s">
        <v>48</v>
      </c>
      <c r="N6" s="636"/>
      <c r="O6" s="636"/>
      <c r="P6" s="636"/>
    </row>
    <row r="7" spans="1:16">
      <c r="A7" s="636">
        <v>7</v>
      </c>
      <c r="B7" s="641" t="s">
        <v>258</v>
      </c>
      <c r="C7" s="642">
        <v>9.4240000000000004E-2</v>
      </c>
      <c r="D7" s="643">
        <v>0.14069999999999999</v>
      </c>
      <c r="E7" s="644">
        <f>1.22222/18</f>
        <v>6.790111111111112E-2</v>
      </c>
      <c r="F7" s="644">
        <f>ROUND(SUM(C7:E7)/3,4)</f>
        <v>0.1009</v>
      </c>
      <c r="G7" s="645">
        <v>9.2920519528360807E-2</v>
      </c>
      <c r="H7" s="644">
        <f t="shared" ref="H7:H24" si="0">ROUND(G7*0.9941,4)</f>
        <v>9.2399999999999996E-2</v>
      </c>
      <c r="I7" s="644">
        <f>ROUND(F7*0.0059,4)-0.0001</f>
        <v>4.999999999999999E-4</v>
      </c>
      <c r="J7" s="644">
        <f>ROUND(SUM(H7:I7),4)</f>
        <v>9.2899999999999996E-2</v>
      </c>
      <c r="K7" s="644">
        <v>5.4000000000000003E-3</v>
      </c>
      <c r="L7" s="644">
        <v>0.99460000000000004</v>
      </c>
      <c r="M7" s="644">
        <f>SUM(K7:L7)</f>
        <v>1</v>
      </c>
      <c r="N7" s="636"/>
      <c r="O7" s="636"/>
      <c r="P7" s="646"/>
    </row>
    <row r="8" spans="1:16">
      <c r="A8" s="636">
        <v>8</v>
      </c>
      <c r="B8" s="641" t="s">
        <v>259</v>
      </c>
      <c r="C8" s="647">
        <v>4.5539999999999997E-2</v>
      </c>
      <c r="D8" s="644">
        <v>3.1800000000000002E-2</v>
      </c>
      <c r="E8" s="644">
        <f>1.22222/18</f>
        <v>6.790111111111112E-2</v>
      </c>
      <c r="F8" s="644">
        <f>ROUND(SUM(C8:E8)/3,4)</f>
        <v>4.8399999999999999E-2</v>
      </c>
      <c r="G8" s="648">
        <v>4.5927358507761362E-2</v>
      </c>
      <c r="H8" s="644">
        <f t="shared" si="0"/>
        <v>4.5699999999999998E-2</v>
      </c>
      <c r="I8" s="644">
        <f t="shared" ref="I8:I24" si="1">ROUND(F8*0.0059,4)</f>
        <v>2.9999999999999997E-4</v>
      </c>
      <c r="J8" s="644">
        <f t="shared" ref="J8:J24" si="2">ROUND(SUM(H8:I8),4)</f>
        <v>4.5999999999999999E-2</v>
      </c>
      <c r="K8" s="644">
        <v>6.4999999999999997E-3</v>
      </c>
      <c r="L8" s="644">
        <v>0.99350000000000005</v>
      </c>
      <c r="M8" s="644">
        <f t="shared" ref="M8:M24" si="3">SUM(K8:L8)</f>
        <v>1</v>
      </c>
      <c r="N8" s="636"/>
      <c r="O8" s="636"/>
      <c r="P8" s="646"/>
    </row>
    <row r="9" spans="1:16">
      <c r="A9" s="636">
        <v>9</v>
      </c>
      <c r="B9" s="641" t="s">
        <v>260</v>
      </c>
      <c r="C9" s="647">
        <v>8.7220000000000006E-2</v>
      </c>
      <c r="D9" s="644">
        <v>3.6600000000000001E-2</v>
      </c>
      <c r="E9" s="644">
        <f>1.22222/18</f>
        <v>6.790111111111112E-2</v>
      </c>
      <c r="F9" s="644">
        <f t="shared" ref="F9:F23" si="4">ROUND(SUM(C9:E9)/3,4)</f>
        <v>6.3899999999999998E-2</v>
      </c>
      <c r="G9" s="648">
        <v>8.8658268795201875E-2</v>
      </c>
      <c r="H9" s="644">
        <f t="shared" si="0"/>
        <v>8.8099999999999998E-2</v>
      </c>
      <c r="I9" s="644">
        <f t="shared" si="1"/>
        <v>4.0000000000000002E-4</v>
      </c>
      <c r="J9" s="644">
        <f t="shared" si="2"/>
        <v>8.8499999999999995E-2</v>
      </c>
      <c r="K9" s="644">
        <v>4.4999999999999997E-3</v>
      </c>
      <c r="L9" s="644">
        <v>0.99550000000000005</v>
      </c>
      <c r="M9" s="644">
        <f t="shared" si="3"/>
        <v>1</v>
      </c>
      <c r="N9" s="636"/>
      <c r="O9" s="636"/>
      <c r="P9" s="646"/>
    </row>
    <row r="10" spans="1:16">
      <c r="A10" s="636">
        <v>10</v>
      </c>
      <c r="B10" s="641" t="s">
        <v>261</v>
      </c>
      <c r="C10" s="647">
        <v>0.12348000000000001</v>
      </c>
      <c r="D10" s="644">
        <v>2.1299999999999999E-2</v>
      </c>
      <c r="E10" s="644">
        <f>1.22222/18</f>
        <v>6.790111111111112E-2</v>
      </c>
      <c r="F10" s="644">
        <f>ROUND(SUM(C10:E10)/3,3)</f>
        <v>7.0999999999999994E-2</v>
      </c>
      <c r="G10" s="648">
        <v>0.1263872940223924</v>
      </c>
      <c r="H10" s="644">
        <f t="shared" si="0"/>
        <v>0.12559999999999999</v>
      </c>
      <c r="I10" s="644">
        <f t="shared" si="1"/>
        <v>4.0000000000000002E-4</v>
      </c>
      <c r="J10" s="644">
        <f t="shared" si="2"/>
        <v>0.126</v>
      </c>
      <c r="K10" s="644">
        <v>3.2000000000000002E-3</v>
      </c>
      <c r="L10" s="644">
        <v>0.99680000000000002</v>
      </c>
      <c r="M10" s="644">
        <f t="shared" si="3"/>
        <v>1</v>
      </c>
      <c r="N10" s="636"/>
      <c r="O10" s="636"/>
      <c r="P10" s="646"/>
    </row>
    <row r="11" spans="1:16">
      <c r="A11" s="636">
        <v>11</v>
      </c>
      <c r="B11" s="641" t="s">
        <v>262</v>
      </c>
      <c r="C11" s="647">
        <v>9.1500000000000001E-3</v>
      </c>
      <c r="D11" s="644">
        <v>1.2699999999999999E-2</v>
      </c>
      <c r="E11" s="644">
        <f>0.5/18</f>
        <v>2.7777777777777776E-2</v>
      </c>
      <c r="F11" s="644">
        <f t="shared" si="4"/>
        <v>1.6500000000000001E-2</v>
      </c>
      <c r="G11" s="648">
        <v>9.0502078362865949E-3</v>
      </c>
      <c r="H11" s="644">
        <f t="shared" si="0"/>
        <v>8.9999999999999993E-3</v>
      </c>
      <c r="I11" s="644">
        <f t="shared" si="1"/>
        <v>1E-4</v>
      </c>
      <c r="J11" s="644">
        <f t="shared" si="2"/>
        <v>9.1000000000000004E-3</v>
      </c>
      <c r="K11" s="644">
        <v>1.0999999999999999E-2</v>
      </c>
      <c r="L11" s="644">
        <v>0.98899999999999999</v>
      </c>
      <c r="M11" s="644">
        <f t="shared" si="3"/>
        <v>1</v>
      </c>
      <c r="N11" s="636"/>
      <c r="O11" s="636"/>
      <c r="P11" s="646"/>
    </row>
    <row r="12" spans="1:16">
      <c r="A12" s="636">
        <v>12</v>
      </c>
      <c r="B12" s="641" t="s">
        <v>263</v>
      </c>
      <c r="C12" s="647">
        <v>0.11123</v>
      </c>
      <c r="D12" s="644">
        <v>0.1699</v>
      </c>
      <c r="E12" s="644">
        <f>1.22222/18</f>
        <v>6.790111111111112E-2</v>
      </c>
      <c r="F12" s="644">
        <f t="shared" si="4"/>
        <v>0.1163</v>
      </c>
      <c r="G12" s="648">
        <v>0.10955893427423262</v>
      </c>
      <c r="H12" s="644">
        <f t="shared" si="0"/>
        <v>0.1089</v>
      </c>
      <c r="I12" s="644">
        <f t="shared" si="1"/>
        <v>6.9999999999999999E-4</v>
      </c>
      <c r="J12" s="644">
        <f t="shared" si="2"/>
        <v>0.1096</v>
      </c>
      <c r="K12" s="644">
        <v>6.4000000000000003E-3</v>
      </c>
      <c r="L12" s="644">
        <v>0.99360000000000004</v>
      </c>
      <c r="M12" s="644">
        <f t="shared" si="3"/>
        <v>1</v>
      </c>
      <c r="N12" s="636"/>
      <c r="O12" s="636"/>
      <c r="P12" s="646"/>
    </row>
    <row r="13" spans="1:16">
      <c r="A13" s="636">
        <v>13</v>
      </c>
      <c r="B13" s="641" t="s">
        <v>264</v>
      </c>
      <c r="C13" s="647">
        <v>0.15759999999999999</v>
      </c>
      <c r="D13" s="644">
        <v>4.9599999999999998E-2</v>
      </c>
      <c r="E13" s="644">
        <f>1.22222/18</f>
        <v>6.790111111111112E-2</v>
      </c>
      <c r="F13" s="644">
        <f t="shared" si="4"/>
        <v>9.1700000000000004E-2</v>
      </c>
      <c r="G13" s="648">
        <v>0.1606752448899518</v>
      </c>
      <c r="H13" s="644">
        <f t="shared" si="0"/>
        <v>0.15970000000000001</v>
      </c>
      <c r="I13" s="644">
        <f t="shared" si="1"/>
        <v>5.0000000000000001E-4</v>
      </c>
      <c r="J13" s="644">
        <f t="shared" si="2"/>
        <v>0.16020000000000001</v>
      </c>
      <c r="K13" s="644">
        <v>3.0999999999999999E-3</v>
      </c>
      <c r="L13" s="644">
        <v>0.99690000000000001</v>
      </c>
      <c r="M13" s="644">
        <f t="shared" si="3"/>
        <v>1</v>
      </c>
      <c r="N13" s="636"/>
      <c r="O13" s="636"/>
      <c r="P13" s="646"/>
    </row>
    <row r="14" spans="1:16">
      <c r="A14" s="636">
        <v>14</v>
      </c>
      <c r="B14" s="641" t="s">
        <v>265</v>
      </c>
      <c r="C14" s="647">
        <v>6.6989999999999994E-2</v>
      </c>
      <c r="D14" s="644">
        <v>0.38769999999999999</v>
      </c>
      <c r="E14" s="644">
        <f>1.22222/18</f>
        <v>6.790111111111112E-2</v>
      </c>
      <c r="F14" s="644">
        <f t="shared" si="4"/>
        <v>0.17419999999999999</v>
      </c>
      <c r="G14" s="648">
        <v>5.7876625924422997E-2</v>
      </c>
      <c r="H14" s="644">
        <f t="shared" si="0"/>
        <v>5.7500000000000002E-2</v>
      </c>
      <c r="I14" s="644">
        <f t="shared" si="1"/>
        <v>1E-3</v>
      </c>
      <c r="J14" s="644">
        <f t="shared" si="2"/>
        <v>5.8500000000000003E-2</v>
      </c>
      <c r="K14" s="644">
        <v>1.7100000000000001E-2</v>
      </c>
      <c r="L14" s="644">
        <v>0.9829</v>
      </c>
      <c r="M14" s="644">
        <f t="shared" si="3"/>
        <v>1</v>
      </c>
      <c r="N14" s="636"/>
      <c r="O14" s="636"/>
      <c r="P14" s="646"/>
    </row>
    <row r="15" spans="1:16">
      <c r="A15" s="636">
        <v>15</v>
      </c>
      <c r="B15" s="641" t="s">
        <v>266</v>
      </c>
      <c r="C15" s="647">
        <v>1.312E-2</v>
      </c>
      <c r="D15" s="644">
        <v>5.3E-3</v>
      </c>
      <c r="E15" s="644">
        <f>0.5/18</f>
        <v>2.7777777777777776E-2</v>
      </c>
      <c r="F15" s="644">
        <f t="shared" si="4"/>
        <v>1.54E-2</v>
      </c>
      <c r="G15" s="648">
        <v>1.3346034706213599E-2</v>
      </c>
      <c r="H15" s="644">
        <f t="shared" si="0"/>
        <v>1.3299999999999999E-2</v>
      </c>
      <c r="I15" s="644">
        <f t="shared" si="1"/>
        <v>1E-4</v>
      </c>
      <c r="J15" s="644">
        <f t="shared" si="2"/>
        <v>1.34E-2</v>
      </c>
      <c r="K15" s="644">
        <v>7.4999999999999997E-3</v>
      </c>
      <c r="L15" s="644">
        <v>0.99250000000000005</v>
      </c>
      <c r="M15" s="644">
        <f t="shared" si="3"/>
        <v>1</v>
      </c>
      <c r="N15" s="636"/>
      <c r="O15" s="636"/>
      <c r="P15" s="646"/>
    </row>
    <row r="16" spans="1:16">
      <c r="A16" s="636">
        <v>16</v>
      </c>
      <c r="B16" s="641" t="s">
        <v>267</v>
      </c>
      <c r="C16" s="647">
        <v>2.332E-2</v>
      </c>
      <c r="D16" s="644">
        <v>1.5299999999999999E-2</v>
      </c>
      <c r="E16" s="644">
        <f>1/18</f>
        <v>5.5555555555555552E-2</v>
      </c>
      <c r="F16" s="644">
        <f t="shared" si="4"/>
        <v>3.1399999999999997E-2</v>
      </c>
      <c r="G16" s="648">
        <v>2.3552220965515389E-2</v>
      </c>
      <c r="H16" s="644">
        <f t="shared" si="0"/>
        <v>2.3400000000000001E-2</v>
      </c>
      <c r="I16" s="644">
        <f t="shared" si="1"/>
        <v>2.0000000000000001E-4</v>
      </c>
      <c r="J16" s="644">
        <f t="shared" si="2"/>
        <v>2.3599999999999999E-2</v>
      </c>
      <c r="K16" s="644">
        <v>8.5000000000000006E-3</v>
      </c>
      <c r="L16" s="644">
        <v>0.99150000000000005</v>
      </c>
      <c r="M16" s="644">
        <f t="shared" si="3"/>
        <v>1</v>
      </c>
      <c r="N16" s="636"/>
      <c r="O16" s="636"/>
      <c r="P16" s="646"/>
    </row>
    <row r="17" spans="1:16">
      <c r="A17" s="636">
        <v>17</v>
      </c>
      <c r="B17" s="641" t="s">
        <v>268</v>
      </c>
      <c r="C17" s="647">
        <v>2.3949999999999999E-2</v>
      </c>
      <c r="D17" s="644">
        <v>1.7000000000000001E-2</v>
      </c>
      <c r="E17" s="644">
        <f>1/18</f>
        <v>5.5555555555555552E-2</v>
      </c>
      <c r="F17" s="644">
        <f t="shared" si="4"/>
        <v>3.2199999999999999E-2</v>
      </c>
      <c r="G17" s="648">
        <v>2.4147957563600397E-2</v>
      </c>
      <c r="H17" s="644">
        <f t="shared" si="0"/>
        <v>2.4E-2</v>
      </c>
      <c r="I17" s="644">
        <f t="shared" si="1"/>
        <v>2.0000000000000001E-4</v>
      </c>
      <c r="J17" s="644">
        <f t="shared" si="2"/>
        <v>2.4199999999999999E-2</v>
      </c>
      <c r="K17" s="644">
        <v>8.3000000000000001E-3</v>
      </c>
      <c r="L17" s="644">
        <v>0.99170000000000003</v>
      </c>
      <c r="M17" s="644">
        <f t="shared" si="3"/>
        <v>1</v>
      </c>
      <c r="N17" s="636"/>
      <c r="O17" s="636"/>
      <c r="P17" s="646"/>
    </row>
    <row r="18" spans="1:16">
      <c r="A18" s="636">
        <v>18</v>
      </c>
      <c r="B18" s="641" t="s">
        <v>269</v>
      </c>
      <c r="C18" s="647">
        <v>8.0180000000000001E-2</v>
      </c>
      <c r="D18" s="644">
        <v>6.3799999999999996E-2</v>
      </c>
      <c r="E18" s="644">
        <f>1.22222/18</f>
        <v>6.790111111111112E-2</v>
      </c>
      <c r="F18" s="644">
        <f t="shared" si="4"/>
        <v>7.0599999999999996E-2</v>
      </c>
      <c r="G18" s="648">
        <v>8.0646043244145524E-2</v>
      </c>
      <c r="H18" s="644">
        <f t="shared" si="0"/>
        <v>8.0199999999999994E-2</v>
      </c>
      <c r="I18" s="644">
        <f t="shared" si="1"/>
        <v>4.0000000000000002E-4</v>
      </c>
      <c r="J18" s="644">
        <f t="shared" si="2"/>
        <v>8.0600000000000005E-2</v>
      </c>
      <c r="K18" s="644">
        <v>5.0000000000000001E-3</v>
      </c>
      <c r="L18" s="644">
        <v>0.995</v>
      </c>
      <c r="M18" s="644">
        <f t="shared" si="3"/>
        <v>1</v>
      </c>
      <c r="N18" s="636"/>
      <c r="O18" s="636"/>
      <c r="P18" s="646"/>
    </row>
    <row r="19" spans="1:16">
      <c r="A19" s="636">
        <v>19</v>
      </c>
      <c r="B19" s="641" t="s">
        <v>270</v>
      </c>
      <c r="C19" s="647">
        <v>1.3339999999999999E-2</v>
      </c>
      <c r="D19" s="644">
        <v>5.5999999999999999E-3</v>
      </c>
      <c r="E19" s="644">
        <f>0.5/18</f>
        <v>2.7777777777777776E-2</v>
      </c>
      <c r="F19" s="644">
        <f t="shared" si="4"/>
        <v>1.5599999999999999E-2</v>
      </c>
      <c r="G19" s="648">
        <v>1.3560921981529287E-2</v>
      </c>
      <c r="H19" s="644">
        <f t="shared" si="0"/>
        <v>1.35E-2</v>
      </c>
      <c r="I19" s="644">
        <f t="shared" si="1"/>
        <v>1E-4</v>
      </c>
      <c r="J19" s="644">
        <f t="shared" si="2"/>
        <v>1.3599999999999999E-2</v>
      </c>
      <c r="K19" s="644">
        <v>7.4000000000000003E-3</v>
      </c>
      <c r="L19" s="644">
        <v>0.99260000000000004</v>
      </c>
      <c r="M19" s="644">
        <f t="shared" si="3"/>
        <v>1</v>
      </c>
      <c r="N19" s="636"/>
      <c r="O19" s="636"/>
      <c r="P19" s="646"/>
    </row>
    <row r="20" spans="1:16">
      <c r="A20" s="636">
        <v>20</v>
      </c>
      <c r="B20" s="641" t="s">
        <v>271</v>
      </c>
      <c r="C20" s="647">
        <v>2.5260000000000001E-2</v>
      </c>
      <c r="D20" s="644">
        <v>8.5000000000000006E-3</v>
      </c>
      <c r="E20" s="644">
        <f>1/18</f>
        <v>5.5555555555555552E-2</v>
      </c>
      <c r="F20" s="644">
        <f t="shared" si="4"/>
        <v>2.98E-2</v>
      </c>
      <c r="G20" s="648">
        <v>2.5733710537246969E-2</v>
      </c>
      <c r="H20" s="644">
        <f t="shared" si="0"/>
        <v>2.5600000000000001E-2</v>
      </c>
      <c r="I20" s="644">
        <f t="shared" si="1"/>
        <v>2.0000000000000001E-4</v>
      </c>
      <c r="J20" s="644">
        <f t="shared" si="2"/>
        <v>2.58E-2</v>
      </c>
      <c r="K20" s="644">
        <v>7.7999999999999996E-3</v>
      </c>
      <c r="L20" s="644">
        <v>0.99219999999999997</v>
      </c>
      <c r="M20" s="644">
        <f t="shared" si="3"/>
        <v>1</v>
      </c>
      <c r="N20" s="636"/>
      <c r="O20" s="636"/>
      <c r="P20" s="646"/>
    </row>
    <row r="21" spans="1:16">
      <c r="A21" s="636">
        <v>21</v>
      </c>
      <c r="B21" s="641" t="s">
        <v>272</v>
      </c>
      <c r="C21" s="647">
        <v>2.0740000000000001E-2</v>
      </c>
      <c r="D21" s="644">
        <v>7.1999999999999998E-3</v>
      </c>
      <c r="E21" s="644">
        <f>1/18</f>
        <v>5.5555555555555552E-2</v>
      </c>
      <c r="F21" s="644">
        <f t="shared" si="4"/>
        <v>2.7799999999999998E-2</v>
      </c>
      <c r="G21" s="648">
        <v>2.1124186618086793E-2</v>
      </c>
      <c r="H21" s="644">
        <f t="shared" si="0"/>
        <v>2.1000000000000001E-2</v>
      </c>
      <c r="I21" s="644">
        <f t="shared" si="1"/>
        <v>2.0000000000000001E-4</v>
      </c>
      <c r="J21" s="644">
        <f t="shared" si="2"/>
        <v>2.12E-2</v>
      </c>
      <c r="K21" s="644">
        <v>9.4000000000000004E-3</v>
      </c>
      <c r="L21" s="644">
        <v>0.99060000000000004</v>
      </c>
      <c r="M21" s="644">
        <f t="shared" si="3"/>
        <v>1</v>
      </c>
      <c r="N21" s="636"/>
      <c r="O21" s="636"/>
      <c r="P21" s="646"/>
    </row>
    <row r="22" spans="1:16">
      <c r="A22" s="636">
        <v>22</v>
      </c>
      <c r="B22" s="641" t="s">
        <v>273</v>
      </c>
      <c r="C22" s="647">
        <v>5.2679999999999998E-2</v>
      </c>
      <c r="D22" s="644">
        <v>1.4999999999999999E-2</v>
      </c>
      <c r="E22" s="644">
        <f>1.22222/18</f>
        <v>6.790111111111112E-2</v>
      </c>
      <c r="F22" s="644">
        <f t="shared" si="4"/>
        <v>4.5199999999999997E-2</v>
      </c>
      <c r="G22" s="648">
        <v>5.3756354283883361E-2</v>
      </c>
      <c r="H22" s="644">
        <f t="shared" si="0"/>
        <v>5.3400000000000003E-2</v>
      </c>
      <c r="I22" s="644">
        <f t="shared" si="1"/>
        <v>2.9999999999999997E-4</v>
      </c>
      <c r="J22" s="644">
        <f t="shared" si="2"/>
        <v>5.3699999999999998E-2</v>
      </c>
      <c r="K22" s="644">
        <v>5.5999999999999999E-3</v>
      </c>
      <c r="L22" s="644">
        <v>0.99439999999999995</v>
      </c>
      <c r="M22" s="644">
        <f t="shared" si="3"/>
        <v>1</v>
      </c>
      <c r="N22" s="636"/>
      <c r="O22" s="636"/>
      <c r="P22" s="646"/>
    </row>
    <row r="23" spans="1:16">
      <c r="A23" s="636">
        <v>23</v>
      </c>
      <c r="B23" s="641" t="s">
        <v>274</v>
      </c>
      <c r="C23" s="647">
        <v>4.0329999999999998E-2</v>
      </c>
      <c r="D23" s="644">
        <v>4.8999999999999998E-3</v>
      </c>
      <c r="E23" s="644">
        <f>1/18</f>
        <v>5.5555555555555552E-2</v>
      </c>
      <c r="F23" s="644">
        <f t="shared" si="4"/>
        <v>3.3599999999999998E-2</v>
      </c>
      <c r="G23" s="648">
        <v>4.1337020952468662E-2</v>
      </c>
      <c r="H23" s="644">
        <f t="shared" si="0"/>
        <v>4.1099999999999998E-2</v>
      </c>
      <c r="I23" s="644">
        <f t="shared" si="1"/>
        <v>2.0000000000000001E-4</v>
      </c>
      <c r="J23" s="644">
        <f t="shared" si="2"/>
        <v>4.1300000000000003E-2</v>
      </c>
      <c r="K23" s="644">
        <v>4.7999999999999996E-3</v>
      </c>
      <c r="L23" s="644">
        <v>0.99519999999999997</v>
      </c>
      <c r="M23" s="644">
        <f t="shared" si="3"/>
        <v>1</v>
      </c>
      <c r="N23" s="636"/>
      <c r="O23" s="636"/>
      <c r="P23" s="646"/>
    </row>
    <row r="24" spans="1:16" ht="13" thickBot="1">
      <c r="A24" s="636">
        <v>24</v>
      </c>
      <c r="B24" s="649" t="s">
        <v>275</v>
      </c>
      <c r="C24" s="650">
        <v>1.1610000000000001E-2</v>
      </c>
      <c r="D24" s="650">
        <v>7.1000000000000004E-3</v>
      </c>
      <c r="E24" s="650">
        <f>0.5/18</f>
        <v>2.7777777777777776E-2</v>
      </c>
      <c r="F24" s="650">
        <f>ROUND(SUM(C24:E24)/3,4)</f>
        <v>1.55E-2</v>
      </c>
      <c r="G24" s="650">
        <v>1.1741095368699557E-2</v>
      </c>
      <c r="H24" s="650">
        <f t="shared" si="0"/>
        <v>1.17E-2</v>
      </c>
      <c r="I24" s="650">
        <f t="shared" si="1"/>
        <v>1E-4</v>
      </c>
      <c r="J24" s="650">
        <f t="shared" si="2"/>
        <v>1.18E-2</v>
      </c>
      <c r="K24" s="650">
        <v>8.5000000000000006E-3</v>
      </c>
      <c r="L24" s="650">
        <v>0.99150000000000005</v>
      </c>
      <c r="M24" s="650">
        <f t="shared" si="3"/>
        <v>1</v>
      </c>
      <c r="N24" s="636"/>
      <c r="O24" s="636"/>
      <c r="P24" s="646"/>
    </row>
    <row r="25" spans="1:16">
      <c r="C25" s="635">
        <f t="shared" ref="C25:J25" si="5">SUM(C7:C24)</f>
        <v>0.99997999999999998</v>
      </c>
      <c r="D25" s="635">
        <f t="shared" si="5"/>
        <v>0.99999999999999989</v>
      </c>
      <c r="E25" s="635">
        <f t="shared" si="5"/>
        <v>0.9999988888888891</v>
      </c>
      <c r="F25" s="635">
        <f t="shared" si="5"/>
        <v>1</v>
      </c>
      <c r="G25" s="635">
        <f t="shared" si="5"/>
        <v>1</v>
      </c>
      <c r="H25" s="635">
        <f t="shared" si="5"/>
        <v>0.99409999999999987</v>
      </c>
      <c r="I25" s="635">
        <f t="shared" si="5"/>
        <v>5.899999999999999E-3</v>
      </c>
      <c r="J25" s="635">
        <f t="shared" si="5"/>
        <v>0.99999999999999989</v>
      </c>
      <c r="K25" s="635"/>
      <c r="L25" s="635"/>
      <c r="M25" s="635"/>
      <c r="N25" s="636"/>
      <c r="O25" s="636"/>
      <c r="P25" s="636"/>
    </row>
    <row r="26" spans="1:16">
      <c r="I26" s="651"/>
      <c r="K26" s="635"/>
      <c r="N26" s="636"/>
      <c r="O26" s="636"/>
      <c r="P26" s="636"/>
    </row>
    <row r="27" spans="1:16">
      <c r="H27" s="652"/>
      <c r="I27" s="652"/>
      <c r="N27" s="636"/>
      <c r="O27" s="636"/>
      <c r="P27" s="636"/>
    </row>
    <row r="28" spans="1:16" ht="14.5">
      <c r="D28" s="635"/>
      <c r="H28" s="635"/>
      <c r="I28" s="653"/>
      <c r="N28" s="636"/>
      <c r="O28" s="636"/>
      <c r="P28" s="636"/>
    </row>
    <row r="29" spans="1:16" ht="14.5">
      <c r="H29" s="653"/>
      <c r="I29" s="653"/>
    </row>
  </sheetData>
  <pageMargins left="0.45" right="0.2" top="1" bottom="1" header="0.5" footer="0.5"/>
  <pageSetup scale="96" orientation="landscape" r:id="rId1"/>
  <headerFooter alignWithMargins="0">
    <oddHeader>&amp;CCalWIN GA/GR Cost Sharing</oddHeader>
    <oddFooter>&amp;CEffective July 1,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75"/>
  <sheetViews>
    <sheetView showGridLines="0" zoomScale="90" zoomScaleNormal="90" workbookViewId="0">
      <pane xSplit="1" ySplit="6" topLeftCell="B7" activePane="bottomRight" state="frozen"/>
      <selection pane="topRight" activeCell="B1" sqref="B1"/>
      <selection pane="bottomLeft" activeCell="A7" sqref="A7"/>
      <selection pane="bottomRight" activeCell="BR71" sqref="BR71"/>
    </sheetView>
  </sheetViews>
  <sheetFormatPr defaultColWidth="9.1796875" defaultRowHeight="13"/>
  <cols>
    <col min="1" max="1" width="15.453125" style="1" customWidth="1"/>
    <col min="2" max="2" width="17.453125" style="1" customWidth="1"/>
    <col min="3" max="3" width="13.453125" style="1" customWidth="1"/>
    <col min="4" max="4" width="11.453125" style="1" customWidth="1"/>
    <col min="5" max="5" width="13.54296875" style="1" customWidth="1"/>
    <col min="6" max="6" width="11.1796875" style="1" bestFit="1" customWidth="1"/>
    <col min="7" max="7" width="14.1796875" style="5" customWidth="1"/>
    <col min="8" max="8" width="2.26953125" style="5" customWidth="1"/>
    <col min="9" max="9" width="1.7265625" style="27" customWidth="1"/>
    <col min="10" max="10" width="14.81640625" style="27" customWidth="1"/>
    <col min="11" max="14" width="14.1796875" style="27" customWidth="1"/>
    <col min="15" max="15" width="14.1796875" style="5" customWidth="1"/>
    <col min="16" max="16" width="3.7265625" style="29" customWidth="1"/>
    <col min="17" max="17" width="4" style="29" hidden="1" customWidth="1"/>
    <col min="18" max="18" width="15.453125" style="1" customWidth="1"/>
    <col min="19" max="19" width="14" style="1" customWidth="1"/>
    <col min="20" max="20" width="14.1796875" style="1" customWidth="1"/>
    <col min="21" max="21" width="3.81640625" style="27" customWidth="1"/>
    <col min="22" max="22" width="15.453125" style="1" customWidth="1"/>
    <col min="23" max="23" width="14.453125" style="1" bestFit="1" customWidth="1"/>
    <col min="24" max="31" width="14.453125" style="1" customWidth="1"/>
    <col min="32" max="33" width="14.1796875" style="1" customWidth="1"/>
    <col min="34" max="34" width="3.81640625" style="27" customWidth="1"/>
    <col min="35" max="35" width="5" style="5" customWidth="1"/>
    <col min="36" max="36" width="14.81640625" style="27" customWidth="1"/>
    <col min="37" max="40" width="14.1796875" style="27" customWidth="1"/>
    <col min="41" max="41" width="14.1796875" style="5" customWidth="1"/>
    <col min="42" max="42" width="3.7265625" style="29" customWidth="1"/>
    <col min="43" max="43" width="14.81640625" style="27" customWidth="1"/>
    <col min="44" max="47" width="14.1796875" style="27" customWidth="1"/>
    <col min="48" max="48" width="14.1796875" style="5" customWidth="1"/>
    <col min="49" max="49" width="3.7265625" style="29" customWidth="1"/>
    <col min="50" max="50" width="14.81640625" style="27" customWidth="1"/>
    <col min="51" max="54" width="14.1796875" style="27" customWidth="1"/>
    <col min="55" max="55" width="14.1796875" style="5" customWidth="1"/>
    <col min="56" max="56" width="3.7265625" style="29" customWidth="1"/>
    <col min="57" max="57" width="15.453125" style="1" customWidth="1"/>
    <col min="58" max="58" width="14" style="1" customWidth="1"/>
    <col min="59" max="59" width="14.1796875" style="1" customWidth="1"/>
    <col min="60" max="60" width="3.81640625" style="27" customWidth="1"/>
    <col min="61" max="62" width="14" style="1" bestFit="1" customWidth="1"/>
    <col min="63" max="69" width="14" style="1" customWidth="1"/>
    <col min="70" max="70" width="16.81640625" style="1" customWidth="1"/>
    <col min="71" max="71" width="11.54296875" style="1" bestFit="1" customWidth="1"/>
    <col min="72" max="16384" width="9.1796875" style="1"/>
  </cols>
  <sheetData>
    <row r="1" spans="1:72" s="83" customFormat="1" ht="15.5">
      <c r="A1" s="928" t="s">
        <v>301</v>
      </c>
      <c r="B1" s="928"/>
      <c r="C1" s="928"/>
      <c r="D1" s="928"/>
      <c r="E1" s="928"/>
      <c r="F1" s="928"/>
      <c r="G1" s="928"/>
      <c r="H1" s="740"/>
      <c r="J1" s="928" t="s">
        <v>301</v>
      </c>
      <c r="K1" s="928"/>
      <c r="L1" s="928"/>
      <c r="M1" s="928"/>
      <c r="N1" s="928"/>
      <c r="O1" s="928"/>
      <c r="P1" s="739"/>
      <c r="Q1" s="739"/>
      <c r="R1" s="928" t="s">
        <v>301</v>
      </c>
      <c r="S1" s="928"/>
      <c r="T1" s="928"/>
      <c r="V1" s="928" t="s">
        <v>301</v>
      </c>
      <c r="W1" s="928"/>
      <c r="X1" s="928"/>
      <c r="Y1" s="928"/>
      <c r="Z1" s="928"/>
      <c r="AA1" s="928"/>
      <c r="AB1" s="928"/>
      <c r="AC1" s="928"/>
      <c r="AD1" s="928"/>
      <c r="AE1" s="928"/>
      <c r="AF1" s="928"/>
      <c r="AG1" s="811"/>
      <c r="AI1" s="269"/>
      <c r="AJ1" s="928" t="s">
        <v>301</v>
      </c>
      <c r="AK1" s="928"/>
      <c r="AL1" s="928"/>
      <c r="AM1" s="928"/>
      <c r="AN1" s="928"/>
      <c r="AO1" s="928"/>
      <c r="AP1" s="84"/>
      <c r="AQ1" s="928" t="s">
        <v>301</v>
      </c>
      <c r="AR1" s="928"/>
      <c r="AS1" s="928"/>
      <c r="AT1" s="928"/>
      <c r="AU1" s="928"/>
      <c r="AV1" s="928"/>
      <c r="AW1" s="84"/>
      <c r="AX1" s="928" t="s">
        <v>301</v>
      </c>
      <c r="AY1" s="928"/>
      <c r="AZ1" s="928"/>
      <c r="BA1" s="928"/>
      <c r="BB1" s="928"/>
      <c r="BC1" s="928"/>
      <c r="BD1" s="84"/>
      <c r="BE1" s="928" t="s">
        <v>301</v>
      </c>
      <c r="BF1" s="928"/>
      <c r="BG1" s="928"/>
    </row>
    <row r="2" spans="1:72">
      <c r="H2" s="452"/>
      <c r="I2" s="29"/>
      <c r="J2" s="29"/>
      <c r="K2" s="29"/>
      <c r="L2" s="29"/>
      <c r="M2" s="29"/>
      <c r="N2" s="29"/>
      <c r="AJ2" s="29"/>
      <c r="AK2" s="29"/>
      <c r="AL2" s="29"/>
      <c r="AM2" s="29"/>
      <c r="AN2" s="29"/>
      <c r="AQ2" s="29"/>
      <c r="AR2" s="29"/>
      <c r="AS2" s="29"/>
      <c r="AT2" s="29"/>
      <c r="AU2" s="29"/>
      <c r="AX2" s="29"/>
      <c r="AY2" s="29"/>
      <c r="AZ2" s="29"/>
      <c r="BA2" s="29"/>
      <c r="BB2" s="29"/>
    </row>
    <row r="3" spans="1:72" ht="12.75" customHeight="1">
      <c r="A3" s="931" t="s">
        <v>55</v>
      </c>
      <c r="B3" s="932"/>
      <c r="C3" s="932"/>
      <c r="D3" s="932"/>
      <c r="E3" s="932"/>
      <c r="F3" s="932"/>
      <c r="G3" s="933"/>
      <c r="H3" s="260"/>
      <c r="I3" s="82"/>
      <c r="J3" s="934" t="s">
        <v>284</v>
      </c>
      <c r="K3" s="935"/>
      <c r="L3" s="935"/>
      <c r="M3" s="935"/>
      <c r="N3" s="935"/>
      <c r="O3" s="936"/>
      <c r="P3" s="82"/>
      <c r="Q3" s="82"/>
      <c r="R3" s="929" t="s">
        <v>54</v>
      </c>
      <c r="S3" s="930"/>
      <c r="T3" s="930"/>
      <c r="U3" s="82"/>
      <c r="V3" s="929" t="s">
        <v>172</v>
      </c>
      <c r="W3" s="930"/>
      <c r="X3" s="930"/>
      <c r="Y3" s="930"/>
      <c r="Z3" s="930"/>
      <c r="AA3" s="930"/>
      <c r="AB3" s="930"/>
      <c r="AC3" s="930"/>
      <c r="AD3" s="930"/>
      <c r="AE3" s="930"/>
      <c r="AF3" s="930"/>
      <c r="AG3" s="817"/>
      <c r="AH3" s="82"/>
      <c r="AI3" s="81"/>
      <c r="AJ3" s="934" t="s">
        <v>233</v>
      </c>
      <c r="AK3" s="935"/>
      <c r="AL3" s="935"/>
      <c r="AM3" s="935"/>
      <c r="AN3" s="935"/>
      <c r="AO3" s="936"/>
      <c r="AP3" s="82"/>
      <c r="AQ3" s="934" t="s">
        <v>279</v>
      </c>
      <c r="AR3" s="935"/>
      <c r="AS3" s="935"/>
      <c r="AT3" s="935"/>
      <c r="AU3" s="935"/>
      <c r="AV3" s="936"/>
      <c r="AW3" s="82"/>
      <c r="AX3" s="934" t="s">
        <v>290</v>
      </c>
      <c r="AY3" s="935"/>
      <c r="AZ3" s="935"/>
      <c r="BA3" s="935"/>
      <c r="BB3" s="935"/>
      <c r="BC3" s="936"/>
      <c r="BD3" s="82"/>
      <c r="BE3" s="929" t="s">
        <v>283</v>
      </c>
      <c r="BF3" s="930"/>
      <c r="BG3" s="930"/>
      <c r="BH3" s="82"/>
      <c r="BI3" s="943" t="s">
        <v>315</v>
      </c>
      <c r="BJ3" s="944"/>
      <c r="BK3" s="944"/>
      <c r="BL3" s="944"/>
      <c r="BM3" s="944"/>
      <c r="BN3" s="944"/>
      <c r="BO3" s="944"/>
      <c r="BP3" s="944"/>
      <c r="BQ3" s="944"/>
      <c r="BR3" s="945"/>
    </row>
    <row r="4" spans="1:72" ht="12.75" customHeight="1">
      <c r="A4" s="937" t="s">
        <v>51</v>
      </c>
      <c r="B4" s="937" t="s">
        <v>220</v>
      </c>
      <c r="C4" s="74" t="s">
        <v>43</v>
      </c>
      <c r="D4" s="73" t="s">
        <v>42</v>
      </c>
      <c r="E4" s="940" t="s">
        <v>221</v>
      </c>
      <c r="F4" s="74" t="s">
        <v>138</v>
      </c>
      <c r="G4" s="80" t="s">
        <v>48</v>
      </c>
      <c r="H4" s="76"/>
      <c r="I4" s="76"/>
      <c r="J4" s="938" t="s">
        <v>52</v>
      </c>
      <c r="K4" s="938" t="s">
        <v>219</v>
      </c>
      <c r="L4" s="78" t="s">
        <v>43</v>
      </c>
      <c r="M4" s="79" t="s">
        <v>42</v>
      </c>
      <c r="N4" s="78" t="s">
        <v>138</v>
      </c>
      <c r="O4" s="77" t="s">
        <v>48</v>
      </c>
      <c r="P4" s="76"/>
      <c r="Q4" s="76"/>
      <c r="R4" s="946" t="s">
        <v>50</v>
      </c>
      <c r="S4" s="937" t="s">
        <v>281</v>
      </c>
      <c r="T4" s="73" t="s">
        <v>43</v>
      </c>
      <c r="U4" s="76"/>
      <c r="V4" s="946" t="s">
        <v>173</v>
      </c>
      <c r="W4" s="937" t="s">
        <v>218</v>
      </c>
      <c r="X4" s="813" t="s">
        <v>88</v>
      </c>
      <c r="Y4" s="813" t="s">
        <v>43</v>
      </c>
      <c r="Z4" s="813" t="s">
        <v>87</v>
      </c>
      <c r="AA4" s="813" t="s">
        <v>86</v>
      </c>
      <c r="AB4" s="813" t="s">
        <v>42</v>
      </c>
      <c r="AC4" s="813" t="s">
        <v>85</v>
      </c>
      <c r="AD4" s="813" t="s">
        <v>84</v>
      </c>
      <c r="AE4" s="813" t="s">
        <v>83</v>
      </c>
      <c r="AF4" s="73" t="s">
        <v>138</v>
      </c>
      <c r="AG4" s="73" t="s">
        <v>48</v>
      </c>
      <c r="AH4" s="76"/>
      <c r="AI4" s="76"/>
      <c r="AJ4" s="938" t="s">
        <v>280</v>
      </c>
      <c r="AK4" s="938" t="s">
        <v>282</v>
      </c>
      <c r="AL4" s="78" t="s">
        <v>43</v>
      </c>
      <c r="AM4" s="567" t="s">
        <v>42</v>
      </c>
      <c r="AN4" s="78" t="s">
        <v>138</v>
      </c>
      <c r="AO4" s="77" t="s">
        <v>48</v>
      </c>
      <c r="AP4" s="76"/>
      <c r="AQ4" s="938" t="s">
        <v>280</v>
      </c>
      <c r="AR4" s="938" t="s">
        <v>317</v>
      </c>
      <c r="AS4" s="78" t="s">
        <v>43</v>
      </c>
      <c r="AT4" s="568" t="s">
        <v>42</v>
      </c>
      <c r="AU4" s="78" t="s">
        <v>138</v>
      </c>
      <c r="AV4" s="77" t="s">
        <v>48</v>
      </c>
      <c r="AW4" s="76"/>
      <c r="AX4" s="938" t="s">
        <v>280</v>
      </c>
      <c r="AY4" s="938" t="s">
        <v>317</v>
      </c>
      <c r="AZ4" s="78" t="s">
        <v>43</v>
      </c>
      <c r="BA4" s="724" t="s">
        <v>42</v>
      </c>
      <c r="BB4" s="78" t="s">
        <v>138</v>
      </c>
      <c r="BC4" s="77" t="s">
        <v>48</v>
      </c>
      <c r="BD4" s="76"/>
      <c r="BE4" s="938" t="s">
        <v>280</v>
      </c>
      <c r="BF4" s="937" t="s">
        <v>281</v>
      </c>
      <c r="BG4" s="78" t="s">
        <v>43</v>
      </c>
      <c r="BH4" s="76"/>
      <c r="BI4" s="812" t="s">
        <v>88</v>
      </c>
      <c r="BJ4" s="75" t="s">
        <v>43</v>
      </c>
      <c r="BK4" s="812" t="s">
        <v>87</v>
      </c>
      <c r="BL4" s="812" t="s">
        <v>86</v>
      </c>
      <c r="BM4" s="812" t="s">
        <v>42</v>
      </c>
      <c r="BN4" s="812" t="s">
        <v>85</v>
      </c>
      <c r="BO4" s="812" t="s">
        <v>84</v>
      </c>
      <c r="BP4" s="812" t="s">
        <v>83</v>
      </c>
      <c r="BQ4" s="812" t="s">
        <v>138</v>
      </c>
      <c r="BR4" s="73" t="s">
        <v>48</v>
      </c>
    </row>
    <row r="5" spans="1:72" ht="12.75" customHeight="1">
      <c r="A5" s="938"/>
      <c r="B5" s="938"/>
      <c r="C5" s="69">
        <f>C6/G6</f>
        <v>0.95591910003269542</v>
      </c>
      <c r="D5" s="69">
        <f>D6/G6</f>
        <v>1.9466928230306421E-2</v>
      </c>
      <c r="E5" s="941"/>
      <c r="F5" s="69">
        <f>F6/G6</f>
        <v>2.4613971736998124E-2</v>
      </c>
      <c r="G5" s="71">
        <f>SUM(C5:F5)</f>
        <v>0.99999999999999989</v>
      </c>
      <c r="H5" s="72"/>
      <c r="I5" s="70"/>
      <c r="J5" s="938"/>
      <c r="K5" s="938"/>
      <c r="L5" s="69">
        <f ca="1">L6/O6</f>
        <v>0.63839567048585666</v>
      </c>
      <c r="M5" s="69">
        <f ca="1">M6/O6</f>
        <v>1.1897174039096878E-2</v>
      </c>
      <c r="N5" s="69">
        <f ca="1">N6/O6</f>
        <v>0.34970715547504638</v>
      </c>
      <c r="O5" s="71">
        <f t="shared" ref="O5:O25" ca="1" si="0">SUM(L5:N5)</f>
        <v>0.99999999999999989</v>
      </c>
      <c r="P5" s="72"/>
      <c r="Q5" s="72"/>
      <c r="R5" s="947"/>
      <c r="S5" s="948"/>
      <c r="T5" s="69">
        <v>1</v>
      </c>
      <c r="U5" s="72"/>
      <c r="V5" s="947"/>
      <c r="W5" s="948"/>
      <c r="X5" s="69">
        <v>0.05</v>
      </c>
      <c r="Y5" s="69">
        <v>0.05</v>
      </c>
      <c r="Z5" s="69">
        <v>0.05</v>
      </c>
      <c r="AA5" s="69">
        <v>0.05</v>
      </c>
      <c r="AB5" s="69">
        <v>0.05</v>
      </c>
      <c r="AC5" s="69">
        <v>0.05</v>
      </c>
      <c r="AD5" s="69">
        <v>0.05</v>
      </c>
      <c r="AE5" s="69">
        <v>0.05</v>
      </c>
      <c r="AF5" s="69">
        <v>1</v>
      </c>
      <c r="AG5" s="69">
        <f>AF5</f>
        <v>1</v>
      </c>
      <c r="AH5" s="72"/>
      <c r="AI5" s="70"/>
      <c r="AJ5" s="938"/>
      <c r="AK5" s="938"/>
      <c r="AL5" s="808">
        <v>0.85364698531501182</v>
      </c>
      <c r="AM5" s="808">
        <v>1.3096343958083723E-2</v>
      </c>
      <c r="AN5" s="808">
        <v>0.13325667072690442</v>
      </c>
      <c r="AO5" s="71">
        <v>0.99999999999999989</v>
      </c>
      <c r="AP5" s="82"/>
      <c r="AQ5" s="938"/>
      <c r="AR5" s="938"/>
      <c r="AS5" s="69">
        <f>AS6/AV6</f>
        <v>0.85364871151860389</v>
      </c>
      <c r="AT5" s="69">
        <f>AT6/AV6</f>
        <v>1.3094738275443394E-2</v>
      </c>
      <c r="AU5" s="69">
        <f>AU6/AV6</f>
        <v>0.13325655020595278</v>
      </c>
      <c r="AV5" s="71">
        <f t="shared" ref="AV5" si="1">SUM(AS5:AU5)</f>
        <v>1</v>
      </c>
      <c r="AW5" s="82"/>
      <c r="AX5" s="938"/>
      <c r="AY5" s="938"/>
      <c r="AZ5" s="808">
        <v>0.85367876466174319</v>
      </c>
      <c r="BA5" s="808">
        <v>1.3072153548438055E-2</v>
      </c>
      <c r="BB5" s="808">
        <v>0.13324908178981873</v>
      </c>
      <c r="BC5" s="71">
        <v>1</v>
      </c>
      <c r="BD5" s="82"/>
      <c r="BE5" s="938"/>
      <c r="BF5" s="948"/>
      <c r="BG5" s="69">
        <v>1</v>
      </c>
      <c r="BH5" s="72"/>
      <c r="BI5" s="69">
        <f t="shared" ref="BI5:BQ5" ca="1" si="2">BI6/$BR6</f>
        <v>2.9299764722986038E-2</v>
      </c>
      <c r="BJ5" s="69">
        <f t="shared" ca="1" si="2"/>
        <v>0.70600757634938527</v>
      </c>
      <c r="BK5" s="69">
        <f t="shared" ca="1" si="2"/>
        <v>2.3530061482611E-4</v>
      </c>
      <c r="BL5" s="69">
        <f t="shared" ca="1" si="2"/>
        <v>2.7356233566423332E-2</v>
      </c>
      <c r="BM5" s="69">
        <f t="shared" ca="1" si="2"/>
        <v>1.4659440711443327E-2</v>
      </c>
      <c r="BN5" s="69">
        <f t="shared" ca="1" si="2"/>
        <v>8.7323197076891374E-6</v>
      </c>
      <c r="BO5" s="69">
        <f t="shared" ca="1" si="2"/>
        <v>7.8354868728453881E-5</v>
      </c>
      <c r="BP5" s="69">
        <f t="shared" ca="1" si="2"/>
        <v>1.1328414755921044E-4</v>
      </c>
      <c r="BQ5" s="69">
        <f t="shared" ca="1" si="2"/>
        <v>0.22224131269894054</v>
      </c>
      <c r="BR5" s="69">
        <f ca="1">SUM(BI5:BQ5)</f>
        <v>0.99999999999999989</v>
      </c>
      <c r="BS5" s="68"/>
      <c r="BT5" s="68"/>
    </row>
    <row r="6" spans="1:72" ht="28.4" customHeight="1">
      <c r="A6" s="939"/>
      <c r="B6" s="939"/>
      <c r="C6" s="50">
        <f>'4th Q C-IV M&amp;O '!M32</f>
        <v>1055458</v>
      </c>
      <c r="D6" s="50">
        <f>'4th Q C-IV M&amp;O '!N32</f>
        <v>21494</v>
      </c>
      <c r="E6" s="942"/>
      <c r="F6" s="59">
        <f>'4th Q C-IV M&amp;O '!O32</f>
        <v>27177</v>
      </c>
      <c r="G6" s="67">
        <f>SUM(C6:F6)</f>
        <v>1104129</v>
      </c>
      <c r="H6" s="742"/>
      <c r="I6" s="275"/>
      <c r="J6" s="939"/>
      <c r="K6" s="939"/>
      <c r="L6" s="50">
        <f ca="1">'4th Q LRS M&amp;O'!L17</f>
        <v>710129</v>
      </c>
      <c r="M6" s="50">
        <f ca="1">'4th Q LRS M&amp;O'!M17</f>
        <v>13234</v>
      </c>
      <c r="N6" s="50">
        <f ca="1">'4th Q LRS M&amp;O'!N17</f>
        <v>389002</v>
      </c>
      <c r="O6" s="50">
        <f ca="1">SUM(L6:N6)</f>
        <v>1112365</v>
      </c>
      <c r="P6" s="14">
        <f ca="1">O6-O65</f>
        <v>0</v>
      </c>
      <c r="Q6" s="14"/>
      <c r="R6" s="947"/>
      <c r="S6" s="948"/>
      <c r="T6" s="18">
        <f>'4th Q CalACES ABAWD'!J10</f>
        <v>176540</v>
      </c>
      <c r="U6" s="47"/>
      <c r="V6" s="947"/>
      <c r="W6" s="948"/>
      <c r="X6" s="18">
        <f>'4th Q CalSAWS'!L144</f>
        <v>124147</v>
      </c>
      <c r="Y6" s="18">
        <f>'4th Q CalSAWS'!M144</f>
        <v>110816</v>
      </c>
      <c r="Z6" s="18">
        <f>'4th Q CalSAWS'!N144</f>
        <v>997</v>
      </c>
      <c r="AA6" s="18">
        <f>'4th Q CalSAWS'!O144</f>
        <v>115912</v>
      </c>
      <c r="AB6" s="18">
        <f>'4th Q CalSAWS'!P144</f>
        <v>13589</v>
      </c>
      <c r="AC6" s="18">
        <f>'4th Q CalSAWS'!Q144</f>
        <v>37</v>
      </c>
      <c r="AD6" s="18">
        <f>'4th Q CalSAWS'!R144</f>
        <v>332</v>
      </c>
      <c r="AE6" s="18">
        <f>'4th Q CalSAWS'!S144</f>
        <v>480</v>
      </c>
      <c r="AF6" s="18">
        <f>'4th Q CalSAWS'!T144</f>
        <v>385102</v>
      </c>
      <c r="AG6" s="18">
        <f>SUM(X6:AF6)</f>
        <v>751412</v>
      </c>
      <c r="AH6" s="47"/>
      <c r="AI6" s="14"/>
      <c r="AJ6" s="939"/>
      <c r="AK6" s="939"/>
      <c r="AL6" s="50">
        <f>'4th Q CalWIN M&amp;O'!M90</f>
        <v>573332</v>
      </c>
      <c r="AM6" s="50">
        <f>'4th Q CalWIN M&amp;O'!N90</f>
        <v>8796</v>
      </c>
      <c r="AN6" s="50">
        <f>'4th Q CalWIN M&amp;O'!O90</f>
        <v>89499</v>
      </c>
      <c r="AO6" s="50">
        <f>SUM(AL6:AN6)</f>
        <v>671627</v>
      </c>
      <c r="AP6" s="76"/>
      <c r="AQ6" s="939"/>
      <c r="AR6" s="939"/>
      <c r="AS6" s="50">
        <f>'4th Q CalWIN M&amp;O (County)'!M90</f>
        <v>300918</v>
      </c>
      <c r="AT6" s="50">
        <f>'4th Q CalWIN M&amp;O (County)'!N90</f>
        <v>4616</v>
      </c>
      <c r="AU6" s="50">
        <f>'4th Q CalWIN M&amp;O (County)'!O90</f>
        <v>46974</v>
      </c>
      <c r="AV6" s="50">
        <f>'4th Q CalWIN M&amp;O (County)'!P90</f>
        <v>352508</v>
      </c>
      <c r="AW6" s="76"/>
      <c r="AX6" s="939"/>
      <c r="AY6" s="939"/>
      <c r="AZ6" s="917">
        <f>'4th Q CalWIN QA'!M90</f>
        <v>25063</v>
      </c>
      <c r="BA6" s="917">
        <f>'4th Q CalWIN QA'!N90</f>
        <v>385</v>
      </c>
      <c r="BB6" s="917">
        <f>'4th Q CalWIN QA'!O90</f>
        <v>3912</v>
      </c>
      <c r="BC6" s="917">
        <f>'4th Q CalWIN QA'!P90</f>
        <v>29360</v>
      </c>
      <c r="BD6" s="76"/>
      <c r="BE6" s="939"/>
      <c r="BF6" s="948"/>
      <c r="BG6" s="18">
        <f>'4th Q CalWIN ABAWD'!L90</f>
        <v>39192</v>
      </c>
      <c r="BH6" s="47"/>
      <c r="BI6" s="59">
        <f>X6</f>
        <v>124147</v>
      </c>
      <c r="BJ6" s="50">
        <f ca="1">C6+L6+T6+Y6+AL6+AS6+AZ6+BG6</f>
        <v>2991448</v>
      </c>
      <c r="BK6" s="59">
        <f t="shared" ref="BK6:BP6" si="3">Z6</f>
        <v>997</v>
      </c>
      <c r="BL6" s="59">
        <f t="shared" si="3"/>
        <v>115912</v>
      </c>
      <c r="BM6" s="50">
        <f ca="1">D6+M6+AB6+AM6+AT6+BA6</f>
        <v>62114</v>
      </c>
      <c r="BN6" s="59">
        <f t="shared" si="3"/>
        <v>37</v>
      </c>
      <c r="BO6" s="59">
        <f t="shared" si="3"/>
        <v>332</v>
      </c>
      <c r="BP6" s="59">
        <f t="shared" si="3"/>
        <v>480</v>
      </c>
      <c r="BQ6" s="50">
        <f ca="1">F6+N6+AF6+AN6+AU6+BB6</f>
        <v>941666</v>
      </c>
      <c r="BR6" s="66">
        <f ca="1">SUM(BI6:BQ6)</f>
        <v>4237133</v>
      </c>
      <c r="BS6" s="14">
        <f ca="1">G6+O6+T6+AG6+AO6+AV6+BC6+BG6-BR6</f>
        <v>0</v>
      </c>
      <c r="BT6" s="9"/>
    </row>
    <row r="7" spans="1:72">
      <c r="A7" s="291" t="s">
        <v>171</v>
      </c>
      <c r="B7" s="288"/>
      <c r="C7" s="288"/>
      <c r="D7" s="296"/>
      <c r="E7" s="297"/>
      <c r="F7" s="296"/>
      <c r="G7" s="298"/>
      <c r="H7" s="742"/>
      <c r="I7" s="14"/>
      <c r="J7" s="288" t="s">
        <v>171</v>
      </c>
      <c r="K7" s="291"/>
      <c r="L7" s="288"/>
      <c r="M7" s="288"/>
      <c r="N7" s="296"/>
      <c r="O7" s="296"/>
      <c r="P7" s="14"/>
      <c r="Q7" s="14"/>
      <c r="R7" s="288" t="s">
        <v>171</v>
      </c>
      <c r="S7" s="287"/>
      <c r="T7" s="288"/>
      <c r="U7" s="283"/>
      <c r="V7" s="58" t="s">
        <v>171</v>
      </c>
      <c r="W7" s="64">
        <f>'58C SFY 17-18 Persons Count'!AO3</f>
        <v>3.1E-2</v>
      </c>
      <c r="X7" s="809">
        <f t="shared" ref="X7:AE22" si="4">ROUND(X$6*$W7,0)</f>
        <v>3849</v>
      </c>
      <c r="Y7" s="809">
        <f t="shared" si="4"/>
        <v>3435</v>
      </c>
      <c r="Z7" s="809">
        <f t="shared" si="4"/>
        <v>31</v>
      </c>
      <c r="AA7" s="280">
        <f>ROUND(AA$6*$W7,0)</f>
        <v>3593</v>
      </c>
      <c r="AB7" s="809">
        <f t="shared" si="4"/>
        <v>421</v>
      </c>
      <c r="AC7" s="809">
        <f t="shared" si="4"/>
        <v>1</v>
      </c>
      <c r="AD7" s="809">
        <f t="shared" si="4"/>
        <v>10</v>
      </c>
      <c r="AE7" s="809">
        <f t="shared" si="4"/>
        <v>15</v>
      </c>
      <c r="AF7" s="809">
        <f>ROUND(AF$6*$W7,0)</f>
        <v>11938</v>
      </c>
      <c r="AG7" s="279">
        <f t="shared" ref="AG7:AG64" si="5">SUM(X7:AF7)</f>
        <v>23293</v>
      </c>
      <c r="AH7" s="283"/>
      <c r="AI7" s="284"/>
      <c r="AJ7" s="19" t="s">
        <v>171</v>
      </c>
      <c r="AK7" s="61">
        <v>9.2899999999999996E-2</v>
      </c>
      <c r="AL7" s="916">
        <f>ROUND(AL$6*AK7,0)</f>
        <v>53263</v>
      </c>
      <c r="AM7" s="916">
        <f>ROUND(AM$6*AK7,0)</f>
        <v>817</v>
      </c>
      <c r="AN7" s="916">
        <f>ROUND(AN$6*AK7,0)</f>
        <v>8314</v>
      </c>
      <c r="AO7" s="50">
        <f>SUM(AL7:AN7)</f>
        <v>62394</v>
      </c>
      <c r="AP7" s="82"/>
      <c r="AQ7" s="19" t="s">
        <v>171</v>
      </c>
      <c r="AR7" s="915">
        <f>SUMIF('4th Q CalWIN M&amp;O (County)'!$A$4:$A$82,'4th Q Co Share Calculations'!AQ7,'4th Q CalWIN M&amp;O (County)'!$J$4:$J$82)+2</f>
        <v>29610</v>
      </c>
      <c r="AS7" s="915">
        <f>ROUND($AR7*AS$5,0)-1</f>
        <v>25276</v>
      </c>
      <c r="AT7" s="65">
        <f>ROUND($AR7*AT$5,0)</f>
        <v>388</v>
      </c>
      <c r="AU7" s="65">
        <f>ROUND($AR7*AU$5,0)</f>
        <v>3946</v>
      </c>
      <c r="AV7" s="50">
        <f>SUM(AS7:AU7)</f>
        <v>29610</v>
      </c>
      <c r="AW7" s="82"/>
      <c r="AX7" s="19" t="s">
        <v>171</v>
      </c>
      <c r="AY7" s="725">
        <v>9.2899999999999996E-2</v>
      </c>
      <c r="AZ7" s="65">
        <f>ROUND(AZ$6*AY7,0)</f>
        <v>2328</v>
      </c>
      <c r="BA7" s="65">
        <f>ROUND(BA$6*AY7,0)</f>
        <v>36</v>
      </c>
      <c r="BB7" s="65">
        <f>ROUND(BB$6*AY7,0)</f>
        <v>363</v>
      </c>
      <c r="BC7" s="50">
        <f>SUM(AZ7:BB7)</f>
        <v>2727</v>
      </c>
      <c r="BD7" s="82"/>
      <c r="BE7" s="19" t="s">
        <v>171</v>
      </c>
      <c r="BF7" s="61">
        <v>6.4500000000000002E-2</v>
      </c>
      <c r="BG7" s="65">
        <f>ROUNDDOWN(BF7*BG$6,0)</f>
        <v>2527</v>
      </c>
      <c r="BH7" s="283"/>
      <c r="BI7" s="285">
        <f t="shared" ref="BI7:BI64" si="6">X7</f>
        <v>3849</v>
      </c>
      <c r="BJ7" s="285">
        <f t="shared" ref="BJ7:BJ64" si="7">C7+L7+T7+Y7+AL7+AS7+AZ7+BG7</f>
        <v>86829</v>
      </c>
      <c r="BK7" s="285">
        <f t="shared" ref="BK7:BK64" si="8">Z7</f>
        <v>31</v>
      </c>
      <c r="BL7" s="285">
        <f t="shared" ref="BL7:BL64" si="9">AA7</f>
        <v>3593</v>
      </c>
      <c r="BM7" s="285">
        <f t="shared" ref="BM7:BM64" si="10">D7+M7+AB7+AM7+AT7+BA7</f>
        <v>1662</v>
      </c>
      <c r="BN7" s="285">
        <f t="shared" ref="BN7:BN64" si="11">AC7</f>
        <v>1</v>
      </c>
      <c r="BO7" s="285">
        <f t="shared" ref="BO7:BO64" si="12">AD7</f>
        <v>10</v>
      </c>
      <c r="BP7" s="285">
        <f t="shared" ref="BP7:BP64" si="13">AE7</f>
        <v>15</v>
      </c>
      <c r="BQ7" s="285">
        <f t="shared" ref="BQ7:BQ64" si="14">F7+N7+AF7+AN7+AU7+BB7</f>
        <v>24561</v>
      </c>
      <c r="BR7" s="66">
        <f t="shared" ref="BR7:BR64" si="15">SUM(BI7:BQ7)</f>
        <v>120551</v>
      </c>
      <c r="BS7" s="14">
        <f t="shared" ref="BS7:BS65" si="16">G7++O7+T7+AG7+AO7+AV7+BC7+BG7-BR7</f>
        <v>0</v>
      </c>
      <c r="BT7" s="9"/>
    </row>
    <row r="8" spans="1:72">
      <c r="A8" s="65" t="s">
        <v>40</v>
      </c>
      <c r="B8" s="61">
        <f>'58C SFY 17-18 Persons Count'!AC4</f>
        <v>1E-4</v>
      </c>
      <c r="C8" s="21">
        <f>ROUND(C$6*$B8,0)</f>
        <v>106</v>
      </c>
      <c r="D8" s="21">
        <f>ROUND(D$6*$B8,0)</f>
        <v>2</v>
      </c>
      <c r="E8" s="63">
        <f>'58C SFY 17-18 Persons Count'!AE4</f>
        <v>0</v>
      </c>
      <c r="F8" s="21">
        <f>ROUND(F$6*$E8,0)</f>
        <v>0</v>
      </c>
      <c r="G8" s="62">
        <f>SUM(C8:D8,F8)</f>
        <v>108</v>
      </c>
      <c r="H8" s="193"/>
      <c r="I8" s="14"/>
      <c r="J8" s="288" t="s">
        <v>40</v>
      </c>
      <c r="K8" s="291"/>
      <c r="L8" s="288"/>
      <c r="M8" s="288"/>
      <c r="N8" s="288"/>
      <c r="O8" s="288"/>
      <c r="P8" s="14"/>
      <c r="Q8" s="14"/>
      <c r="R8" s="58" t="s">
        <v>40</v>
      </c>
      <c r="S8" s="64">
        <f>'58C SFY 17-18 Persons Count'!AL4</f>
        <v>1E-4</v>
      </c>
      <c r="T8" s="60">
        <f>ROUND(T$6*$S8,0)</f>
        <v>18</v>
      </c>
      <c r="U8" s="47"/>
      <c r="V8" s="58" t="s">
        <v>40</v>
      </c>
      <c r="W8" s="64">
        <f>'58C SFY 17-18 Persons Count'!AO4</f>
        <v>0</v>
      </c>
      <c r="X8" s="809">
        <f t="shared" si="4"/>
        <v>0</v>
      </c>
      <c r="Y8" s="809">
        <f t="shared" si="4"/>
        <v>0</v>
      </c>
      <c r="Z8" s="809">
        <f t="shared" si="4"/>
        <v>0</v>
      </c>
      <c r="AA8" s="280">
        <f t="shared" si="4"/>
        <v>0</v>
      </c>
      <c r="AB8" s="809">
        <f t="shared" si="4"/>
        <v>0</v>
      </c>
      <c r="AC8" s="809">
        <f t="shared" si="4"/>
        <v>0</v>
      </c>
      <c r="AD8" s="809">
        <f t="shared" si="4"/>
        <v>0</v>
      </c>
      <c r="AE8" s="809">
        <f t="shared" si="4"/>
        <v>0</v>
      </c>
      <c r="AF8" s="809">
        <f t="shared" ref="AF8:AF63" si="17">ROUND(AF$6*$W8,0)</f>
        <v>0</v>
      </c>
      <c r="AG8" s="279">
        <f t="shared" si="5"/>
        <v>0</v>
      </c>
      <c r="AH8" s="47"/>
      <c r="AI8" s="51"/>
      <c r="AJ8" s="288" t="s">
        <v>40</v>
      </c>
      <c r="AK8" s="291"/>
      <c r="AL8" s="288"/>
      <c r="AM8" s="288"/>
      <c r="AN8" s="288"/>
      <c r="AO8" s="288"/>
      <c r="AP8" s="14"/>
      <c r="AQ8" s="288" t="s">
        <v>40</v>
      </c>
      <c r="AR8" s="884"/>
      <c r="AS8" s="288"/>
      <c r="AT8" s="288"/>
      <c r="AU8" s="288"/>
      <c r="AV8" s="65"/>
      <c r="AW8" s="14"/>
      <c r="AX8" s="288" t="s">
        <v>40</v>
      </c>
      <c r="AY8" s="291"/>
      <c r="AZ8" s="288"/>
      <c r="BA8" s="288"/>
      <c r="BB8" s="288"/>
      <c r="BC8" s="288"/>
      <c r="BD8" s="14"/>
      <c r="BE8" s="288" t="s">
        <v>40</v>
      </c>
      <c r="BF8" s="291"/>
      <c r="BG8" s="288"/>
      <c r="BH8" s="47"/>
      <c r="BI8" s="285">
        <f t="shared" si="6"/>
        <v>0</v>
      </c>
      <c r="BJ8" s="285">
        <f t="shared" si="7"/>
        <v>124</v>
      </c>
      <c r="BK8" s="285">
        <f t="shared" si="8"/>
        <v>0</v>
      </c>
      <c r="BL8" s="285">
        <f t="shared" si="9"/>
        <v>0</v>
      </c>
      <c r="BM8" s="285">
        <f t="shared" si="10"/>
        <v>2</v>
      </c>
      <c r="BN8" s="285">
        <f t="shared" si="11"/>
        <v>0</v>
      </c>
      <c r="BO8" s="285">
        <f t="shared" si="12"/>
        <v>0</v>
      </c>
      <c r="BP8" s="285">
        <f t="shared" si="13"/>
        <v>0</v>
      </c>
      <c r="BQ8" s="285">
        <f t="shared" si="14"/>
        <v>0</v>
      </c>
      <c r="BR8" s="66">
        <f t="shared" si="15"/>
        <v>126</v>
      </c>
      <c r="BS8" s="14">
        <f t="shared" si="16"/>
        <v>0</v>
      </c>
      <c r="BT8" s="9"/>
    </row>
    <row r="9" spans="1:72">
      <c r="A9" s="65" t="s">
        <v>39</v>
      </c>
      <c r="B9" s="61">
        <f>'58C SFY 17-18 Persons Count'!AC5</f>
        <v>2.0999999999999999E-3</v>
      </c>
      <c r="C9" s="21">
        <f>ROUND(C$6*$B9,0)</f>
        <v>2216</v>
      </c>
      <c r="D9" s="21">
        <f t="shared" ref="C9:D23" si="18">ROUND(D$6*$B9,0)</f>
        <v>45</v>
      </c>
      <c r="E9" s="63">
        <f>'58C SFY 17-18 Persons Count'!AE5</f>
        <v>5.9999999999999995E-4</v>
      </c>
      <c r="F9" s="21">
        <f>ROUND(F$6*$E9,0)</f>
        <v>16</v>
      </c>
      <c r="G9" s="62">
        <f>SUM(C9:D9,F9)</f>
        <v>2277</v>
      </c>
      <c r="H9" s="193"/>
      <c r="I9" s="14"/>
      <c r="J9" s="288" t="s">
        <v>39</v>
      </c>
      <c r="K9" s="291"/>
      <c r="L9" s="288"/>
      <c r="M9" s="288"/>
      <c r="N9" s="288"/>
      <c r="O9" s="288"/>
      <c r="P9" s="14"/>
      <c r="Q9" s="14"/>
      <c r="R9" s="58" t="s">
        <v>39</v>
      </c>
      <c r="S9" s="64">
        <f>'58C SFY 17-18 Persons Count'!AL5</f>
        <v>1.1999999999999999E-3</v>
      </c>
      <c r="T9" s="60">
        <f>ROUND(T$6*$S9,0)</f>
        <v>212</v>
      </c>
      <c r="U9" s="47"/>
      <c r="V9" s="58" t="s">
        <v>39</v>
      </c>
      <c r="W9" s="64">
        <f>'58C SFY 17-18 Persons Count'!AO5</f>
        <v>5.9999999999999995E-4</v>
      </c>
      <c r="X9" s="60">
        <f t="shared" si="4"/>
        <v>74</v>
      </c>
      <c r="Y9" s="809">
        <f t="shared" si="4"/>
        <v>66</v>
      </c>
      <c r="Z9" s="809">
        <f t="shared" si="4"/>
        <v>1</v>
      </c>
      <c r="AA9" s="280">
        <f>ROUND(AA$6*$W9,0)</f>
        <v>70</v>
      </c>
      <c r="AB9" s="809">
        <f t="shared" si="4"/>
        <v>8</v>
      </c>
      <c r="AC9" s="397">
        <f t="shared" ref="AC9" si="19">ROUNDUP(AC$6*$W9,0)</f>
        <v>1</v>
      </c>
      <c r="AD9" s="809">
        <f>ROUND(AD$6*$W9,0)</f>
        <v>0</v>
      </c>
      <c r="AE9" s="280">
        <f>ROUND(AE$6*$W9,0)</f>
        <v>0</v>
      </c>
      <c r="AF9" s="60">
        <f t="shared" si="17"/>
        <v>231</v>
      </c>
      <c r="AG9" s="279">
        <f t="shared" si="5"/>
        <v>451</v>
      </c>
      <c r="AH9" s="47"/>
      <c r="AI9" s="51"/>
      <c r="AJ9" s="288" t="s">
        <v>39</v>
      </c>
      <c r="AK9" s="291"/>
      <c r="AL9" s="288"/>
      <c r="AM9" s="288"/>
      <c r="AN9" s="288"/>
      <c r="AO9" s="288"/>
      <c r="AP9" s="14"/>
      <c r="AQ9" s="288" t="s">
        <v>39</v>
      </c>
      <c r="AR9" s="884"/>
      <c r="AS9" s="288"/>
      <c r="AT9" s="288"/>
      <c r="AU9" s="288"/>
      <c r="AV9" s="288"/>
      <c r="AW9" s="14"/>
      <c r="AX9" s="288" t="s">
        <v>39</v>
      </c>
      <c r="AY9" s="291"/>
      <c r="AZ9" s="288"/>
      <c r="BA9" s="288"/>
      <c r="BB9" s="288"/>
      <c r="BC9" s="288"/>
      <c r="BD9" s="14"/>
      <c r="BE9" s="288" t="s">
        <v>39</v>
      </c>
      <c r="BF9" s="291"/>
      <c r="BG9" s="288"/>
      <c r="BH9" s="47"/>
      <c r="BI9" s="285">
        <f t="shared" si="6"/>
        <v>74</v>
      </c>
      <c r="BJ9" s="285">
        <f t="shared" si="7"/>
        <v>2494</v>
      </c>
      <c r="BK9" s="285">
        <f t="shared" si="8"/>
        <v>1</v>
      </c>
      <c r="BL9" s="285">
        <f t="shared" si="9"/>
        <v>70</v>
      </c>
      <c r="BM9" s="285">
        <f t="shared" si="10"/>
        <v>53</v>
      </c>
      <c r="BN9" s="285">
        <f t="shared" si="11"/>
        <v>1</v>
      </c>
      <c r="BO9" s="285">
        <f t="shared" si="12"/>
        <v>0</v>
      </c>
      <c r="BP9" s="285">
        <f t="shared" si="13"/>
        <v>0</v>
      </c>
      <c r="BQ9" s="285">
        <f t="shared" si="14"/>
        <v>247</v>
      </c>
      <c r="BR9" s="66">
        <f t="shared" si="15"/>
        <v>2940</v>
      </c>
      <c r="BS9" s="14">
        <f t="shared" si="16"/>
        <v>0</v>
      </c>
      <c r="BT9" s="9"/>
    </row>
    <row r="10" spans="1:72">
      <c r="A10" s="65" t="s">
        <v>38</v>
      </c>
      <c r="B10" s="61">
        <f>'58C SFY 17-18 Persons Count'!AC6</f>
        <v>2.0999999999999998E-2</v>
      </c>
      <c r="C10" s="21">
        <f>ROUND(C$6*$B10,0)</f>
        <v>22165</v>
      </c>
      <c r="D10" s="738">
        <f>ROUNDUP(D$6*$B10,0)</f>
        <v>452</v>
      </c>
      <c r="E10" s="63">
        <f>'58C SFY 17-18 Persons Count'!AE6</f>
        <v>8.8200000000000001E-2</v>
      </c>
      <c r="F10" s="21">
        <f>ROUND(F$6*$E10,0)</f>
        <v>2397</v>
      </c>
      <c r="G10" s="62">
        <f>SUM(C10:D10,F10)</f>
        <v>25014</v>
      </c>
      <c r="H10" s="193"/>
      <c r="I10" s="14"/>
      <c r="J10" s="288" t="s">
        <v>38</v>
      </c>
      <c r="K10" s="291"/>
      <c r="L10" s="288"/>
      <c r="M10" s="288"/>
      <c r="N10" s="288"/>
      <c r="O10" s="288"/>
      <c r="P10" s="14"/>
      <c r="Q10" s="14"/>
      <c r="R10" s="58" t="s">
        <v>38</v>
      </c>
      <c r="S10" s="64">
        <f>'58C SFY 17-18 Persons Count'!AL6</f>
        <v>1.2699999999999999E-2</v>
      </c>
      <c r="T10" s="60">
        <f>ROUND(T$6*$S10,0)</f>
        <v>2242</v>
      </c>
      <c r="U10" s="47"/>
      <c r="V10" s="58" t="s">
        <v>38</v>
      </c>
      <c r="W10" s="64">
        <f>'58C SFY 17-18 Persons Count'!AO6</f>
        <v>6.3E-3</v>
      </c>
      <c r="X10" s="809">
        <f t="shared" si="4"/>
        <v>782</v>
      </c>
      <c r="Y10" s="60">
        <f t="shared" si="4"/>
        <v>698</v>
      </c>
      <c r="Z10" s="809">
        <f>ROUND(Z$6*$W10,0)</f>
        <v>6</v>
      </c>
      <c r="AA10" s="280">
        <f t="shared" si="4"/>
        <v>730</v>
      </c>
      <c r="AB10" s="809">
        <f t="shared" si="4"/>
        <v>86</v>
      </c>
      <c r="AC10" s="809">
        <f t="shared" si="4"/>
        <v>0</v>
      </c>
      <c r="AD10" s="809">
        <f t="shared" si="4"/>
        <v>2</v>
      </c>
      <c r="AE10" s="280">
        <f t="shared" si="4"/>
        <v>3</v>
      </c>
      <c r="AF10" s="809">
        <f t="shared" si="17"/>
        <v>2426</v>
      </c>
      <c r="AG10" s="279">
        <f t="shared" si="5"/>
        <v>4733</v>
      </c>
      <c r="AH10" s="47"/>
      <c r="AI10" s="51"/>
      <c r="AJ10" s="288" t="s">
        <v>38</v>
      </c>
      <c r="AK10" s="291"/>
      <c r="AL10" s="288"/>
      <c r="AM10" s="288"/>
      <c r="AN10" s="288"/>
      <c r="AO10" s="288"/>
      <c r="AP10" s="14"/>
      <c r="AQ10" s="288" t="s">
        <v>38</v>
      </c>
      <c r="AR10" s="884"/>
      <c r="AS10" s="288"/>
      <c r="AT10" s="288"/>
      <c r="AU10" s="288"/>
      <c r="AV10" s="288"/>
      <c r="AW10" s="14"/>
      <c r="AX10" s="288" t="s">
        <v>38</v>
      </c>
      <c r="AY10" s="291"/>
      <c r="AZ10" s="288"/>
      <c r="BA10" s="288"/>
      <c r="BB10" s="288"/>
      <c r="BC10" s="288"/>
      <c r="BD10" s="14"/>
      <c r="BE10" s="288" t="s">
        <v>38</v>
      </c>
      <c r="BF10" s="291"/>
      <c r="BG10" s="288"/>
      <c r="BH10" s="47"/>
      <c r="BI10" s="285">
        <f t="shared" si="6"/>
        <v>782</v>
      </c>
      <c r="BJ10" s="285">
        <f t="shared" si="7"/>
        <v>25105</v>
      </c>
      <c r="BK10" s="285">
        <f t="shared" si="8"/>
        <v>6</v>
      </c>
      <c r="BL10" s="285">
        <f t="shared" si="9"/>
        <v>730</v>
      </c>
      <c r="BM10" s="285">
        <f t="shared" si="10"/>
        <v>538</v>
      </c>
      <c r="BN10" s="285">
        <f t="shared" si="11"/>
        <v>0</v>
      </c>
      <c r="BO10" s="285">
        <f t="shared" si="12"/>
        <v>2</v>
      </c>
      <c r="BP10" s="285">
        <f t="shared" si="13"/>
        <v>3</v>
      </c>
      <c r="BQ10" s="285">
        <f t="shared" si="14"/>
        <v>4823</v>
      </c>
      <c r="BR10" s="66">
        <f t="shared" si="15"/>
        <v>31989</v>
      </c>
      <c r="BS10" s="14">
        <f t="shared" si="16"/>
        <v>0</v>
      </c>
      <c r="BT10" s="9"/>
    </row>
    <row r="11" spans="1:72">
      <c r="A11" s="23" t="s">
        <v>37</v>
      </c>
      <c r="B11" s="61">
        <f>'58C SFY 17-18 Persons Count'!AC7</f>
        <v>3.3E-3</v>
      </c>
      <c r="C11" s="21">
        <f>ROUND(C$6*$B11,0)</f>
        <v>3483</v>
      </c>
      <c r="D11" s="21">
        <f t="shared" si="18"/>
        <v>71</v>
      </c>
      <c r="E11" s="63">
        <f>'58C SFY 17-18 Persons Count'!AE7</f>
        <v>4.1000000000000003E-3</v>
      </c>
      <c r="F11" s="21">
        <f>ROUND(F$6*$E11,0)</f>
        <v>111</v>
      </c>
      <c r="G11" s="62">
        <f>SUM(C11:D11,F11)</f>
        <v>3665</v>
      </c>
      <c r="H11" s="193"/>
      <c r="I11" s="14"/>
      <c r="J11" s="288" t="s">
        <v>37</v>
      </c>
      <c r="K11" s="291"/>
      <c r="L11" s="288"/>
      <c r="M11" s="288"/>
      <c r="N11" s="288"/>
      <c r="O11" s="288"/>
      <c r="P11" s="14"/>
      <c r="Q11" s="14"/>
      <c r="R11" s="58" t="s">
        <v>37</v>
      </c>
      <c r="S11" s="64">
        <f>'58C SFY 17-18 Persons Count'!AL7</f>
        <v>2.0999999999999999E-3</v>
      </c>
      <c r="T11" s="60">
        <f>ROUND(T$6*$S11,0)</f>
        <v>371</v>
      </c>
      <c r="U11" s="47"/>
      <c r="V11" s="58" t="s">
        <v>37</v>
      </c>
      <c r="W11" s="64">
        <f>'58C SFY 17-18 Persons Count'!AO7</f>
        <v>1E-3</v>
      </c>
      <c r="X11" s="809">
        <f t="shared" si="4"/>
        <v>124</v>
      </c>
      <c r="Y11" s="60">
        <f t="shared" si="4"/>
        <v>111</v>
      </c>
      <c r="Z11" s="809">
        <f t="shared" si="4"/>
        <v>1</v>
      </c>
      <c r="AA11" s="280">
        <f t="shared" si="4"/>
        <v>116</v>
      </c>
      <c r="AB11" s="809">
        <f t="shared" si="4"/>
        <v>14</v>
      </c>
      <c r="AC11" s="809">
        <f t="shared" si="4"/>
        <v>0</v>
      </c>
      <c r="AD11" s="809">
        <f t="shared" si="4"/>
        <v>0</v>
      </c>
      <c r="AE11" s="280">
        <f t="shared" si="4"/>
        <v>0</v>
      </c>
      <c r="AF11" s="809">
        <f t="shared" si="17"/>
        <v>385</v>
      </c>
      <c r="AG11" s="279">
        <f t="shared" si="5"/>
        <v>751</v>
      </c>
      <c r="AH11" s="47"/>
      <c r="AI11" s="51"/>
      <c r="AJ11" s="288" t="s">
        <v>37</v>
      </c>
      <c r="AK11" s="291"/>
      <c r="AL11" s="288"/>
      <c r="AM11" s="288"/>
      <c r="AN11" s="288"/>
      <c r="AO11" s="288"/>
      <c r="AP11" s="14"/>
      <c r="AQ11" s="288" t="s">
        <v>37</v>
      </c>
      <c r="AR11" s="884"/>
      <c r="AS11" s="288"/>
      <c r="AT11" s="288"/>
      <c r="AU11" s="288"/>
      <c r="AV11" s="288"/>
      <c r="AW11" s="14"/>
      <c r="AX11" s="288" t="s">
        <v>37</v>
      </c>
      <c r="AY11" s="291"/>
      <c r="AZ11" s="288"/>
      <c r="BA11" s="288"/>
      <c r="BB11" s="288"/>
      <c r="BC11" s="288"/>
      <c r="BD11" s="14"/>
      <c r="BE11" s="288" t="s">
        <v>37</v>
      </c>
      <c r="BF11" s="291"/>
      <c r="BG11" s="288"/>
      <c r="BH11" s="47"/>
      <c r="BI11" s="285">
        <f t="shared" si="6"/>
        <v>124</v>
      </c>
      <c r="BJ11" s="285">
        <f t="shared" si="7"/>
        <v>3965</v>
      </c>
      <c r="BK11" s="285">
        <f t="shared" si="8"/>
        <v>1</v>
      </c>
      <c r="BL11" s="285">
        <f t="shared" si="9"/>
        <v>116</v>
      </c>
      <c r="BM11" s="285">
        <f t="shared" si="10"/>
        <v>85</v>
      </c>
      <c r="BN11" s="285">
        <f t="shared" si="11"/>
        <v>0</v>
      </c>
      <c r="BO11" s="285">
        <f t="shared" si="12"/>
        <v>0</v>
      </c>
      <c r="BP11" s="285">
        <f t="shared" si="13"/>
        <v>0</v>
      </c>
      <c r="BQ11" s="285">
        <f t="shared" si="14"/>
        <v>496</v>
      </c>
      <c r="BR11" s="66">
        <f t="shared" si="15"/>
        <v>4787</v>
      </c>
      <c r="BS11" s="14">
        <f t="shared" si="16"/>
        <v>0</v>
      </c>
      <c r="BT11" s="9"/>
    </row>
    <row r="12" spans="1:72">
      <c r="A12" s="286" t="s">
        <v>36</v>
      </c>
      <c r="B12" s="61">
        <f>'58C SFY 17-18 Persons Count'!AC8</f>
        <v>2.0999999999999999E-3</v>
      </c>
      <c r="C12" s="21">
        <f>ROUND(C$6*$B12,0)</f>
        <v>2216</v>
      </c>
      <c r="D12" s="21">
        <f>ROUND(D$6*$B12,0)</f>
        <v>45</v>
      </c>
      <c r="E12" s="63">
        <f>'58C SFY 17-18 Persons Count'!AE8</f>
        <v>1.8E-3</v>
      </c>
      <c r="F12" s="21">
        <f>ROUND(F$6*$E12,0)</f>
        <v>49</v>
      </c>
      <c r="G12" s="62">
        <f>SUM(C12:D12,F12)</f>
        <v>2310</v>
      </c>
      <c r="H12" s="193"/>
      <c r="I12" s="14"/>
      <c r="J12" s="288" t="s">
        <v>36</v>
      </c>
      <c r="K12" s="291"/>
      <c r="L12" s="288"/>
      <c r="M12" s="288"/>
      <c r="N12" s="288"/>
      <c r="O12" s="288"/>
      <c r="P12" s="14"/>
      <c r="Q12" s="14"/>
      <c r="R12" s="58" t="s">
        <v>36</v>
      </c>
      <c r="S12" s="64">
        <f>'58C SFY 17-18 Persons Count'!AL8</f>
        <v>5.9999999999999995E-4</v>
      </c>
      <c r="T12" s="60">
        <f>ROUND(T$6*$S12,0)</f>
        <v>106</v>
      </c>
      <c r="U12" s="47"/>
      <c r="V12" s="58" t="s">
        <v>36</v>
      </c>
      <c r="W12" s="64">
        <f>'58C SFY 17-18 Persons Count'!AO8</f>
        <v>5.9999999999999995E-4</v>
      </c>
      <c r="X12" s="809">
        <f t="shared" si="4"/>
        <v>74</v>
      </c>
      <c r="Y12" s="60">
        <f t="shared" si="4"/>
        <v>66</v>
      </c>
      <c r="Z12" s="809">
        <f t="shared" si="4"/>
        <v>1</v>
      </c>
      <c r="AA12" s="809">
        <f t="shared" si="4"/>
        <v>70</v>
      </c>
      <c r="AB12" s="809">
        <f t="shared" si="4"/>
        <v>8</v>
      </c>
      <c r="AC12" s="809">
        <f t="shared" si="4"/>
        <v>0</v>
      </c>
      <c r="AD12" s="809">
        <f t="shared" si="4"/>
        <v>0</v>
      </c>
      <c r="AE12" s="280">
        <f t="shared" si="4"/>
        <v>0</v>
      </c>
      <c r="AF12" s="809">
        <f t="shared" si="17"/>
        <v>231</v>
      </c>
      <c r="AG12" s="279">
        <f t="shared" si="5"/>
        <v>450</v>
      </c>
      <c r="AH12" s="47"/>
      <c r="AI12" s="51"/>
      <c r="AJ12" s="288" t="s">
        <v>36</v>
      </c>
      <c r="AK12" s="291"/>
      <c r="AL12" s="288"/>
      <c r="AM12" s="288"/>
      <c r="AN12" s="288"/>
      <c r="AO12" s="288"/>
      <c r="AP12" s="14"/>
      <c r="AQ12" s="288" t="s">
        <v>36</v>
      </c>
      <c r="AR12" s="884"/>
      <c r="AS12" s="288"/>
      <c r="AT12" s="288"/>
      <c r="AU12" s="288"/>
      <c r="AV12" s="288"/>
      <c r="AW12" s="14"/>
      <c r="AX12" s="288" t="s">
        <v>36</v>
      </c>
      <c r="AY12" s="291"/>
      <c r="AZ12" s="288"/>
      <c r="BA12" s="288"/>
      <c r="BB12" s="288"/>
      <c r="BC12" s="288"/>
      <c r="BD12" s="14"/>
      <c r="BE12" s="288" t="s">
        <v>36</v>
      </c>
      <c r="BF12" s="291"/>
      <c r="BG12" s="288"/>
      <c r="BH12" s="47"/>
      <c r="BI12" s="285">
        <f t="shared" si="6"/>
        <v>74</v>
      </c>
      <c r="BJ12" s="285">
        <f t="shared" si="7"/>
        <v>2388</v>
      </c>
      <c r="BK12" s="285">
        <f t="shared" si="8"/>
        <v>1</v>
      </c>
      <c r="BL12" s="285">
        <f t="shared" si="9"/>
        <v>70</v>
      </c>
      <c r="BM12" s="285">
        <f t="shared" si="10"/>
        <v>53</v>
      </c>
      <c r="BN12" s="285">
        <f t="shared" si="11"/>
        <v>0</v>
      </c>
      <c r="BO12" s="285">
        <f t="shared" si="12"/>
        <v>0</v>
      </c>
      <c r="BP12" s="285">
        <f t="shared" si="13"/>
        <v>0</v>
      </c>
      <c r="BQ12" s="285">
        <f t="shared" si="14"/>
        <v>280</v>
      </c>
      <c r="BR12" s="66">
        <f t="shared" si="15"/>
        <v>2866</v>
      </c>
      <c r="BS12" s="14">
        <f t="shared" si="16"/>
        <v>0</v>
      </c>
      <c r="BT12" s="9"/>
    </row>
    <row r="13" spans="1:72">
      <c r="A13" s="292" t="s">
        <v>170</v>
      </c>
      <c r="B13" s="291"/>
      <c r="C13" s="292"/>
      <c r="D13" s="288"/>
      <c r="E13" s="293"/>
      <c r="F13" s="288"/>
      <c r="G13" s="294"/>
      <c r="H13" s="193"/>
      <c r="I13" s="14"/>
      <c r="J13" s="292" t="s">
        <v>170</v>
      </c>
      <c r="K13" s="291"/>
      <c r="L13" s="288"/>
      <c r="M13" s="288"/>
      <c r="N13" s="288"/>
      <c r="O13" s="288"/>
      <c r="P13" s="14"/>
      <c r="Q13" s="14"/>
      <c r="R13" s="292" t="s">
        <v>170</v>
      </c>
      <c r="S13" s="287"/>
      <c r="T13" s="289"/>
      <c r="U13" s="47"/>
      <c r="V13" s="58" t="s">
        <v>170</v>
      </c>
      <c r="W13" s="64">
        <f>'58C SFY 17-18 Persons Count'!AO9</f>
        <v>1.9E-2</v>
      </c>
      <c r="X13" s="809">
        <f t="shared" si="4"/>
        <v>2359</v>
      </c>
      <c r="Y13" s="60">
        <f t="shared" si="4"/>
        <v>2106</v>
      </c>
      <c r="Z13" s="809">
        <f t="shared" si="4"/>
        <v>19</v>
      </c>
      <c r="AA13" s="809">
        <f t="shared" si="4"/>
        <v>2202</v>
      </c>
      <c r="AB13" s="809">
        <f t="shared" si="4"/>
        <v>258</v>
      </c>
      <c r="AC13" s="809">
        <f t="shared" si="4"/>
        <v>1</v>
      </c>
      <c r="AD13" s="809">
        <f t="shared" si="4"/>
        <v>6</v>
      </c>
      <c r="AE13" s="280">
        <f t="shared" si="4"/>
        <v>9</v>
      </c>
      <c r="AF13" s="809">
        <f t="shared" si="17"/>
        <v>7317</v>
      </c>
      <c r="AG13" s="279">
        <f t="shared" si="5"/>
        <v>14277</v>
      </c>
      <c r="AH13" s="47"/>
      <c r="AI13" s="51"/>
      <c r="AJ13" s="279" t="s">
        <v>170</v>
      </c>
      <c r="AK13" s="61">
        <v>4.5999999999999999E-2</v>
      </c>
      <c r="AL13" s="65">
        <f>ROUND(AL$6*AK13,0)</f>
        <v>26373</v>
      </c>
      <c r="AM13" s="65">
        <f>ROUND(AM$6*AK13,0)</f>
        <v>405</v>
      </c>
      <c r="AN13" s="65">
        <f>ROUND(AN$6*AK13,0)</f>
        <v>4117</v>
      </c>
      <c r="AO13" s="50">
        <f>SUM(AL13:AN13)</f>
        <v>30895</v>
      </c>
      <c r="AP13" s="14"/>
      <c r="AQ13" s="279" t="s">
        <v>170</v>
      </c>
      <c r="AR13" s="914">
        <f>SUMIF('4th Q CalWIN M&amp;O (County)'!$A$4:$A$82,'4th Q Co Share Calculations'!AQ13,'4th Q CalWIN M&amp;O (County)'!$J$4:$J$82)+4</f>
        <v>26208</v>
      </c>
      <c r="AS13" s="915">
        <f>ROUND($AR13*AS$5,0)+1</f>
        <v>22373</v>
      </c>
      <c r="AT13" s="65">
        <f>ROUND($AR13*AT$5,0)</f>
        <v>343</v>
      </c>
      <c r="AU13" s="65">
        <f>ROUND($AR13*AU$5,0)</f>
        <v>3492</v>
      </c>
      <c r="AV13" s="50">
        <f>SUM(AS13:AU13)</f>
        <v>26208</v>
      </c>
      <c r="AW13" s="14"/>
      <c r="AX13" s="279" t="s">
        <v>170</v>
      </c>
      <c r="AY13" s="61">
        <v>4.5999999999999999E-2</v>
      </c>
      <c r="AZ13" s="65">
        <f>ROUND(AZ$6*AY13,0)</f>
        <v>1153</v>
      </c>
      <c r="BA13" s="65">
        <f>ROUND(BA$6*AY13,0)</f>
        <v>18</v>
      </c>
      <c r="BB13" s="65">
        <f>ROUND(BB$6*AY13,0)</f>
        <v>180</v>
      </c>
      <c r="BC13" s="50">
        <f>SUM(AZ13:BB13)</f>
        <v>1351</v>
      </c>
      <c r="BD13" s="14"/>
      <c r="BE13" s="279" t="s">
        <v>170</v>
      </c>
      <c r="BF13" s="61">
        <v>3.8600000000000002E-2</v>
      </c>
      <c r="BG13" s="65">
        <f>ROUND(BF13*BG$6,0)</f>
        <v>1513</v>
      </c>
      <c r="BH13" s="47"/>
      <c r="BI13" s="285">
        <f t="shared" si="6"/>
        <v>2359</v>
      </c>
      <c r="BJ13" s="285">
        <f t="shared" si="7"/>
        <v>53518</v>
      </c>
      <c r="BK13" s="285">
        <f t="shared" si="8"/>
        <v>19</v>
      </c>
      <c r="BL13" s="285">
        <f t="shared" si="9"/>
        <v>2202</v>
      </c>
      <c r="BM13" s="285">
        <f t="shared" si="10"/>
        <v>1024</v>
      </c>
      <c r="BN13" s="285">
        <f t="shared" si="11"/>
        <v>1</v>
      </c>
      <c r="BO13" s="285">
        <f t="shared" si="12"/>
        <v>6</v>
      </c>
      <c r="BP13" s="285">
        <f t="shared" si="13"/>
        <v>9</v>
      </c>
      <c r="BQ13" s="285">
        <f t="shared" si="14"/>
        <v>15106</v>
      </c>
      <c r="BR13" s="66">
        <f t="shared" si="15"/>
        <v>74244</v>
      </c>
      <c r="BS13" s="14">
        <f t="shared" si="16"/>
        <v>0</v>
      </c>
      <c r="BT13" s="9"/>
    </row>
    <row r="14" spans="1:72">
      <c r="A14" s="286" t="s">
        <v>35</v>
      </c>
      <c r="B14" s="61">
        <f>'58C SFY 17-18 Persons Count'!AC10</f>
        <v>3.0999999999999999E-3</v>
      </c>
      <c r="C14" s="21">
        <f t="shared" si="18"/>
        <v>3272</v>
      </c>
      <c r="D14" s="21">
        <f t="shared" si="18"/>
        <v>67</v>
      </c>
      <c r="E14" s="63">
        <f>'58C SFY 17-18 Persons Count'!AE10</f>
        <v>1E-3</v>
      </c>
      <c r="F14" s="21">
        <f>ROUND(F$6*$E14,0)</f>
        <v>27</v>
      </c>
      <c r="G14" s="62">
        <f>SUM(C14:D14,F14)</f>
        <v>3366</v>
      </c>
      <c r="H14" s="193"/>
      <c r="I14" s="14"/>
      <c r="J14" s="292" t="s">
        <v>35</v>
      </c>
      <c r="K14" s="291"/>
      <c r="L14" s="288"/>
      <c r="M14" s="288"/>
      <c r="N14" s="288"/>
      <c r="O14" s="288"/>
      <c r="P14" s="14"/>
      <c r="Q14" s="14"/>
      <c r="R14" s="58" t="s">
        <v>35</v>
      </c>
      <c r="S14" s="64">
        <f>'58C SFY 17-18 Persons Count'!AL10</f>
        <v>2.0999999999999999E-3</v>
      </c>
      <c r="T14" s="280">
        <f>ROUND(T$6*$S14,0)</f>
        <v>371</v>
      </c>
      <c r="U14" s="47"/>
      <c r="V14" s="58" t="s">
        <v>35</v>
      </c>
      <c r="W14" s="64">
        <f>'58C SFY 17-18 Persons Count'!AO10</f>
        <v>8.9999999999999998E-4</v>
      </c>
      <c r="X14" s="809">
        <f t="shared" si="4"/>
        <v>112</v>
      </c>
      <c r="Y14" s="60">
        <f t="shared" si="4"/>
        <v>100</v>
      </c>
      <c r="Z14" s="809">
        <f t="shared" si="4"/>
        <v>1</v>
      </c>
      <c r="AA14" s="809">
        <f t="shared" si="4"/>
        <v>104</v>
      </c>
      <c r="AB14" s="809">
        <f t="shared" si="4"/>
        <v>12</v>
      </c>
      <c r="AC14" s="809">
        <f t="shared" si="4"/>
        <v>0</v>
      </c>
      <c r="AD14" s="809">
        <f t="shared" si="4"/>
        <v>0</v>
      </c>
      <c r="AE14" s="280">
        <f t="shared" si="4"/>
        <v>0</v>
      </c>
      <c r="AF14" s="809">
        <f t="shared" si="17"/>
        <v>347</v>
      </c>
      <c r="AG14" s="279">
        <f t="shared" si="5"/>
        <v>676</v>
      </c>
      <c r="AH14" s="47"/>
      <c r="AI14" s="51"/>
      <c r="AJ14" s="292" t="s">
        <v>35</v>
      </c>
      <c r="AK14" s="291"/>
      <c r="AL14" s="288"/>
      <c r="AM14" s="288"/>
      <c r="AN14" s="288"/>
      <c r="AO14" s="288"/>
      <c r="AP14" s="14"/>
      <c r="AQ14" s="292" t="s">
        <v>35</v>
      </c>
      <c r="AR14" s="884"/>
      <c r="AS14" s="288"/>
      <c r="AT14" s="288"/>
      <c r="AU14" s="288"/>
      <c r="AV14" s="288"/>
      <c r="AW14" s="14"/>
      <c r="AX14" s="292" t="s">
        <v>35</v>
      </c>
      <c r="AY14" s="291"/>
      <c r="AZ14" s="288"/>
      <c r="BA14" s="288"/>
      <c r="BB14" s="288"/>
      <c r="BC14" s="288"/>
      <c r="BD14" s="14"/>
      <c r="BE14" s="292" t="s">
        <v>35</v>
      </c>
      <c r="BF14" s="291"/>
      <c r="BG14" s="288"/>
      <c r="BH14" s="47"/>
      <c r="BI14" s="285">
        <f t="shared" si="6"/>
        <v>112</v>
      </c>
      <c r="BJ14" s="285">
        <f t="shared" si="7"/>
        <v>3743</v>
      </c>
      <c r="BK14" s="285">
        <f t="shared" si="8"/>
        <v>1</v>
      </c>
      <c r="BL14" s="285">
        <f t="shared" si="9"/>
        <v>104</v>
      </c>
      <c r="BM14" s="285">
        <f t="shared" si="10"/>
        <v>79</v>
      </c>
      <c r="BN14" s="285">
        <f t="shared" si="11"/>
        <v>0</v>
      </c>
      <c r="BO14" s="285">
        <f t="shared" si="12"/>
        <v>0</v>
      </c>
      <c r="BP14" s="285">
        <f t="shared" si="13"/>
        <v>0</v>
      </c>
      <c r="BQ14" s="285">
        <f t="shared" si="14"/>
        <v>374</v>
      </c>
      <c r="BR14" s="66">
        <f t="shared" si="15"/>
        <v>4413</v>
      </c>
      <c r="BS14" s="14">
        <f t="shared" si="16"/>
        <v>0</v>
      </c>
      <c r="BT14" s="9"/>
    </row>
    <row r="15" spans="1:72">
      <c r="A15" s="286" t="s">
        <v>34</v>
      </c>
      <c r="B15" s="61">
        <f>'58C SFY 17-18 Persons Count'!AC11</f>
        <v>9.7000000000000003E-3</v>
      </c>
      <c r="C15" s="21">
        <f t="shared" si="18"/>
        <v>10238</v>
      </c>
      <c r="D15" s="21">
        <f t="shared" si="18"/>
        <v>208</v>
      </c>
      <c r="E15" s="63">
        <f>'58C SFY 17-18 Persons Count'!AE11</f>
        <v>0</v>
      </c>
      <c r="F15" s="21">
        <f>ROUND(F$6*$E15,0)</f>
        <v>0</v>
      </c>
      <c r="G15" s="62">
        <f>SUM(C15:D15,F15)</f>
        <v>10446</v>
      </c>
      <c r="H15" s="193"/>
      <c r="I15" s="14"/>
      <c r="J15" s="292" t="s">
        <v>34</v>
      </c>
      <c r="K15" s="291"/>
      <c r="L15" s="288"/>
      <c r="M15" s="288"/>
      <c r="N15" s="288"/>
      <c r="O15" s="288"/>
      <c r="P15" s="14"/>
      <c r="Q15" s="14"/>
      <c r="R15" s="58" t="s">
        <v>34</v>
      </c>
      <c r="S15" s="64">
        <f>'58C SFY 17-18 Persons Count'!AL11</f>
        <v>4.7000000000000002E-3</v>
      </c>
      <c r="T15" s="280">
        <f>ROUND(T$6*$S15,0)</f>
        <v>830</v>
      </c>
      <c r="U15" s="47"/>
      <c r="V15" s="58" t="s">
        <v>34</v>
      </c>
      <c r="W15" s="64">
        <f>'58C SFY 17-18 Persons Count'!AO11</f>
        <v>2.8999999999999998E-3</v>
      </c>
      <c r="X15" s="809">
        <f t="shared" si="4"/>
        <v>360</v>
      </c>
      <c r="Y15" s="60">
        <f t="shared" si="4"/>
        <v>321</v>
      </c>
      <c r="Z15" s="809">
        <f t="shared" si="4"/>
        <v>3</v>
      </c>
      <c r="AA15" s="809">
        <f t="shared" si="4"/>
        <v>336</v>
      </c>
      <c r="AB15" s="809">
        <f t="shared" si="4"/>
        <v>39</v>
      </c>
      <c r="AC15" s="809">
        <f t="shared" si="4"/>
        <v>0</v>
      </c>
      <c r="AD15" s="809">
        <f t="shared" si="4"/>
        <v>1</v>
      </c>
      <c r="AE15" s="280">
        <f t="shared" si="4"/>
        <v>1</v>
      </c>
      <c r="AF15" s="809">
        <f t="shared" si="17"/>
        <v>1117</v>
      </c>
      <c r="AG15" s="279">
        <f t="shared" si="5"/>
        <v>2178</v>
      </c>
      <c r="AH15" s="47"/>
      <c r="AI15" s="51"/>
      <c r="AJ15" s="292" t="s">
        <v>34</v>
      </c>
      <c r="AK15" s="291"/>
      <c r="AL15" s="288"/>
      <c r="AM15" s="288"/>
      <c r="AN15" s="288"/>
      <c r="AO15" s="288"/>
      <c r="AP15" s="14"/>
      <c r="AQ15" s="292" t="s">
        <v>34</v>
      </c>
      <c r="AR15" s="884"/>
      <c r="AS15" s="288"/>
      <c r="AT15" s="288"/>
      <c r="AU15" s="288"/>
      <c r="AV15" s="288"/>
      <c r="AW15" s="14"/>
      <c r="AX15" s="292" t="s">
        <v>34</v>
      </c>
      <c r="AY15" s="291"/>
      <c r="AZ15" s="288"/>
      <c r="BA15" s="288"/>
      <c r="BB15" s="288"/>
      <c r="BC15" s="288"/>
      <c r="BD15" s="14"/>
      <c r="BE15" s="292" t="s">
        <v>34</v>
      </c>
      <c r="BF15" s="291"/>
      <c r="BG15" s="288"/>
      <c r="BH15" s="47"/>
      <c r="BI15" s="285">
        <f t="shared" si="6"/>
        <v>360</v>
      </c>
      <c r="BJ15" s="285">
        <f t="shared" si="7"/>
        <v>11389</v>
      </c>
      <c r="BK15" s="285">
        <f t="shared" si="8"/>
        <v>3</v>
      </c>
      <c r="BL15" s="285">
        <f t="shared" si="9"/>
        <v>336</v>
      </c>
      <c r="BM15" s="285">
        <f t="shared" si="10"/>
        <v>247</v>
      </c>
      <c r="BN15" s="285">
        <f t="shared" si="11"/>
        <v>0</v>
      </c>
      <c r="BO15" s="285">
        <f t="shared" si="12"/>
        <v>1</v>
      </c>
      <c r="BP15" s="285">
        <f t="shared" si="13"/>
        <v>1</v>
      </c>
      <c r="BQ15" s="285">
        <f t="shared" si="14"/>
        <v>1117</v>
      </c>
      <c r="BR15" s="66">
        <f t="shared" si="15"/>
        <v>13454</v>
      </c>
      <c r="BS15" s="14">
        <f t="shared" si="16"/>
        <v>0</v>
      </c>
      <c r="BT15" s="9"/>
    </row>
    <row r="16" spans="1:72">
      <c r="A16" s="292" t="s">
        <v>169</v>
      </c>
      <c r="B16" s="291"/>
      <c r="C16" s="288"/>
      <c r="D16" s="288"/>
      <c r="E16" s="293"/>
      <c r="F16" s="288"/>
      <c r="G16" s="294"/>
      <c r="H16" s="193"/>
      <c r="I16" s="14"/>
      <c r="J16" s="292" t="s">
        <v>169</v>
      </c>
      <c r="K16" s="291"/>
      <c r="L16" s="288"/>
      <c r="M16" s="288"/>
      <c r="N16" s="288"/>
      <c r="O16" s="288"/>
      <c r="P16" s="14"/>
      <c r="Q16" s="14"/>
      <c r="R16" s="299" t="s">
        <v>169</v>
      </c>
      <c r="S16" s="287"/>
      <c r="T16" s="289"/>
      <c r="U16" s="47"/>
      <c r="V16" s="58" t="s">
        <v>169</v>
      </c>
      <c r="W16" s="64">
        <f>'58C SFY 17-18 Persons Count'!AO12</f>
        <v>4.0899999999999999E-2</v>
      </c>
      <c r="X16" s="809">
        <f t="shared" si="4"/>
        <v>5078</v>
      </c>
      <c r="Y16" s="60">
        <f t="shared" si="4"/>
        <v>4532</v>
      </c>
      <c r="Z16" s="397">
        <f>ROUNDUP(Z$6*$W16,0)</f>
        <v>41</v>
      </c>
      <c r="AA16" s="809">
        <f t="shared" si="4"/>
        <v>4741</v>
      </c>
      <c r="AB16" s="809">
        <f>ROUND(AB$6*$W16,0)</f>
        <v>556</v>
      </c>
      <c r="AC16" s="809">
        <f t="shared" si="4"/>
        <v>2</v>
      </c>
      <c r="AD16" s="809">
        <f t="shared" si="4"/>
        <v>14</v>
      </c>
      <c r="AE16" s="280">
        <f t="shared" si="4"/>
        <v>20</v>
      </c>
      <c r="AF16" s="397">
        <f>ROUNDDOWN(AF$6*$W16,0)</f>
        <v>15750</v>
      </c>
      <c r="AG16" s="279">
        <f t="shared" si="5"/>
        <v>30734</v>
      </c>
      <c r="AH16" s="47"/>
      <c r="AI16" s="51"/>
      <c r="AJ16" s="279" t="s">
        <v>169</v>
      </c>
      <c r="AK16" s="61">
        <v>8.8499999999999995E-2</v>
      </c>
      <c r="AL16" s="65">
        <f>ROUND(AL$6*AK16,0)</f>
        <v>50740</v>
      </c>
      <c r="AM16" s="65">
        <f>ROUND(AM$6*AK16,0)</f>
        <v>778</v>
      </c>
      <c r="AN16" s="65">
        <f>ROUND(AN$6*AK16,0)</f>
        <v>7921</v>
      </c>
      <c r="AO16" s="50">
        <f>SUM(AL16:AN16)</f>
        <v>59439</v>
      </c>
      <c r="AP16" s="14"/>
      <c r="AQ16" s="279" t="s">
        <v>169</v>
      </c>
      <c r="AR16" s="914">
        <f>SUMIF('4th Q CalWIN M&amp;O (County)'!$A$4:$A$82,'4th Q Co Share Calculations'!AQ16,'4th Q CalWIN M&amp;O (County)'!$J$4:$J$82)+2</f>
        <v>15199</v>
      </c>
      <c r="AS16" s="65">
        <f>ROUND($AR16*AS$5,0)</f>
        <v>12975</v>
      </c>
      <c r="AT16" s="65">
        <f>ROUND($AR16*AT$5,0)</f>
        <v>199</v>
      </c>
      <c r="AU16" s="65">
        <f>ROUND($AR16*AU$5,0)</f>
        <v>2025</v>
      </c>
      <c r="AV16" s="50">
        <f>SUM(AS16:AU16)</f>
        <v>15199</v>
      </c>
      <c r="AW16" s="14"/>
      <c r="AX16" s="279" t="s">
        <v>169</v>
      </c>
      <c r="AY16" s="61">
        <v>8.8499999999999995E-2</v>
      </c>
      <c r="AZ16" s="65">
        <f>ROUND(AZ$6*AY16,0)</f>
        <v>2218</v>
      </c>
      <c r="BA16" s="65">
        <f>ROUND(BA$6*AY16,0)</f>
        <v>34</v>
      </c>
      <c r="BB16" s="65">
        <f>ROUND(BB$6*AY16,0)</f>
        <v>346</v>
      </c>
      <c r="BC16" s="50">
        <f>SUM(AZ16:BB16)</f>
        <v>2598</v>
      </c>
      <c r="BD16" s="14"/>
      <c r="BE16" s="279" t="s">
        <v>169</v>
      </c>
      <c r="BF16" s="61">
        <v>0.13739999999999999</v>
      </c>
      <c r="BG16" s="65">
        <f>ROUND(BF16*BG$6,0)</f>
        <v>5385</v>
      </c>
      <c r="BH16" s="47"/>
      <c r="BI16" s="285">
        <f t="shared" si="6"/>
        <v>5078</v>
      </c>
      <c r="BJ16" s="285">
        <f t="shared" si="7"/>
        <v>75850</v>
      </c>
      <c r="BK16" s="285">
        <f t="shared" si="8"/>
        <v>41</v>
      </c>
      <c r="BL16" s="285">
        <f t="shared" si="9"/>
        <v>4741</v>
      </c>
      <c r="BM16" s="285">
        <f t="shared" si="10"/>
        <v>1567</v>
      </c>
      <c r="BN16" s="285">
        <f t="shared" si="11"/>
        <v>2</v>
      </c>
      <c r="BO16" s="285">
        <f t="shared" si="12"/>
        <v>14</v>
      </c>
      <c r="BP16" s="285">
        <f t="shared" si="13"/>
        <v>20</v>
      </c>
      <c r="BQ16" s="285">
        <f t="shared" si="14"/>
        <v>26042</v>
      </c>
      <c r="BR16" s="66">
        <f t="shared" si="15"/>
        <v>113355</v>
      </c>
      <c r="BS16" s="14">
        <f t="shared" si="16"/>
        <v>0</v>
      </c>
      <c r="BT16" s="9"/>
    </row>
    <row r="17" spans="1:72">
      <c r="A17" s="286" t="s">
        <v>33</v>
      </c>
      <c r="B17" s="61">
        <f>'58C SFY 17-18 Persons Count'!AC13</f>
        <v>3.0000000000000001E-3</v>
      </c>
      <c r="C17" s="885">
        <f>ROUND(C$6*$B17,0)</f>
        <v>3166</v>
      </c>
      <c r="D17" s="21">
        <f t="shared" si="18"/>
        <v>64</v>
      </c>
      <c r="E17" s="63">
        <f>'58C SFY 17-18 Persons Count'!AE13</f>
        <v>3.0000000000000001E-3</v>
      </c>
      <c r="F17" s="21">
        <f t="shared" ref="F17:F26" si="20">ROUND(F$6*$E17,0)</f>
        <v>82</v>
      </c>
      <c r="G17" s="62">
        <f t="shared" ref="G17:G35" si="21">SUM(C17:D17,F17)</f>
        <v>3312</v>
      </c>
      <c r="H17" s="193"/>
      <c r="I17" s="14"/>
      <c r="J17" s="292" t="s">
        <v>33</v>
      </c>
      <c r="K17" s="291"/>
      <c r="L17" s="288"/>
      <c r="M17" s="288"/>
      <c r="N17" s="288"/>
      <c r="O17" s="288"/>
      <c r="P17" s="14"/>
      <c r="Q17" s="14"/>
      <c r="R17" s="58" t="s">
        <v>33</v>
      </c>
      <c r="S17" s="64">
        <f>'58C SFY 17-18 Persons Count'!AL13</f>
        <v>1.4E-3</v>
      </c>
      <c r="T17" s="60">
        <f t="shared" ref="T17:T24" si="22">ROUND(T$6*$S17,0)</f>
        <v>247</v>
      </c>
      <c r="U17" s="47"/>
      <c r="V17" s="58" t="s">
        <v>33</v>
      </c>
      <c r="W17" s="64">
        <f>'58C SFY 17-18 Persons Count'!AO13</f>
        <v>8.9999999999999998E-4</v>
      </c>
      <c r="X17" s="809">
        <f t="shared" si="4"/>
        <v>112</v>
      </c>
      <c r="Y17" s="60">
        <f t="shared" si="4"/>
        <v>100</v>
      </c>
      <c r="Z17" s="809">
        <f t="shared" si="4"/>
        <v>1</v>
      </c>
      <c r="AA17" s="809">
        <f t="shared" si="4"/>
        <v>104</v>
      </c>
      <c r="AB17" s="809">
        <f t="shared" si="4"/>
        <v>12</v>
      </c>
      <c r="AC17" s="809">
        <f t="shared" si="4"/>
        <v>0</v>
      </c>
      <c r="AD17" s="809">
        <f t="shared" si="4"/>
        <v>0</v>
      </c>
      <c r="AE17" s="280">
        <f t="shared" si="4"/>
        <v>0</v>
      </c>
      <c r="AF17" s="809">
        <f t="shared" si="17"/>
        <v>347</v>
      </c>
      <c r="AG17" s="279">
        <f t="shared" si="5"/>
        <v>676</v>
      </c>
      <c r="AH17" s="47"/>
      <c r="AI17" s="51"/>
      <c r="AJ17" s="292" t="s">
        <v>33</v>
      </c>
      <c r="AK17" s="291"/>
      <c r="AL17" s="288"/>
      <c r="AM17" s="288"/>
      <c r="AN17" s="288"/>
      <c r="AO17" s="288"/>
      <c r="AP17" s="14"/>
      <c r="AQ17" s="292" t="s">
        <v>33</v>
      </c>
      <c r="AR17" s="884"/>
      <c r="AS17" s="288"/>
      <c r="AT17" s="288"/>
      <c r="AU17" s="288"/>
      <c r="AV17" s="288"/>
      <c r="AW17" s="14"/>
      <c r="AX17" s="292" t="s">
        <v>33</v>
      </c>
      <c r="AY17" s="291"/>
      <c r="AZ17" s="288"/>
      <c r="BA17" s="288"/>
      <c r="BB17" s="288"/>
      <c r="BC17" s="288"/>
      <c r="BD17" s="14"/>
      <c r="BE17" s="292" t="s">
        <v>33</v>
      </c>
      <c r="BF17" s="291"/>
      <c r="BG17" s="288"/>
      <c r="BH17" s="47"/>
      <c r="BI17" s="285">
        <f t="shared" si="6"/>
        <v>112</v>
      </c>
      <c r="BJ17" s="285">
        <f t="shared" si="7"/>
        <v>3513</v>
      </c>
      <c r="BK17" s="285">
        <f t="shared" si="8"/>
        <v>1</v>
      </c>
      <c r="BL17" s="285">
        <f t="shared" si="9"/>
        <v>104</v>
      </c>
      <c r="BM17" s="285">
        <f t="shared" si="10"/>
        <v>76</v>
      </c>
      <c r="BN17" s="285">
        <f t="shared" si="11"/>
        <v>0</v>
      </c>
      <c r="BO17" s="285">
        <f t="shared" si="12"/>
        <v>0</v>
      </c>
      <c r="BP17" s="285">
        <f t="shared" si="13"/>
        <v>0</v>
      </c>
      <c r="BQ17" s="285">
        <f t="shared" si="14"/>
        <v>429</v>
      </c>
      <c r="BR17" s="66">
        <f t="shared" si="15"/>
        <v>4235</v>
      </c>
      <c r="BS17" s="14">
        <f t="shared" si="16"/>
        <v>0</v>
      </c>
      <c r="BT17" s="9"/>
    </row>
    <row r="18" spans="1:72">
      <c r="A18" s="286" t="s">
        <v>32</v>
      </c>
      <c r="B18" s="61">
        <f>'58C SFY 17-18 Persons Count'!AC14</f>
        <v>1.43E-2</v>
      </c>
      <c r="C18" s="21">
        <f t="shared" si="18"/>
        <v>15093</v>
      </c>
      <c r="D18" s="21">
        <f t="shared" si="18"/>
        <v>307</v>
      </c>
      <c r="E18" s="63">
        <f>'58C SFY 17-18 Persons Count'!AE14</f>
        <v>4.3500000000000004E-2</v>
      </c>
      <c r="F18" s="21">
        <f t="shared" si="20"/>
        <v>1182</v>
      </c>
      <c r="G18" s="62">
        <f t="shared" si="21"/>
        <v>16582</v>
      </c>
      <c r="H18" s="193"/>
      <c r="I18" s="14"/>
      <c r="J18" s="292" t="s">
        <v>32</v>
      </c>
      <c r="K18" s="291"/>
      <c r="L18" s="288"/>
      <c r="M18" s="288"/>
      <c r="N18" s="288"/>
      <c r="O18" s="288"/>
      <c r="P18" s="14"/>
      <c r="Q18" s="14"/>
      <c r="R18" s="58" t="s">
        <v>32</v>
      </c>
      <c r="S18" s="64">
        <f>'58C SFY 17-18 Persons Count'!AL14</f>
        <v>8.3000000000000001E-3</v>
      </c>
      <c r="T18" s="60">
        <f t="shared" si="22"/>
        <v>1465</v>
      </c>
      <c r="U18" s="47"/>
      <c r="V18" s="58" t="s">
        <v>32</v>
      </c>
      <c r="W18" s="64">
        <f>'58C SFY 17-18 Persons Count'!AO14</f>
        <v>4.3E-3</v>
      </c>
      <c r="X18" s="809">
        <f t="shared" si="4"/>
        <v>534</v>
      </c>
      <c r="Y18" s="60">
        <f t="shared" si="4"/>
        <v>477</v>
      </c>
      <c r="Z18" s="809">
        <f t="shared" si="4"/>
        <v>4</v>
      </c>
      <c r="AA18" s="809">
        <f t="shared" si="4"/>
        <v>498</v>
      </c>
      <c r="AB18" s="809">
        <f t="shared" si="4"/>
        <v>58</v>
      </c>
      <c r="AC18" s="809">
        <f t="shared" si="4"/>
        <v>0</v>
      </c>
      <c r="AD18" s="809">
        <f t="shared" si="4"/>
        <v>1</v>
      </c>
      <c r="AE18" s="280">
        <f t="shared" si="4"/>
        <v>2</v>
      </c>
      <c r="AF18" s="809">
        <f t="shared" si="17"/>
        <v>1656</v>
      </c>
      <c r="AG18" s="279">
        <f t="shared" si="5"/>
        <v>3230</v>
      </c>
      <c r="AH18" s="47"/>
      <c r="AI18" s="51"/>
      <c r="AJ18" s="292" t="s">
        <v>32</v>
      </c>
      <c r="AK18" s="291"/>
      <c r="AL18" s="288"/>
      <c r="AM18" s="288"/>
      <c r="AN18" s="288"/>
      <c r="AO18" s="288"/>
      <c r="AP18" s="14"/>
      <c r="AQ18" s="292" t="s">
        <v>32</v>
      </c>
      <c r="AR18" s="884"/>
      <c r="AS18" s="288"/>
      <c r="AT18" s="288"/>
      <c r="AU18" s="288"/>
      <c r="AV18" s="288"/>
      <c r="AW18" s="14"/>
      <c r="AX18" s="292" t="s">
        <v>32</v>
      </c>
      <c r="AY18" s="291"/>
      <c r="AZ18" s="288"/>
      <c r="BA18" s="288"/>
      <c r="BB18" s="288"/>
      <c r="BC18" s="288"/>
      <c r="BD18" s="14"/>
      <c r="BE18" s="292" t="s">
        <v>32</v>
      </c>
      <c r="BF18" s="291"/>
      <c r="BG18" s="288"/>
      <c r="BH18" s="47"/>
      <c r="BI18" s="285">
        <f t="shared" si="6"/>
        <v>534</v>
      </c>
      <c r="BJ18" s="285">
        <f t="shared" si="7"/>
        <v>17035</v>
      </c>
      <c r="BK18" s="285">
        <f t="shared" si="8"/>
        <v>4</v>
      </c>
      <c r="BL18" s="285">
        <f t="shared" si="9"/>
        <v>498</v>
      </c>
      <c r="BM18" s="285">
        <f t="shared" si="10"/>
        <v>365</v>
      </c>
      <c r="BN18" s="285">
        <f t="shared" si="11"/>
        <v>0</v>
      </c>
      <c r="BO18" s="285">
        <f t="shared" si="12"/>
        <v>1</v>
      </c>
      <c r="BP18" s="285">
        <f t="shared" si="13"/>
        <v>2</v>
      </c>
      <c r="BQ18" s="285">
        <f t="shared" si="14"/>
        <v>2838</v>
      </c>
      <c r="BR18" s="66">
        <f t="shared" si="15"/>
        <v>21277</v>
      </c>
      <c r="BS18" s="14">
        <f t="shared" si="16"/>
        <v>0</v>
      </c>
      <c r="BT18" s="9"/>
    </row>
    <row r="19" spans="1:72">
      <c r="A19" s="286" t="s">
        <v>31</v>
      </c>
      <c r="B19" s="61">
        <f>'58C SFY 17-18 Persons Count'!AC15</f>
        <v>2.5399999999999999E-2</v>
      </c>
      <c r="C19" s="261">
        <f t="shared" si="18"/>
        <v>26809</v>
      </c>
      <c r="D19" s="261">
        <f t="shared" si="18"/>
        <v>546</v>
      </c>
      <c r="E19" s="734">
        <f>'58C SFY 17-18 Persons Count'!AE15</f>
        <v>1.4E-2</v>
      </c>
      <c r="F19" s="261">
        <f t="shared" si="20"/>
        <v>380</v>
      </c>
      <c r="G19" s="62">
        <f t="shared" si="21"/>
        <v>27735</v>
      </c>
      <c r="H19" s="193"/>
      <c r="I19" s="14"/>
      <c r="J19" s="292" t="s">
        <v>31</v>
      </c>
      <c r="K19" s="291"/>
      <c r="L19" s="288"/>
      <c r="M19" s="288"/>
      <c r="N19" s="288"/>
      <c r="O19" s="288"/>
      <c r="P19" s="14"/>
      <c r="Q19" s="14"/>
      <c r="R19" s="58" t="s">
        <v>31</v>
      </c>
      <c r="S19" s="64">
        <f>'58C SFY 17-18 Persons Count'!AL15</f>
        <v>1.6799999999999999E-2</v>
      </c>
      <c r="T19" s="60">
        <f t="shared" si="22"/>
        <v>2966</v>
      </c>
      <c r="U19" s="47"/>
      <c r="V19" s="58" t="s">
        <v>31</v>
      </c>
      <c r="W19" s="64">
        <f>'58C SFY 17-18 Persons Count'!AO15</f>
        <v>7.7000000000000002E-3</v>
      </c>
      <c r="X19" s="809">
        <f t="shared" si="4"/>
        <v>956</v>
      </c>
      <c r="Y19" s="60">
        <f t="shared" si="4"/>
        <v>853</v>
      </c>
      <c r="Z19" s="809">
        <f t="shared" si="4"/>
        <v>8</v>
      </c>
      <c r="AA19" s="809">
        <f t="shared" si="4"/>
        <v>893</v>
      </c>
      <c r="AB19" s="809">
        <f t="shared" si="4"/>
        <v>105</v>
      </c>
      <c r="AC19" s="809">
        <f t="shared" si="4"/>
        <v>0</v>
      </c>
      <c r="AD19" s="809">
        <f t="shared" si="4"/>
        <v>3</v>
      </c>
      <c r="AE19" s="280">
        <f t="shared" si="4"/>
        <v>4</v>
      </c>
      <c r="AF19" s="809">
        <f t="shared" si="17"/>
        <v>2965</v>
      </c>
      <c r="AG19" s="279">
        <f t="shared" si="5"/>
        <v>5787</v>
      </c>
      <c r="AH19" s="47"/>
      <c r="AI19" s="51"/>
      <c r="AJ19" s="292" t="s">
        <v>31</v>
      </c>
      <c r="AK19" s="291"/>
      <c r="AL19" s="288"/>
      <c r="AM19" s="288"/>
      <c r="AN19" s="288"/>
      <c r="AO19" s="288"/>
      <c r="AP19" s="14"/>
      <c r="AQ19" s="292" t="s">
        <v>31</v>
      </c>
      <c r="AR19" s="884"/>
      <c r="AS19" s="288"/>
      <c r="AT19" s="288"/>
      <c r="AU19" s="288"/>
      <c r="AV19" s="288"/>
      <c r="AW19" s="14"/>
      <c r="AX19" s="292" t="s">
        <v>31</v>
      </c>
      <c r="AY19" s="291"/>
      <c r="AZ19" s="288"/>
      <c r="BA19" s="288"/>
      <c r="BB19" s="288"/>
      <c r="BC19" s="288"/>
      <c r="BD19" s="14"/>
      <c r="BE19" s="292" t="s">
        <v>31</v>
      </c>
      <c r="BF19" s="291"/>
      <c r="BG19" s="288"/>
      <c r="BH19" s="47"/>
      <c r="BI19" s="285">
        <f t="shared" si="6"/>
        <v>956</v>
      </c>
      <c r="BJ19" s="285">
        <f t="shared" si="7"/>
        <v>30628</v>
      </c>
      <c r="BK19" s="285">
        <f t="shared" si="8"/>
        <v>8</v>
      </c>
      <c r="BL19" s="285">
        <f t="shared" si="9"/>
        <v>893</v>
      </c>
      <c r="BM19" s="285">
        <f t="shared" si="10"/>
        <v>651</v>
      </c>
      <c r="BN19" s="285">
        <f t="shared" si="11"/>
        <v>0</v>
      </c>
      <c r="BO19" s="285">
        <f t="shared" si="12"/>
        <v>3</v>
      </c>
      <c r="BP19" s="285">
        <f t="shared" si="13"/>
        <v>4</v>
      </c>
      <c r="BQ19" s="285">
        <f t="shared" si="14"/>
        <v>3345</v>
      </c>
      <c r="BR19" s="66">
        <f t="shared" si="15"/>
        <v>36488</v>
      </c>
      <c r="BS19" s="14">
        <f t="shared" si="16"/>
        <v>0</v>
      </c>
      <c r="BT19" s="9"/>
    </row>
    <row r="20" spans="1:72">
      <c r="A20" s="286" t="s">
        <v>30</v>
      </c>
      <c r="B20" s="61">
        <f>'58C SFY 17-18 Persons Count'!AC16</f>
        <v>1.5E-3</v>
      </c>
      <c r="C20" s="261">
        <f t="shared" si="18"/>
        <v>1583</v>
      </c>
      <c r="D20" s="261">
        <f t="shared" si="18"/>
        <v>32</v>
      </c>
      <c r="E20" s="734">
        <f>'58C SFY 17-18 Persons Count'!AE16</f>
        <v>6.7000000000000002E-3</v>
      </c>
      <c r="F20" s="261">
        <f t="shared" si="20"/>
        <v>182</v>
      </c>
      <c r="G20" s="62">
        <f t="shared" si="21"/>
        <v>1797</v>
      </c>
      <c r="H20" s="193"/>
      <c r="I20" s="14"/>
      <c r="J20" s="292" t="s">
        <v>30</v>
      </c>
      <c r="K20" s="291"/>
      <c r="L20" s="288"/>
      <c r="M20" s="288"/>
      <c r="N20" s="288"/>
      <c r="O20" s="288"/>
      <c r="P20" s="14"/>
      <c r="Q20" s="14"/>
      <c r="R20" s="58" t="s">
        <v>30</v>
      </c>
      <c r="S20" s="64">
        <f>'58C SFY 17-18 Persons Count'!AL16</f>
        <v>8.0000000000000004E-4</v>
      </c>
      <c r="T20" s="60">
        <f t="shared" si="22"/>
        <v>141</v>
      </c>
      <c r="U20" s="47"/>
      <c r="V20" s="58" t="s">
        <v>30</v>
      </c>
      <c r="W20" s="64">
        <f>'58C SFY 17-18 Persons Count'!AO16</f>
        <v>5.0000000000000001E-4</v>
      </c>
      <c r="X20" s="809">
        <f t="shared" si="4"/>
        <v>62</v>
      </c>
      <c r="Y20" s="60">
        <f t="shared" si="4"/>
        <v>55</v>
      </c>
      <c r="Z20" s="809">
        <f t="shared" si="4"/>
        <v>0</v>
      </c>
      <c r="AA20" s="809">
        <f t="shared" si="4"/>
        <v>58</v>
      </c>
      <c r="AB20" s="809">
        <f t="shared" si="4"/>
        <v>7</v>
      </c>
      <c r="AC20" s="809">
        <f t="shared" si="4"/>
        <v>0</v>
      </c>
      <c r="AD20" s="809">
        <f t="shared" si="4"/>
        <v>0</v>
      </c>
      <c r="AE20" s="280">
        <f t="shared" si="4"/>
        <v>0</v>
      </c>
      <c r="AF20" s="809">
        <f t="shared" si="17"/>
        <v>193</v>
      </c>
      <c r="AG20" s="279">
        <f t="shared" si="5"/>
        <v>375</v>
      </c>
      <c r="AH20" s="47"/>
      <c r="AI20" s="51"/>
      <c r="AJ20" s="292" t="s">
        <v>30</v>
      </c>
      <c r="AK20" s="291"/>
      <c r="AL20" s="288"/>
      <c r="AM20" s="288"/>
      <c r="AN20" s="288"/>
      <c r="AO20" s="288"/>
      <c r="AP20" s="14"/>
      <c r="AQ20" s="292" t="s">
        <v>30</v>
      </c>
      <c r="AR20" s="884"/>
      <c r="AS20" s="288"/>
      <c r="AT20" s="288"/>
      <c r="AU20" s="288"/>
      <c r="AV20" s="288"/>
      <c r="AW20" s="14"/>
      <c r="AX20" s="292" t="s">
        <v>30</v>
      </c>
      <c r="AY20" s="291"/>
      <c r="AZ20" s="288"/>
      <c r="BA20" s="288"/>
      <c r="BB20" s="288"/>
      <c r="BC20" s="288"/>
      <c r="BD20" s="14"/>
      <c r="BE20" s="292" t="s">
        <v>30</v>
      </c>
      <c r="BF20" s="291"/>
      <c r="BG20" s="288"/>
      <c r="BH20" s="47"/>
      <c r="BI20" s="285">
        <f t="shared" si="6"/>
        <v>62</v>
      </c>
      <c r="BJ20" s="285">
        <f t="shared" si="7"/>
        <v>1779</v>
      </c>
      <c r="BK20" s="285">
        <f t="shared" si="8"/>
        <v>0</v>
      </c>
      <c r="BL20" s="285">
        <f t="shared" si="9"/>
        <v>58</v>
      </c>
      <c r="BM20" s="285">
        <f t="shared" si="10"/>
        <v>39</v>
      </c>
      <c r="BN20" s="285">
        <f t="shared" si="11"/>
        <v>0</v>
      </c>
      <c r="BO20" s="285">
        <f t="shared" si="12"/>
        <v>0</v>
      </c>
      <c r="BP20" s="285">
        <f t="shared" si="13"/>
        <v>0</v>
      </c>
      <c r="BQ20" s="285">
        <f t="shared" si="14"/>
        <v>375</v>
      </c>
      <c r="BR20" s="66">
        <f t="shared" si="15"/>
        <v>2313</v>
      </c>
      <c r="BS20" s="14">
        <f t="shared" si="16"/>
        <v>0</v>
      </c>
      <c r="BT20" s="9"/>
    </row>
    <row r="21" spans="1:72">
      <c r="A21" s="286" t="s">
        <v>29</v>
      </c>
      <c r="B21" s="61">
        <f>'58C SFY 17-18 Persons Count'!AC17</f>
        <v>0.11</v>
      </c>
      <c r="C21" s="261">
        <f t="shared" si="18"/>
        <v>116100</v>
      </c>
      <c r="D21" s="738">
        <f>ROUNDUP(D$6*$B21,0)</f>
        <v>2365</v>
      </c>
      <c r="E21" s="734">
        <f>'58C SFY 17-18 Persons Count'!AE17</f>
        <v>0.21</v>
      </c>
      <c r="F21" s="261">
        <f>ROUND(F$6*$E21,0)</f>
        <v>5707</v>
      </c>
      <c r="G21" s="62">
        <f t="shared" si="21"/>
        <v>124172</v>
      </c>
      <c r="H21" s="193"/>
      <c r="I21" s="14"/>
      <c r="J21" s="292" t="s">
        <v>29</v>
      </c>
      <c r="K21" s="291"/>
      <c r="L21" s="288"/>
      <c r="M21" s="288"/>
      <c r="N21" s="288"/>
      <c r="O21" s="288"/>
      <c r="P21" s="14"/>
      <c r="Q21" s="14"/>
      <c r="R21" s="58" t="s">
        <v>29</v>
      </c>
      <c r="S21" s="64">
        <f>'58C SFY 17-18 Persons Count'!AL17</f>
        <v>6.4600000000000005E-2</v>
      </c>
      <c r="T21" s="60">
        <f t="shared" si="22"/>
        <v>11404</v>
      </c>
      <c r="U21" s="47"/>
      <c r="V21" s="58" t="s">
        <v>29</v>
      </c>
      <c r="W21" s="64">
        <f>'58C SFY 17-18 Persons Count'!AO17</f>
        <v>3.3300000000000003E-2</v>
      </c>
      <c r="X21" s="280">
        <f>ROUND(X$6*$W21,0)</f>
        <v>4134</v>
      </c>
      <c r="Y21" s="60">
        <f t="shared" si="4"/>
        <v>3690</v>
      </c>
      <c r="Z21" s="809">
        <f t="shared" si="4"/>
        <v>33</v>
      </c>
      <c r="AA21" s="809">
        <f t="shared" si="4"/>
        <v>3860</v>
      </c>
      <c r="AB21" s="809">
        <f>ROUND(AB$6*$W21,0)</f>
        <v>453</v>
      </c>
      <c r="AC21" s="809">
        <f t="shared" si="4"/>
        <v>1</v>
      </c>
      <c r="AD21" s="809">
        <f t="shared" si="4"/>
        <v>11</v>
      </c>
      <c r="AE21" s="280">
        <f t="shared" si="4"/>
        <v>16</v>
      </c>
      <c r="AF21" s="809">
        <f t="shared" si="17"/>
        <v>12824</v>
      </c>
      <c r="AG21" s="279">
        <f t="shared" si="5"/>
        <v>25022</v>
      </c>
      <c r="AH21" s="47"/>
      <c r="AI21" s="51"/>
      <c r="AJ21" s="292" t="s">
        <v>29</v>
      </c>
      <c r="AK21" s="291"/>
      <c r="AL21" s="288"/>
      <c r="AM21" s="288"/>
      <c r="AN21" s="288"/>
      <c r="AO21" s="288"/>
      <c r="AP21" s="14"/>
      <c r="AQ21" s="292" t="s">
        <v>29</v>
      </c>
      <c r="AR21" s="884"/>
      <c r="AS21" s="288"/>
      <c r="AT21" s="288"/>
      <c r="AU21" s="288"/>
      <c r="AV21" s="288"/>
      <c r="AW21" s="14"/>
      <c r="AX21" s="292" t="s">
        <v>29</v>
      </c>
      <c r="AY21" s="291"/>
      <c r="AZ21" s="288"/>
      <c r="BA21" s="288"/>
      <c r="BB21" s="288"/>
      <c r="BC21" s="288"/>
      <c r="BD21" s="14"/>
      <c r="BE21" s="292" t="s">
        <v>29</v>
      </c>
      <c r="BF21" s="291"/>
      <c r="BG21" s="288"/>
      <c r="BH21" s="47"/>
      <c r="BI21" s="285">
        <f t="shared" si="6"/>
        <v>4134</v>
      </c>
      <c r="BJ21" s="285">
        <f t="shared" si="7"/>
        <v>131194</v>
      </c>
      <c r="BK21" s="285">
        <f t="shared" si="8"/>
        <v>33</v>
      </c>
      <c r="BL21" s="285">
        <f t="shared" si="9"/>
        <v>3860</v>
      </c>
      <c r="BM21" s="285">
        <f t="shared" si="10"/>
        <v>2818</v>
      </c>
      <c r="BN21" s="285">
        <f t="shared" si="11"/>
        <v>1</v>
      </c>
      <c r="BO21" s="285">
        <f t="shared" si="12"/>
        <v>11</v>
      </c>
      <c r="BP21" s="285">
        <f t="shared" si="13"/>
        <v>16</v>
      </c>
      <c r="BQ21" s="285">
        <f t="shared" si="14"/>
        <v>18531</v>
      </c>
      <c r="BR21" s="66">
        <f t="shared" si="15"/>
        <v>160598</v>
      </c>
      <c r="BS21" s="14">
        <f t="shared" si="16"/>
        <v>0</v>
      </c>
      <c r="BT21" s="9"/>
    </row>
    <row r="22" spans="1:72">
      <c r="A22" s="286" t="s">
        <v>28</v>
      </c>
      <c r="B22" s="61">
        <f>'58C SFY 17-18 Persons Count'!AC18</f>
        <v>1.5800000000000002E-2</v>
      </c>
      <c r="C22" s="261">
        <f t="shared" si="18"/>
        <v>16676</v>
      </c>
      <c r="D22" s="261">
        <f t="shared" si="18"/>
        <v>340</v>
      </c>
      <c r="E22" s="734">
        <f>'58C SFY 17-18 Persons Count'!AE18</f>
        <v>1.4999999999999999E-2</v>
      </c>
      <c r="F22" s="261">
        <f t="shared" si="20"/>
        <v>408</v>
      </c>
      <c r="G22" s="62">
        <f t="shared" si="21"/>
        <v>17424</v>
      </c>
      <c r="H22" s="193"/>
      <c r="I22" s="14"/>
      <c r="J22" s="292" t="s">
        <v>28</v>
      </c>
      <c r="K22" s="291"/>
      <c r="L22" s="288"/>
      <c r="M22" s="288"/>
      <c r="N22" s="288"/>
      <c r="O22" s="288"/>
      <c r="P22" s="14"/>
      <c r="Q22" s="14"/>
      <c r="R22" s="58" t="s">
        <v>28</v>
      </c>
      <c r="S22" s="64">
        <f>'58C SFY 17-18 Persons Count'!AL18</f>
        <v>9.7000000000000003E-3</v>
      </c>
      <c r="T22" s="60">
        <f t="shared" si="22"/>
        <v>1712</v>
      </c>
      <c r="U22" s="47"/>
      <c r="V22" s="58" t="s">
        <v>28</v>
      </c>
      <c r="W22" s="64">
        <f>'58C SFY 17-18 Persons Count'!AO18</f>
        <v>4.7999999999999996E-3</v>
      </c>
      <c r="X22" s="809">
        <f t="shared" si="4"/>
        <v>596</v>
      </c>
      <c r="Y22" s="60">
        <f t="shared" si="4"/>
        <v>532</v>
      </c>
      <c r="Z22" s="809">
        <f t="shared" si="4"/>
        <v>5</v>
      </c>
      <c r="AA22" s="280">
        <f t="shared" si="4"/>
        <v>556</v>
      </c>
      <c r="AB22" s="60">
        <f t="shared" ref="X22:AE38" si="23">ROUND(AB$6*$W22,0)</f>
        <v>65</v>
      </c>
      <c r="AC22" s="397">
        <f>ROUNDUP(AC$6*$W22,0)</f>
        <v>1</v>
      </c>
      <c r="AD22" s="809">
        <f t="shared" si="4"/>
        <v>2</v>
      </c>
      <c r="AE22" s="280">
        <f>ROUND(AE$6*$W22,0)</f>
        <v>2</v>
      </c>
      <c r="AF22" s="60">
        <f t="shared" si="17"/>
        <v>1848</v>
      </c>
      <c r="AG22" s="279">
        <f t="shared" si="5"/>
        <v>3607</v>
      </c>
      <c r="AH22" s="47"/>
      <c r="AI22" s="51"/>
      <c r="AJ22" s="292" t="s">
        <v>28</v>
      </c>
      <c r="AK22" s="291"/>
      <c r="AL22" s="288"/>
      <c r="AM22" s="288"/>
      <c r="AN22" s="288"/>
      <c r="AO22" s="288"/>
      <c r="AP22" s="14"/>
      <c r="AQ22" s="292" t="s">
        <v>28</v>
      </c>
      <c r="AR22" s="884"/>
      <c r="AS22" s="288"/>
      <c r="AT22" s="288"/>
      <c r="AU22" s="288"/>
      <c r="AV22" s="288"/>
      <c r="AW22" s="14"/>
      <c r="AX22" s="292" t="s">
        <v>28</v>
      </c>
      <c r="AY22" s="291"/>
      <c r="AZ22" s="288"/>
      <c r="BA22" s="288"/>
      <c r="BB22" s="288"/>
      <c r="BC22" s="288"/>
      <c r="BD22" s="14"/>
      <c r="BE22" s="292" t="s">
        <v>28</v>
      </c>
      <c r="BF22" s="291"/>
      <c r="BG22" s="288"/>
      <c r="BH22" s="47"/>
      <c r="BI22" s="285">
        <f t="shared" si="6"/>
        <v>596</v>
      </c>
      <c r="BJ22" s="285">
        <f t="shared" si="7"/>
        <v>18920</v>
      </c>
      <c r="BK22" s="285">
        <f t="shared" si="8"/>
        <v>5</v>
      </c>
      <c r="BL22" s="285">
        <f t="shared" si="9"/>
        <v>556</v>
      </c>
      <c r="BM22" s="285">
        <f t="shared" si="10"/>
        <v>405</v>
      </c>
      <c r="BN22" s="285">
        <f t="shared" si="11"/>
        <v>1</v>
      </c>
      <c r="BO22" s="285">
        <f t="shared" si="12"/>
        <v>2</v>
      </c>
      <c r="BP22" s="285">
        <f t="shared" si="13"/>
        <v>2</v>
      </c>
      <c r="BQ22" s="285">
        <f t="shared" si="14"/>
        <v>2256</v>
      </c>
      <c r="BR22" s="66">
        <f t="shared" si="15"/>
        <v>22743</v>
      </c>
      <c r="BS22" s="14">
        <f t="shared" si="16"/>
        <v>0</v>
      </c>
      <c r="BT22" s="9"/>
    </row>
    <row r="23" spans="1:72">
      <c r="A23" s="286" t="s">
        <v>27</v>
      </c>
      <c r="B23" s="61">
        <f>'58C SFY 17-18 Persons Count'!AC19</f>
        <v>8.5000000000000006E-3</v>
      </c>
      <c r="C23" s="261">
        <f t="shared" si="18"/>
        <v>8971</v>
      </c>
      <c r="D23" s="261">
        <f t="shared" si="18"/>
        <v>183</v>
      </c>
      <c r="E23" s="734">
        <f>'58C SFY 17-18 Persons Count'!AE19</f>
        <v>1E-3</v>
      </c>
      <c r="F23" s="261">
        <f t="shared" si="20"/>
        <v>27</v>
      </c>
      <c r="G23" s="62">
        <f t="shared" si="21"/>
        <v>9181</v>
      </c>
      <c r="H23" s="193"/>
      <c r="I23" s="14"/>
      <c r="J23" s="292" t="s">
        <v>27</v>
      </c>
      <c r="K23" s="291"/>
      <c r="L23" s="288"/>
      <c r="M23" s="288"/>
      <c r="N23" s="288"/>
      <c r="O23" s="288"/>
      <c r="P23" s="14"/>
      <c r="Q23" s="14"/>
      <c r="R23" s="58" t="s">
        <v>27</v>
      </c>
      <c r="S23" s="64">
        <f>'58C SFY 17-18 Persons Count'!AL19</f>
        <v>4.7999999999999996E-3</v>
      </c>
      <c r="T23" s="60">
        <f t="shared" si="22"/>
        <v>847</v>
      </c>
      <c r="U23" s="47"/>
      <c r="V23" s="58" t="s">
        <v>27</v>
      </c>
      <c r="W23" s="64">
        <f>'58C SFY 17-18 Persons Count'!AO19</f>
        <v>2.5999999999999999E-3</v>
      </c>
      <c r="X23" s="809">
        <f t="shared" si="23"/>
        <v>323</v>
      </c>
      <c r="Y23" s="60">
        <f t="shared" si="23"/>
        <v>288</v>
      </c>
      <c r="Z23" s="809">
        <f t="shared" si="23"/>
        <v>3</v>
      </c>
      <c r="AA23" s="809">
        <f t="shared" si="23"/>
        <v>301</v>
      </c>
      <c r="AB23" s="60">
        <f t="shared" si="23"/>
        <v>35</v>
      </c>
      <c r="AC23" s="809">
        <f t="shared" si="23"/>
        <v>0</v>
      </c>
      <c r="AD23" s="809">
        <f t="shared" si="23"/>
        <v>1</v>
      </c>
      <c r="AE23" s="280">
        <f t="shared" si="23"/>
        <v>1</v>
      </c>
      <c r="AF23" s="809">
        <f t="shared" si="17"/>
        <v>1001</v>
      </c>
      <c r="AG23" s="279">
        <f t="shared" si="5"/>
        <v>1953</v>
      </c>
      <c r="AH23" s="47"/>
      <c r="AI23" s="51"/>
      <c r="AJ23" s="292" t="s">
        <v>27</v>
      </c>
      <c r="AK23" s="291"/>
      <c r="AL23" s="288"/>
      <c r="AM23" s="288"/>
      <c r="AN23" s="288"/>
      <c r="AO23" s="288"/>
      <c r="AP23" s="14"/>
      <c r="AQ23" s="292" t="s">
        <v>27</v>
      </c>
      <c r="AR23" s="884"/>
      <c r="AS23" s="288"/>
      <c r="AT23" s="288"/>
      <c r="AU23" s="288"/>
      <c r="AV23" s="288"/>
      <c r="AW23" s="14"/>
      <c r="AX23" s="292" t="s">
        <v>27</v>
      </c>
      <c r="AY23" s="291"/>
      <c r="AZ23" s="288"/>
      <c r="BA23" s="288"/>
      <c r="BB23" s="288"/>
      <c r="BC23" s="288"/>
      <c r="BD23" s="14"/>
      <c r="BE23" s="292" t="s">
        <v>27</v>
      </c>
      <c r="BF23" s="291"/>
      <c r="BG23" s="288"/>
      <c r="BH23" s="47"/>
      <c r="BI23" s="285">
        <f t="shared" si="6"/>
        <v>323</v>
      </c>
      <c r="BJ23" s="285">
        <f t="shared" si="7"/>
        <v>10106</v>
      </c>
      <c r="BK23" s="285">
        <f t="shared" si="8"/>
        <v>3</v>
      </c>
      <c r="BL23" s="285">
        <f t="shared" si="9"/>
        <v>301</v>
      </c>
      <c r="BM23" s="285">
        <f t="shared" si="10"/>
        <v>218</v>
      </c>
      <c r="BN23" s="285">
        <f t="shared" si="11"/>
        <v>0</v>
      </c>
      <c r="BO23" s="285">
        <f t="shared" si="12"/>
        <v>1</v>
      </c>
      <c r="BP23" s="285">
        <f t="shared" si="13"/>
        <v>1</v>
      </c>
      <c r="BQ23" s="285">
        <f t="shared" si="14"/>
        <v>1028</v>
      </c>
      <c r="BR23" s="66">
        <f t="shared" si="15"/>
        <v>11981</v>
      </c>
      <c r="BS23" s="14">
        <f t="shared" si="16"/>
        <v>0</v>
      </c>
      <c r="BT23" s="9"/>
    </row>
    <row r="24" spans="1:72">
      <c r="A24" s="286" t="s">
        <v>26</v>
      </c>
      <c r="B24" s="61">
        <f>'58C SFY 17-18 Persons Count'!AC20</f>
        <v>2E-3</v>
      </c>
      <c r="C24" s="261">
        <f t="shared" ref="C24:C64" si="24">ROUND(C$6*$B24,0)</f>
        <v>2111</v>
      </c>
      <c r="D24" s="261">
        <f>ROUND(D$6*$B24,0)</f>
        <v>43</v>
      </c>
      <c r="E24" s="734">
        <f>'58C SFY 17-18 Persons Count'!AE20</f>
        <v>1.09E-2</v>
      </c>
      <c r="F24" s="261">
        <f t="shared" si="20"/>
        <v>296</v>
      </c>
      <c r="G24" s="62">
        <f t="shared" si="21"/>
        <v>2450</v>
      </c>
      <c r="H24" s="193"/>
      <c r="I24" s="14"/>
      <c r="J24" s="292" t="s">
        <v>26</v>
      </c>
      <c r="K24" s="291"/>
      <c r="L24" s="288"/>
      <c r="M24" s="288"/>
      <c r="N24" s="288"/>
      <c r="O24" s="288"/>
      <c r="P24" s="14"/>
      <c r="Q24" s="14"/>
      <c r="R24" s="58" t="s">
        <v>26</v>
      </c>
      <c r="S24" s="64">
        <f>'58C SFY 17-18 Persons Count'!AL20</f>
        <v>1.2999999999999999E-3</v>
      </c>
      <c r="T24" s="60">
        <f t="shared" si="22"/>
        <v>230</v>
      </c>
      <c r="U24" s="47"/>
      <c r="V24" s="58" t="s">
        <v>26</v>
      </c>
      <c r="W24" s="64">
        <f>'58C SFY 17-18 Persons Count'!AO20</f>
        <v>5.9999999999999995E-4</v>
      </c>
      <c r="X24" s="809">
        <f t="shared" si="23"/>
        <v>74</v>
      </c>
      <c r="Y24" s="60">
        <f t="shared" si="23"/>
        <v>66</v>
      </c>
      <c r="Z24" s="809">
        <f t="shared" si="23"/>
        <v>1</v>
      </c>
      <c r="AA24" s="809">
        <f t="shared" si="23"/>
        <v>70</v>
      </c>
      <c r="AB24" s="60">
        <f t="shared" si="23"/>
        <v>8</v>
      </c>
      <c r="AC24" s="809">
        <f t="shared" si="23"/>
        <v>0</v>
      </c>
      <c r="AD24" s="809">
        <f t="shared" si="23"/>
        <v>0</v>
      </c>
      <c r="AE24" s="280">
        <f t="shared" si="23"/>
        <v>0</v>
      </c>
      <c r="AF24" s="809">
        <f t="shared" si="17"/>
        <v>231</v>
      </c>
      <c r="AG24" s="279">
        <f t="shared" si="5"/>
        <v>450</v>
      </c>
      <c r="AH24" s="47"/>
      <c r="AI24" s="51"/>
      <c r="AJ24" s="292" t="s">
        <v>26</v>
      </c>
      <c r="AK24" s="291"/>
      <c r="AL24" s="288"/>
      <c r="AM24" s="288"/>
      <c r="AN24" s="288"/>
      <c r="AO24" s="288"/>
      <c r="AP24" s="14"/>
      <c r="AQ24" s="292" t="s">
        <v>26</v>
      </c>
      <c r="AR24" s="884"/>
      <c r="AS24" s="288"/>
      <c r="AT24" s="288"/>
      <c r="AU24" s="288"/>
      <c r="AV24" s="288"/>
      <c r="AW24" s="14"/>
      <c r="AX24" s="292" t="s">
        <v>26</v>
      </c>
      <c r="AY24" s="291"/>
      <c r="AZ24" s="288"/>
      <c r="BA24" s="288"/>
      <c r="BB24" s="288"/>
      <c r="BC24" s="288"/>
      <c r="BD24" s="14"/>
      <c r="BE24" s="292" t="s">
        <v>26</v>
      </c>
      <c r="BF24" s="291"/>
      <c r="BG24" s="288"/>
      <c r="BH24" s="47"/>
      <c r="BI24" s="285">
        <f t="shared" si="6"/>
        <v>74</v>
      </c>
      <c r="BJ24" s="285">
        <f t="shared" si="7"/>
        <v>2407</v>
      </c>
      <c r="BK24" s="285">
        <f t="shared" si="8"/>
        <v>1</v>
      </c>
      <c r="BL24" s="285">
        <f t="shared" si="9"/>
        <v>70</v>
      </c>
      <c r="BM24" s="285">
        <f t="shared" si="10"/>
        <v>51</v>
      </c>
      <c r="BN24" s="285">
        <f t="shared" si="11"/>
        <v>0</v>
      </c>
      <c r="BO24" s="285">
        <f t="shared" si="12"/>
        <v>0</v>
      </c>
      <c r="BP24" s="285">
        <f t="shared" si="13"/>
        <v>0</v>
      </c>
      <c r="BQ24" s="285">
        <f t="shared" si="14"/>
        <v>527</v>
      </c>
      <c r="BR24" s="66">
        <f t="shared" si="15"/>
        <v>3130</v>
      </c>
      <c r="BS24" s="14">
        <f t="shared" si="16"/>
        <v>0</v>
      </c>
      <c r="BT24" s="9"/>
    </row>
    <row r="25" spans="1:72">
      <c r="A25" s="274" t="s">
        <v>25</v>
      </c>
      <c r="B25" s="61">
        <f>'58C SFY 17-18 Persons Count'!AC21</f>
        <v>0</v>
      </c>
      <c r="C25" s="261">
        <f t="shared" si="24"/>
        <v>0</v>
      </c>
      <c r="D25" s="261">
        <f t="shared" ref="D25:D61" si="25">ROUND(D$6*$B25,0)</f>
        <v>0</v>
      </c>
      <c r="E25" s="734">
        <f>'58C SFY 17-18 Persons Count'!AE21</f>
        <v>0</v>
      </c>
      <c r="F25" s="261">
        <f t="shared" si="20"/>
        <v>0</v>
      </c>
      <c r="G25" s="62">
        <f t="shared" si="21"/>
        <v>0</v>
      </c>
      <c r="H25" s="193"/>
      <c r="I25" s="14"/>
      <c r="J25" s="279" t="s">
        <v>47</v>
      </c>
      <c r="K25" s="61">
        <f>'58C SFY 17-18 Persons Count'!Q21</f>
        <v>1</v>
      </c>
      <c r="L25" s="19">
        <f ca="1">L6</f>
        <v>710129</v>
      </c>
      <c r="M25" s="19">
        <f ca="1">M6</f>
        <v>13234</v>
      </c>
      <c r="N25" s="19">
        <f ca="1">N6</f>
        <v>389002</v>
      </c>
      <c r="O25" s="19">
        <f t="shared" ca="1" si="0"/>
        <v>1112365</v>
      </c>
      <c r="P25" s="14"/>
      <c r="Q25" s="14"/>
      <c r="R25" s="58" t="s">
        <v>25</v>
      </c>
      <c r="S25" s="64">
        <f>'58C SFY 17-18 Persons Count'!AL21</f>
        <v>0.44240000000000002</v>
      </c>
      <c r="T25" s="280">
        <f>ROUND(T$6*$S25,0)</f>
        <v>78101</v>
      </c>
      <c r="U25" s="47"/>
      <c r="V25" s="58" t="s">
        <v>25</v>
      </c>
      <c r="W25" s="64">
        <f>'58C SFY 17-18 Persons Count'!AO21</f>
        <v>0.28949999999999998</v>
      </c>
      <c r="X25" s="397">
        <f>ROUNDDOWN(X$6*$W25,0)</f>
        <v>35940</v>
      </c>
      <c r="Y25" s="60">
        <f t="shared" si="23"/>
        <v>32081</v>
      </c>
      <c r="Z25" s="280">
        <f>ROUND(Z$6*$W25,0)</f>
        <v>289</v>
      </c>
      <c r="AA25" s="809">
        <f t="shared" si="23"/>
        <v>33557</v>
      </c>
      <c r="AB25" s="60">
        <f t="shared" si="23"/>
        <v>3934</v>
      </c>
      <c r="AC25" s="809">
        <f t="shared" si="23"/>
        <v>11</v>
      </c>
      <c r="AD25" s="809">
        <f t="shared" si="23"/>
        <v>96</v>
      </c>
      <c r="AE25" s="280">
        <f>ROUND(AE$6*$W25,0)</f>
        <v>139</v>
      </c>
      <c r="AF25" s="809">
        <f>ROUND(AF$6*$W25,0)</f>
        <v>111487</v>
      </c>
      <c r="AG25" s="279">
        <f t="shared" si="5"/>
        <v>217534</v>
      </c>
      <c r="AH25" s="47"/>
      <c r="AI25" s="51"/>
      <c r="AJ25" s="292" t="s">
        <v>47</v>
      </c>
      <c r="AK25" s="291"/>
      <c r="AL25" s="288"/>
      <c r="AM25" s="288"/>
      <c r="AN25" s="288"/>
      <c r="AO25" s="288"/>
      <c r="AP25" s="14"/>
      <c r="AQ25" s="292" t="s">
        <v>47</v>
      </c>
      <c r="AR25" s="884"/>
      <c r="AS25" s="288"/>
      <c r="AT25" s="288"/>
      <c r="AU25" s="288"/>
      <c r="AV25" s="288"/>
      <c r="AW25" s="14"/>
      <c r="AX25" s="292" t="s">
        <v>47</v>
      </c>
      <c r="AY25" s="291"/>
      <c r="AZ25" s="288"/>
      <c r="BA25" s="288"/>
      <c r="BB25" s="288"/>
      <c r="BC25" s="288"/>
      <c r="BD25" s="14"/>
      <c r="BE25" s="292" t="s">
        <v>25</v>
      </c>
      <c r="BF25" s="291"/>
      <c r="BG25" s="288"/>
      <c r="BH25" s="47"/>
      <c r="BI25" s="285">
        <f t="shared" si="6"/>
        <v>35940</v>
      </c>
      <c r="BJ25" s="285">
        <f t="shared" ca="1" si="7"/>
        <v>820311</v>
      </c>
      <c r="BK25" s="285">
        <f t="shared" si="8"/>
        <v>289</v>
      </c>
      <c r="BL25" s="285">
        <f t="shared" si="9"/>
        <v>33557</v>
      </c>
      <c r="BM25" s="285">
        <f t="shared" ca="1" si="10"/>
        <v>17168</v>
      </c>
      <c r="BN25" s="285">
        <f t="shared" si="11"/>
        <v>11</v>
      </c>
      <c r="BO25" s="285">
        <f t="shared" si="12"/>
        <v>96</v>
      </c>
      <c r="BP25" s="285">
        <f t="shared" si="13"/>
        <v>139</v>
      </c>
      <c r="BQ25" s="285">
        <f t="shared" ca="1" si="14"/>
        <v>500489</v>
      </c>
      <c r="BR25" s="66">
        <f t="shared" ca="1" si="15"/>
        <v>1408000</v>
      </c>
      <c r="BS25" s="14">
        <f t="shared" ca="1" si="16"/>
        <v>0</v>
      </c>
      <c r="BT25" s="9"/>
    </row>
    <row r="26" spans="1:72">
      <c r="A26" s="286" t="s">
        <v>24</v>
      </c>
      <c r="B26" s="61">
        <f>'58C SFY 17-18 Persons Count'!AC22</f>
        <v>1.9199999999999998E-2</v>
      </c>
      <c r="C26" s="261">
        <f t="shared" si="24"/>
        <v>20265</v>
      </c>
      <c r="D26" s="261">
        <f t="shared" si="25"/>
        <v>413</v>
      </c>
      <c r="E26" s="734">
        <f>'58C SFY 17-18 Persons Count'!AE22</f>
        <v>2.23E-2</v>
      </c>
      <c r="F26" s="261">
        <f t="shared" si="20"/>
        <v>606</v>
      </c>
      <c r="G26" s="62">
        <f t="shared" si="21"/>
        <v>21284</v>
      </c>
      <c r="H26" s="193"/>
      <c r="I26" s="14"/>
      <c r="J26" s="292" t="s">
        <v>24</v>
      </c>
      <c r="K26" s="291"/>
      <c r="L26" s="288"/>
      <c r="M26" s="288"/>
      <c r="N26" s="288"/>
      <c r="O26" s="288"/>
      <c r="P26" s="14"/>
      <c r="Q26" s="14"/>
      <c r="R26" s="58" t="s">
        <v>24</v>
      </c>
      <c r="S26" s="64">
        <f>'58C SFY 17-18 Persons Count'!AL22</f>
        <v>1.12E-2</v>
      </c>
      <c r="T26" s="60">
        <f t="shared" ref="T26:T35" si="26">ROUND(T$6*$S26,0)</f>
        <v>1977</v>
      </c>
      <c r="U26" s="47"/>
      <c r="V26" s="58" t="s">
        <v>24</v>
      </c>
      <c r="W26" s="64">
        <f>'58C SFY 17-18 Persons Count'!AO22</f>
        <v>5.7999999999999996E-3</v>
      </c>
      <c r="X26" s="809">
        <f t="shared" si="23"/>
        <v>720</v>
      </c>
      <c r="Y26" s="60">
        <f t="shared" si="23"/>
        <v>643</v>
      </c>
      <c r="Z26" s="809">
        <f t="shared" si="23"/>
        <v>6</v>
      </c>
      <c r="AA26" s="809">
        <f t="shared" si="23"/>
        <v>672</v>
      </c>
      <c r="AB26" s="60">
        <f t="shared" si="23"/>
        <v>79</v>
      </c>
      <c r="AC26" s="809">
        <f t="shared" si="23"/>
        <v>0</v>
      </c>
      <c r="AD26" s="397">
        <f>ROUNDUP(AD$6*$W26,0)</f>
        <v>2</v>
      </c>
      <c r="AE26" s="809">
        <f t="shared" si="23"/>
        <v>3</v>
      </c>
      <c r="AF26" s="809">
        <f t="shared" si="17"/>
        <v>2234</v>
      </c>
      <c r="AG26" s="279">
        <f t="shared" si="5"/>
        <v>4359</v>
      </c>
      <c r="AH26" s="47"/>
      <c r="AI26" s="51"/>
      <c r="AJ26" s="292" t="s">
        <v>24</v>
      </c>
      <c r="AK26" s="291"/>
      <c r="AL26" s="288"/>
      <c r="AM26" s="288"/>
      <c r="AN26" s="288"/>
      <c r="AO26" s="288"/>
      <c r="AP26" s="14"/>
      <c r="AQ26" s="292" t="s">
        <v>24</v>
      </c>
      <c r="AR26" s="884"/>
      <c r="AS26" s="288"/>
      <c r="AT26" s="288"/>
      <c r="AU26" s="288"/>
      <c r="AV26" s="288"/>
      <c r="AW26" s="14"/>
      <c r="AX26" s="292" t="s">
        <v>24</v>
      </c>
      <c r="AY26" s="291"/>
      <c r="AZ26" s="288"/>
      <c r="BA26" s="288"/>
      <c r="BB26" s="288"/>
      <c r="BC26" s="288"/>
      <c r="BD26" s="14"/>
      <c r="BE26" s="292" t="s">
        <v>24</v>
      </c>
      <c r="BF26" s="291"/>
      <c r="BG26" s="288"/>
      <c r="BH26" s="47"/>
      <c r="BI26" s="285">
        <f t="shared" si="6"/>
        <v>720</v>
      </c>
      <c r="BJ26" s="285">
        <f t="shared" si="7"/>
        <v>22885</v>
      </c>
      <c r="BK26" s="285">
        <f t="shared" si="8"/>
        <v>6</v>
      </c>
      <c r="BL26" s="285">
        <f t="shared" si="9"/>
        <v>672</v>
      </c>
      <c r="BM26" s="285">
        <f t="shared" si="10"/>
        <v>492</v>
      </c>
      <c r="BN26" s="285">
        <f t="shared" si="11"/>
        <v>0</v>
      </c>
      <c r="BO26" s="285">
        <f t="shared" si="12"/>
        <v>2</v>
      </c>
      <c r="BP26" s="285">
        <f t="shared" si="13"/>
        <v>3</v>
      </c>
      <c r="BQ26" s="285">
        <f t="shared" si="14"/>
        <v>2840</v>
      </c>
      <c r="BR26" s="66">
        <f t="shared" si="15"/>
        <v>27620</v>
      </c>
      <c r="BS26" s="14">
        <f t="shared" si="16"/>
        <v>0</v>
      </c>
      <c r="BT26" s="9"/>
    </row>
    <row r="27" spans="1:72">
      <c r="A27" s="286" t="s">
        <v>23</v>
      </c>
      <c r="B27" s="61">
        <f>'58C SFY 17-18 Persons Count'!AC23</f>
        <v>1.12E-2</v>
      </c>
      <c r="C27" s="261">
        <f t="shared" si="24"/>
        <v>11821</v>
      </c>
      <c r="D27" s="261">
        <f t="shared" si="25"/>
        <v>241</v>
      </c>
      <c r="E27" s="734">
        <f>'58C SFY 17-18 Persons Count'!AE23</f>
        <v>0.1119</v>
      </c>
      <c r="F27" s="261">
        <f>ROUND(F$6*$E27,0)</f>
        <v>3041</v>
      </c>
      <c r="G27" s="62">
        <f t="shared" si="21"/>
        <v>15103</v>
      </c>
      <c r="H27" s="193"/>
      <c r="I27" s="14"/>
      <c r="J27" s="292" t="s">
        <v>23</v>
      </c>
      <c r="K27" s="291"/>
      <c r="L27" s="288"/>
      <c r="M27" s="288"/>
      <c r="N27" s="288"/>
      <c r="O27" s="288"/>
      <c r="P27" s="14"/>
      <c r="Q27" s="14"/>
      <c r="R27" s="58" t="s">
        <v>23</v>
      </c>
      <c r="S27" s="64">
        <f>'58C SFY 17-18 Persons Count'!AL23</f>
        <v>3.8999999999999998E-3</v>
      </c>
      <c r="T27" s="60">
        <f t="shared" si="26"/>
        <v>689</v>
      </c>
      <c r="U27" s="47"/>
      <c r="V27" s="58" t="s">
        <v>23</v>
      </c>
      <c r="W27" s="64">
        <f>'58C SFY 17-18 Persons Count'!AO23</f>
        <v>3.3999999999999998E-3</v>
      </c>
      <c r="X27" s="809">
        <f t="shared" si="23"/>
        <v>422</v>
      </c>
      <c r="Y27" s="60">
        <f t="shared" si="23"/>
        <v>377</v>
      </c>
      <c r="Z27" s="809">
        <f t="shared" si="23"/>
        <v>3</v>
      </c>
      <c r="AA27" s="809">
        <f t="shared" si="23"/>
        <v>394</v>
      </c>
      <c r="AB27" s="397">
        <f>ROUNDUP(AB$6*$W27,0)</f>
        <v>47</v>
      </c>
      <c r="AC27" s="809">
        <f t="shared" si="23"/>
        <v>0</v>
      </c>
      <c r="AD27" s="809">
        <f t="shared" si="23"/>
        <v>1</v>
      </c>
      <c r="AE27" s="809">
        <f t="shared" si="23"/>
        <v>2</v>
      </c>
      <c r="AF27" s="809">
        <f t="shared" si="17"/>
        <v>1309</v>
      </c>
      <c r="AG27" s="279">
        <f t="shared" si="5"/>
        <v>2555</v>
      </c>
      <c r="AH27" s="47"/>
      <c r="AI27" s="51"/>
      <c r="AJ27" s="292" t="s">
        <v>23</v>
      </c>
      <c r="AK27" s="291"/>
      <c r="AL27" s="288"/>
      <c r="AM27" s="288"/>
      <c r="AN27" s="288"/>
      <c r="AO27" s="288"/>
      <c r="AP27" s="14"/>
      <c r="AQ27" s="292" t="s">
        <v>23</v>
      </c>
      <c r="AR27" s="884"/>
      <c r="AS27" s="288"/>
      <c r="AT27" s="288"/>
      <c r="AU27" s="288"/>
      <c r="AV27" s="288"/>
      <c r="AW27" s="14"/>
      <c r="AX27" s="292" t="s">
        <v>23</v>
      </c>
      <c r="AY27" s="291"/>
      <c r="AZ27" s="288"/>
      <c r="BA27" s="288"/>
      <c r="BB27" s="288"/>
      <c r="BC27" s="288"/>
      <c r="BD27" s="14"/>
      <c r="BE27" s="292" t="s">
        <v>23</v>
      </c>
      <c r="BF27" s="291"/>
      <c r="BG27" s="288"/>
      <c r="BH27" s="47"/>
      <c r="BI27" s="285">
        <f t="shared" si="6"/>
        <v>422</v>
      </c>
      <c r="BJ27" s="285">
        <f t="shared" si="7"/>
        <v>12887</v>
      </c>
      <c r="BK27" s="285">
        <f t="shared" si="8"/>
        <v>3</v>
      </c>
      <c r="BL27" s="285">
        <f t="shared" si="9"/>
        <v>394</v>
      </c>
      <c r="BM27" s="285">
        <f t="shared" si="10"/>
        <v>288</v>
      </c>
      <c r="BN27" s="285">
        <f t="shared" si="11"/>
        <v>0</v>
      </c>
      <c r="BO27" s="285">
        <f t="shared" si="12"/>
        <v>1</v>
      </c>
      <c r="BP27" s="285">
        <f t="shared" si="13"/>
        <v>2</v>
      </c>
      <c r="BQ27" s="285">
        <f t="shared" si="14"/>
        <v>4350</v>
      </c>
      <c r="BR27" s="66">
        <f t="shared" si="15"/>
        <v>18347</v>
      </c>
      <c r="BS27" s="14">
        <f t="shared" si="16"/>
        <v>0</v>
      </c>
      <c r="BT27" s="9"/>
    </row>
    <row r="28" spans="1:72">
      <c r="A28" s="286" t="s">
        <v>22</v>
      </c>
      <c r="B28" s="61">
        <f>'58C SFY 17-18 Persons Count'!AC24</f>
        <v>1.2999999999999999E-3</v>
      </c>
      <c r="C28" s="261">
        <f t="shared" si="24"/>
        <v>1372</v>
      </c>
      <c r="D28" s="261">
        <f t="shared" si="25"/>
        <v>28</v>
      </c>
      <c r="E28" s="734">
        <f>'58C SFY 17-18 Persons Count'!AE24</f>
        <v>5.4999999999999997E-3</v>
      </c>
      <c r="F28" s="261">
        <f t="shared" ref="F28:F35" si="27">ROUND(F$6*$E28,0)</f>
        <v>149</v>
      </c>
      <c r="G28" s="62">
        <f t="shared" si="21"/>
        <v>1549</v>
      </c>
      <c r="H28" s="193"/>
      <c r="I28" s="14"/>
      <c r="J28" s="292" t="s">
        <v>22</v>
      </c>
      <c r="K28" s="291"/>
      <c r="L28" s="288"/>
      <c r="M28" s="288"/>
      <c r="N28" s="288"/>
      <c r="O28" s="288"/>
      <c r="P28" s="14"/>
      <c r="Q28" s="14"/>
      <c r="R28" s="58" t="s">
        <v>22</v>
      </c>
      <c r="S28" s="64">
        <f>'58C SFY 17-18 Persons Count'!AL24</f>
        <v>8.0000000000000004E-4</v>
      </c>
      <c r="T28" s="60">
        <f t="shared" si="26"/>
        <v>141</v>
      </c>
      <c r="U28" s="47"/>
      <c r="V28" s="58" t="s">
        <v>22</v>
      </c>
      <c r="W28" s="64">
        <f>'58C SFY 17-18 Persons Count'!AO24</f>
        <v>4.0000000000000002E-4</v>
      </c>
      <c r="X28" s="809">
        <f t="shared" si="23"/>
        <v>50</v>
      </c>
      <c r="Y28" s="60">
        <f t="shared" si="23"/>
        <v>44</v>
      </c>
      <c r="Z28" s="809">
        <f t="shared" si="23"/>
        <v>0</v>
      </c>
      <c r="AA28" s="809">
        <f t="shared" si="23"/>
        <v>46</v>
      </c>
      <c r="AB28" s="60">
        <f t="shared" si="23"/>
        <v>5</v>
      </c>
      <c r="AC28" s="809">
        <f t="shared" si="23"/>
        <v>0</v>
      </c>
      <c r="AD28" s="809">
        <f t="shared" si="23"/>
        <v>0</v>
      </c>
      <c r="AE28" s="809">
        <f t="shared" si="23"/>
        <v>0</v>
      </c>
      <c r="AF28" s="809">
        <f t="shared" si="17"/>
        <v>154</v>
      </c>
      <c r="AG28" s="279">
        <f t="shared" si="5"/>
        <v>299</v>
      </c>
      <c r="AH28" s="47"/>
      <c r="AI28" s="51"/>
      <c r="AJ28" s="292" t="s">
        <v>22</v>
      </c>
      <c r="AK28" s="291"/>
      <c r="AL28" s="288"/>
      <c r="AM28" s="288"/>
      <c r="AN28" s="288"/>
      <c r="AO28" s="288"/>
      <c r="AP28" s="14"/>
      <c r="AQ28" s="292" t="s">
        <v>22</v>
      </c>
      <c r="AR28" s="884"/>
      <c r="AS28" s="288"/>
      <c r="AT28" s="288"/>
      <c r="AU28" s="288"/>
      <c r="AV28" s="288"/>
      <c r="AW28" s="14"/>
      <c r="AX28" s="292" t="s">
        <v>22</v>
      </c>
      <c r="AY28" s="291"/>
      <c r="AZ28" s="288"/>
      <c r="BA28" s="288"/>
      <c r="BB28" s="288"/>
      <c r="BC28" s="288"/>
      <c r="BD28" s="14"/>
      <c r="BE28" s="292" t="s">
        <v>22</v>
      </c>
      <c r="BF28" s="291"/>
      <c r="BG28" s="288"/>
      <c r="BH28" s="47"/>
      <c r="BI28" s="285">
        <f t="shared" si="6"/>
        <v>50</v>
      </c>
      <c r="BJ28" s="285">
        <f t="shared" si="7"/>
        <v>1557</v>
      </c>
      <c r="BK28" s="285">
        <f t="shared" si="8"/>
        <v>0</v>
      </c>
      <c r="BL28" s="285">
        <f t="shared" si="9"/>
        <v>46</v>
      </c>
      <c r="BM28" s="285">
        <f t="shared" si="10"/>
        <v>33</v>
      </c>
      <c r="BN28" s="285">
        <f t="shared" si="11"/>
        <v>0</v>
      </c>
      <c r="BO28" s="285">
        <f t="shared" si="12"/>
        <v>0</v>
      </c>
      <c r="BP28" s="285">
        <f t="shared" si="13"/>
        <v>0</v>
      </c>
      <c r="BQ28" s="285">
        <f t="shared" si="14"/>
        <v>303</v>
      </c>
      <c r="BR28" s="66">
        <f t="shared" si="15"/>
        <v>1989</v>
      </c>
      <c r="BS28" s="14">
        <f t="shared" si="16"/>
        <v>0</v>
      </c>
      <c r="BT28" s="9"/>
    </row>
    <row r="29" spans="1:72">
      <c r="A29" s="286" t="s">
        <v>21</v>
      </c>
      <c r="B29" s="61">
        <f>'58C SFY 17-18 Persons Count'!AC25</f>
        <v>1.04E-2</v>
      </c>
      <c r="C29" s="261">
        <f t="shared" si="24"/>
        <v>10977</v>
      </c>
      <c r="D29" s="261">
        <f t="shared" si="25"/>
        <v>224</v>
      </c>
      <c r="E29" s="734">
        <f>'58C SFY 17-18 Persons Count'!AE25</f>
        <v>9.9000000000000008E-3</v>
      </c>
      <c r="F29" s="261">
        <f t="shared" si="27"/>
        <v>269</v>
      </c>
      <c r="G29" s="62">
        <f t="shared" si="21"/>
        <v>11470</v>
      </c>
      <c r="H29" s="193"/>
      <c r="I29" s="14"/>
      <c r="J29" s="292" t="s">
        <v>21</v>
      </c>
      <c r="K29" s="291"/>
      <c r="L29" s="288"/>
      <c r="M29" s="288"/>
      <c r="N29" s="288"/>
      <c r="O29" s="288"/>
      <c r="P29" s="14"/>
      <c r="Q29" s="14"/>
      <c r="R29" s="58" t="s">
        <v>21</v>
      </c>
      <c r="S29" s="64">
        <f>'58C SFY 17-18 Persons Count'!AL25</f>
        <v>4.7000000000000002E-3</v>
      </c>
      <c r="T29" s="60">
        <f t="shared" si="26"/>
        <v>830</v>
      </c>
      <c r="U29" s="47"/>
      <c r="V29" s="58" t="s">
        <v>21</v>
      </c>
      <c r="W29" s="64">
        <f>'58C SFY 17-18 Persons Count'!AO25</f>
        <v>3.2000000000000002E-3</v>
      </c>
      <c r="X29" s="809">
        <f t="shared" si="23"/>
        <v>397</v>
      </c>
      <c r="Y29" s="60">
        <f t="shared" si="23"/>
        <v>355</v>
      </c>
      <c r="Z29" s="809">
        <f t="shared" si="23"/>
        <v>3</v>
      </c>
      <c r="AA29" s="809">
        <f t="shared" si="23"/>
        <v>371</v>
      </c>
      <c r="AB29" s="60">
        <f t="shared" si="23"/>
        <v>43</v>
      </c>
      <c r="AC29" s="809">
        <f t="shared" si="23"/>
        <v>0</v>
      </c>
      <c r="AD29" s="809">
        <f t="shared" si="23"/>
        <v>1</v>
      </c>
      <c r="AE29" s="809">
        <f t="shared" si="23"/>
        <v>2</v>
      </c>
      <c r="AF29" s="809">
        <f t="shared" si="17"/>
        <v>1232</v>
      </c>
      <c r="AG29" s="279">
        <f t="shared" si="5"/>
        <v>2404</v>
      </c>
      <c r="AH29" s="47"/>
      <c r="AI29" s="51"/>
      <c r="AJ29" s="292" t="s">
        <v>21</v>
      </c>
      <c r="AK29" s="291"/>
      <c r="AL29" s="288"/>
      <c r="AM29" s="288"/>
      <c r="AN29" s="288"/>
      <c r="AO29" s="288"/>
      <c r="AP29" s="14"/>
      <c r="AQ29" s="292" t="s">
        <v>21</v>
      </c>
      <c r="AR29" s="884"/>
      <c r="AS29" s="288"/>
      <c r="AT29" s="288"/>
      <c r="AU29" s="288"/>
      <c r="AV29" s="288"/>
      <c r="AW29" s="14"/>
      <c r="AX29" s="292" t="s">
        <v>21</v>
      </c>
      <c r="AY29" s="291"/>
      <c r="AZ29" s="288"/>
      <c r="BA29" s="288"/>
      <c r="BB29" s="288"/>
      <c r="BC29" s="288"/>
      <c r="BD29" s="14"/>
      <c r="BE29" s="292" t="s">
        <v>21</v>
      </c>
      <c r="BF29" s="291"/>
      <c r="BG29" s="288"/>
      <c r="BH29" s="47"/>
      <c r="BI29" s="285">
        <f t="shared" si="6"/>
        <v>397</v>
      </c>
      <c r="BJ29" s="285">
        <f t="shared" si="7"/>
        <v>12162</v>
      </c>
      <c r="BK29" s="285">
        <f t="shared" si="8"/>
        <v>3</v>
      </c>
      <c r="BL29" s="285">
        <f t="shared" si="9"/>
        <v>371</v>
      </c>
      <c r="BM29" s="285">
        <f t="shared" si="10"/>
        <v>267</v>
      </c>
      <c r="BN29" s="285">
        <f t="shared" si="11"/>
        <v>0</v>
      </c>
      <c r="BO29" s="285">
        <f t="shared" si="12"/>
        <v>1</v>
      </c>
      <c r="BP29" s="285">
        <f t="shared" si="13"/>
        <v>2</v>
      </c>
      <c r="BQ29" s="285">
        <f t="shared" si="14"/>
        <v>1501</v>
      </c>
      <c r="BR29" s="66">
        <f t="shared" si="15"/>
        <v>14704</v>
      </c>
      <c r="BS29" s="14">
        <f t="shared" si="16"/>
        <v>0</v>
      </c>
      <c r="BT29" s="9"/>
    </row>
    <row r="30" spans="1:72">
      <c r="A30" s="286" t="s">
        <v>20</v>
      </c>
      <c r="B30" s="61">
        <f>'58C SFY 17-18 Persons Count'!AC26</f>
        <v>3.6600000000000001E-2</v>
      </c>
      <c r="C30" s="261">
        <f t="shared" si="24"/>
        <v>38630</v>
      </c>
      <c r="D30" s="261">
        <f t="shared" si="25"/>
        <v>787</v>
      </c>
      <c r="E30" s="734">
        <f>'58C SFY 17-18 Persons Count'!AE26</f>
        <v>1.66E-2</v>
      </c>
      <c r="F30" s="261">
        <f>ROUND(F$6*$E30,0)</f>
        <v>451</v>
      </c>
      <c r="G30" s="62">
        <f t="shared" si="21"/>
        <v>39868</v>
      </c>
      <c r="H30" s="193"/>
      <c r="I30" s="14"/>
      <c r="J30" s="292" t="s">
        <v>20</v>
      </c>
      <c r="K30" s="291"/>
      <c r="L30" s="288"/>
      <c r="M30" s="288"/>
      <c r="N30" s="288"/>
      <c r="O30" s="288"/>
      <c r="P30" s="14"/>
      <c r="Q30" s="14"/>
      <c r="R30" s="58" t="s">
        <v>20</v>
      </c>
      <c r="S30" s="64">
        <f>'58C SFY 17-18 Persons Count'!AL26</f>
        <v>2.1899999999999999E-2</v>
      </c>
      <c r="T30" s="60">
        <f t="shared" si="26"/>
        <v>3866</v>
      </c>
      <c r="U30" s="47"/>
      <c r="V30" s="58" t="s">
        <v>20</v>
      </c>
      <c r="W30" s="64">
        <f>'58C SFY 17-18 Persons Count'!AO26</f>
        <v>1.1099999999999999E-2</v>
      </c>
      <c r="X30" s="60">
        <f t="shared" si="23"/>
        <v>1378</v>
      </c>
      <c r="Y30" s="60">
        <f t="shared" si="23"/>
        <v>1230</v>
      </c>
      <c r="Z30" s="397">
        <f>ROUNDUP(Z$6*$W30,0)</f>
        <v>12</v>
      </c>
      <c r="AA30" s="60">
        <f t="shared" si="23"/>
        <v>1287</v>
      </c>
      <c r="AB30" s="60">
        <f t="shared" si="23"/>
        <v>151</v>
      </c>
      <c r="AC30" s="60">
        <f t="shared" si="23"/>
        <v>0</v>
      </c>
      <c r="AD30" s="60">
        <f t="shared" si="23"/>
        <v>4</v>
      </c>
      <c r="AE30" s="60">
        <f t="shared" si="23"/>
        <v>5</v>
      </c>
      <c r="AF30" s="60">
        <f t="shared" si="17"/>
        <v>4275</v>
      </c>
      <c r="AG30" s="279">
        <f t="shared" si="5"/>
        <v>8342</v>
      </c>
      <c r="AH30" s="47"/>
      <c r="AI30" s="51"/>
      <c r="AJ30" s="292" t="s">
        <v>20</v>
      </c>
      <c r="AK30" s="291"/>
      <c r="AL30" s="288"/>
      <c r="AM30" s="288"/>
      <c r="AN30" s="288"/>
      <c r="AO30" s="288"/>
      <c r="AP30" s="14"/>
      <c r="AQ30" s="292" t="s">
        <v>20</v>
      </c>
      <c r="AR30" s="884"/>
      <c r="AS30" s="288"/>
      <c r="AT30" s="288"/>
      <c r="AU30" s="288"/>
      <c r="AV30" s="288"/>
      <c r="AW30" s="14"/>
      <c r="AX30" s="292" t="s">
        <v>20</v>
      </c>
      <c r="AY30" s="291"/>
      <c r="AZ30" s="288"/>
      <c r="BA30" s="288"/>
      <c r="BB30" s="288"/>
      <c r="BC30" s="288"/>
      <c r="BD30" s="14"/>
      <c r="BE30" s="292" t="s">
        <v>20</v>
      </c>
      <c r="BF30" s="291"/>
      <c r="BG30" s="288"/>
      <c r="BH30" s="47"/>
      <c r="BI30" s="285">
        <f t="shared" si="6"/>
        <v>1378</v>
      </c>
      <c r="BJ30" s="285">
        <f t="shared" si="7"/>
        <v>43726</v>
      </c>
      <c r="BK30" s="285">
        <f t="shared" si="8"/>
        <v>12</v>
      </c>
      <c r="BL30" s="285">
        <f t="shared" si="9"/>
        <v>1287</v>
      </c>
      <c r="BM30" s="285">
        <f t="shared" si="10"/>
        <v>938</v>
      </c>
      <c r="BN30" s="285">
        <f t="shared" si="11"/>
        <v>0</v>
      </c>
      <c r="BO30" s="285">
        <f t="shared" si="12"/>
        <v>4</v>
      </c>
      <c r="BP30" s="285">
        <f t="shared" si="13"/>
        <v>5</v>
      </c>
      <c r="BQ30" s="285">
        <f t="shared" si="14"/>
        <v>4726</v>
      </c>
      <c r="BR30" s="66">
        <f t="shared" si="15"/>
        <v>52076</v>
      </c>
      <c r="BS30" s="14">
        <f t="shared" si="16"/>
        <v>0</v>
      </c>
      <c r="BT30" s="9"/>
    </row>
    <row r="31" spans="1:72">
      <c r="A31" s="286" t="s">
        <v>19</v>
      </c>
      <c r="B31" s="61">
        <f>'58C SFY 17-18 Persons Count'!AC27</f>
        <v>8.0000000000000004E-4</v>
      </c>
      <c r="C31" s="261">
        <f>ROUND(C$6*$B31,0)</f>
        <v>844</v>
      </c>
      <c r="D31" s="261">
        <f t="shared" si="25"/>
        <v>17</v>
      </c>
      <c r="E31" s="734">
        <f>'58C SFY 17-18 Persons Count'!AE27</f>
        <v>5.7000000000000002E-3</v>
      </c>
      <c r="F31" s="261">
        <f t="shared" si="27"/>
        <v>155</v>
      </c>
      <c r="G31" s="62">
        <f t="shared" si="21"/>
        <v>1016</v>
      </c>
      <c r="H31" s="193"/>
      <c r="I31" s="14"/>
      <c r="J31" s="292" t="s">
        <v>19</v>
      </c>
      <c r="K31" s="291"/>
      <c r="L31" s="288"/>
      <c r="M31" s="288"/>
      <c r="N31" s="288"/>
      <c r="O31" s="288"/>
      <c r="P31" s="14"/>
      <c r="Q31" s="14"/>
      <c r="R31" s="58" t="s">
        <v>19</v>
      </c>
      <c r="S31" s="64">
        <f>'58C SFY 17-18 Persons Count'!AL27</f>
        <v>5.0000000000000001E-4</v>
      </c>
      <c r="T31" s="60">
        <f t="shared" si="26"/>
        <v>88</v>
      </c>
      <c r="U31" s="47"/>
      <c r="V31" s="58" t="s">
        <v>19</v>
      </c>
      <c r="W31" s="64">
        <f>'58C SFY 17-18 Persons Count'!AO27</f>
        <v>2.0000000000000001E-4</v>
      </c>
      <c r="X31" s="60">
        <f t="shared" si="23"/>
        <v>25</v>
      </c>
      <c r="Y31" s="60">
        <f t="shared" si="23"/>
        <v>22</v>
      </c>
      <c r="Z31" s="809">
        <f t="shared" si="23"/>
        <v>0</v>
      </c>
      <c r="AA31" s="60">
        <f t="shared" si="23"/>
        <v>23</v>
      </c>
      <c r="AB31" s="60">
        <f t="shared" si="23"/>
        <v>3</v>
      </c>
      <c r="AC31" s="60">
        <f t="shared" si="23"/>
        <v>0</v>
      </c>
      <c r="AD31" s="60">
        <f t="shared" si="23"/>
        <v>0</v>
      </c>
      <c r="AE31" s="60">
        <f t="shared" si="23"/>
        <v>0</v>
      </c>
      <c r="AF31" s="60">
        <f t="shared" si="17"/>
        <v>77</v>
      </c>
      <c r="AG31" s="279">
        <f t="shared" si="5"/>
        <v>150</v>
      </c>
      <c r="AH31" s="47"/>
      <c r="AI31" s="51"/>
      <c r="AJ31" s="292" t="s">
        <v>19</v>
      </c>
      <c r="AK31" s="291"/>
      <c r="AL31" s="288"/>
      <c r="AM31" s="288"/>
      <c r="AN31" s="288"/>
      <c r="AO31" s="288"/>
      <c r="AP31" s="14"/>
      <c r="AQ31" s="292" t="s">
        <v>19</v>
      </c>
      <c r="AR31" s="884"/>
      <c r="AS31" s="288"/>
      <c r="AT31" s="288"/>
      <c r="AU31" s="288"/>
      <c r="AV31" s="288"/>
      <c r="AW31" s="14"/>
      <c r="AX31" s="292" t="s">
        <v>19</v>
      </c>
      <c r="AY31" s="291"/>
      <c r="AZ31" s="288"/>
      <c r="BA31" s="288"/>
      <c r="BB31" s="288"/>
      <c r="BC31" s="288"/>
      <c r="BD31" s="14"/>
      <c r="BE31" s="292" t="s">
        <v>19</v>
      </c>
      <c r="BF31" s="291"/>
      <c r="BG31" s="288"/>
      <c r="BH31" s="47"/>
      <c r="BI31" s="285">
        <f t="shared" si="6"/>
        <v>25</v>
      </c>
      <c r="BJ31" s="285">
        <f t="shared" si="7"/>
        <v>954</v>
      </c>
      <c r="BK31" s="285">
        <f t="shared" si="8"/>
        <v>0</v>
      </c>
      <c r="BL31" s="285">
        <f t="shared" si="9"/>
        <v>23</v>
      </c>
      <c r="BM31" s="285">
        <f t="shared" si="10"/>
        <v>20</v>
      </c>
      <c r="BN31" s="285">
        <f t="shared" si="11"/>
        <v>0</v>
      </c>
      <c r="BO31" s="285">
        <f t="shared" si="12"/>
        <v>0</v>
      </c>
      <c r="BP31" s="285">
        <f t="shared" si="13"/>
        <v>0</v>
      </c>
      <c r="BQ31" s="285">
        <f t="shared" si="14"/>
        <v>232</v>
      </c>
      <c r="BR31" s="66">
        <f t="shared" si="15"/>
        <v>1254</v>
      </c>
      <c r="BS31" s="14">
        <f t="shared" si="16"/>
        <v>0</v>
      </c>
      <c r="BT31" s="9"/>
    </row>
    <row r="32" spans="1:72">
      <c r="A32" s="286" t="s">
        <v>18</v>
      </c>
      <c r="B32" s="61">
        <f>'58C SFY 17-18 Persons Count'!AC28</f>
        <v>8.9999999999999998E-4</v>
      </c>
      <c r="C32" s="261">
        <f t="shared" si="24"/>
        <v>950</v>
      </c>
      <c r="D32" s="261">
        <f t="shared" si="25"/>
        <v>19</v>
      </c>
      <c r="E32" s="734">
        <f>'58C SFY 17-18 Persons Count'!AE28</f>
        <v>4.0000000000000002E-4</v>
      </c>
      <c r="F32" s="261">
        <f t="shared" si="27"/>
        <v>11</v>
      </c>
      <c r="G32" s="62">
        <f t="shared" si="21"/>
        <v>980</v>
      </c>
      <c r="H32" s="193"/>
      <c r="I32" s="14"/>
      <c r="J32" s="292" t="s">
        <v>18</v>
      </c>
      <c r="K32" s="291"/>
      <c r="L32" s="288"/>
      <c r="M32" s="288"/>
      <c r="N32" s="288"/>
      <c r="O32" s="288"/>
      <c r="P32" s="14"/>
      <c r="Q32" s="14"/>
      <c r="R32" s="58" t="s">
        <v>18</v>
      </c>
      <c r="S32" s="64">
        <f>'58C SFY 17-18 Persons Count'!AL28</f>
        <v>2.9999999999999997E-4</v>
      </c>
      <c r="T32" s="60">
        <f t="shared" si="26"/>
        <v>53</v>
      </c>
      <c r="U32" s="47"/>
      <c r="V32" s="58" t="s">
        <v>18</v>
      </c>
      <c r="W32" s="64">
        <f>'58C SFY 17-18 Persons Count'!AO28</f>
        <v>2.9999999999999997E-4</v>
      </c>
      <c r="X32" s="60">
        <f t="shared" si="23"/>
        <v>37</v>
      </c>
      <c r="Y32" s="60">
        <f t="shared" si="23"/>
        <v>33</v>
      </c>
      <c r="Z32" s="809">
        <f t="shared" si="23"/>
        <v>0</v>
      </c>
      <c r="AA32" s="60">
        <f t="shared" si="23"/>
        <v>35</v>
      </c>
      <c r="AB32" s="60">
        <f t="shared" si="23"/>
        <v>4</v>
      </c>
      <c r="AC32" s="60">
        <f t="shared" si="23"/>
        <v>0</v>
      </c>
      <c r="AD32" s="60">
        <f t="shared" si="23"/>
        <v>0</v>
      </c>
      <c r="AE32" s="60">
        <f t="shared" si="23"/>
        <v>0</v>
      </c>
      <c r="AF32" s="60">
        <f t="shared" si="17"/>
        <v>116</v>
      </c>
      <c r="AG32" s="279">
        <f t="shared" si="5"/>
        <v>225</v>
      </c>
      <c r="AH32" s="47"/>
      <c r="AI32" s="51"/>
      <c r="AJ32" s="292" t="s">
        <v>18</v>
      </c>
      <c r="AK32" s="291"/>
      <c r="AL32" s="288"/>
      <c r="AM32" s="288"/>
      <c r="AN32" s="288"/>
      <c r="AO32" s="288"/>
      <c r="AP32" s="14"/>
      <c r="AQ32" s="292" t="s">
        <v>18</v>
      </c>
      <c r="AR32" s="884"/>
      <c r="AS32" s="288"/>
      <c r="AT32" s="288"/>
      <c r="AU32" s="288"/>
      <c r="AV32" s="288"/>
      <c r="AW32" s="14"/>
      <c r="AX32" s="292" t="s">
        <v>18</v>
      </c>
      <c r="AY32" s="291"/>
      <c r="AZ32" s="288"/>
      <c r="BA32" s="288"/>
      <c r="BB32" s="288"/>
      <c r="BC32" s="288"/>
      <c r="BD32" s="14"/>
      <c r="BE32" s="292" t="s">
        <v>18</v>
      </c>
      <c r="BF32" s="291"/>
      <c r="BG32" s="288"/>
      <c r="BH32" s="47"/>
      <c r="BI32" s="285">
        <f t="shared" si="6"/>
        <v>37</v>
      </c>
      <c r="BJ32" s="285">
        <f t="shared" si="7"/>
        <v>1036</v>
      </c>
      <c r="BK32" s="285">
        <f t="shared" si="8"/>
        <v>0</v>
      </c>
      <c r="BL32" s="285">
        <f t="shared" si="9"/>
        <v>35</v>
      </c>
      <c r="BM32" s="285">
        <f t="shared" si="10"/>
        <v>23</v>
      </c>
      <c r="BN32" s="285">
        <f t="shared" si="11"/>
        <v>0</v>
      </c>
      <c r="BO32" s="285">
        <f t="shared" si="12"/>
        <v>0</v>
      </c>
      <c r="BP32" s="285">
        <f t="shared" si="13"/>
        <v>0</v>
      </c>
      <c r="BQ32" s="285">
        <f t="shared" si="14"/>
        <v>127</v>
      </c>
      <c r="BR32" s="66">
        <f t="shared" si="15"/>
        <v>1258</v>
      </c>
      <c r="BS32" s="14">
        <f t="shared" si="16"/>
        <v>0</v>
      </c>
      <c r="BT32" s="9"/>
    </row>
    <row r="33" spans="1:72">
      <c r="A33" s="286" t="s">
        <v>17</v>
      </c>
      <c r="B33" s="61">
        <f>'58C SFY 17-18 Persons Count'!AC29</f>
        <v>4.5900000000000003E-2</v>
      </c>
      <c r="C33" s="261">
        <f t="shared" si="24"/>
        <v>48446</v>
      </c>
      <c r="D33" s="261">
        <f t="shared" si="25"/>
        <v>987</v>
      </c>
      <c r="E33" s="734">
        <f>'58C SFY 17-18 Persons Count'!AE29</f>
        <v>8.2100000000000006E-2</v>
      </c>
      <c r="F33" s="261">
        <f t="shared" si="27"/>
        <v>2231</v>
      </c>
      <c r="G33" s="62">
        <f t="shared" si="21"/>
        <v>51664</v>
      </c>
      <c r="H33" s="193"/>
      <c r="I33" s="14"/>
      <c r="J33" s="292" t="s">
        <v>17</v>
      </c>
      <c r="K33" s="291"/>
      <c r="L33" s="288"/>
      <c r="M33" s="288"/>
      <c r="N33" s="288"/>
      <c r="O33" s="288"/>
      <c r="P33" s="14"/>
      <c r="Q33" s="14"/>
      <c r="R33" s="58" t="s">
        <v>17</v>
      </c>
      <c r="S33" s="64">
        <f>'58C SFY 17-18 Persons Count'!AL29</f>
        <v>1.83E-2</v>
      </c>
      <c r="T33" s="60">
        <f t="shared" si="26"/>
        <v>3231</v>
      </c>
      <c r="U33" s="47"/>
      <c r="V33" s="58" t="s">
        <v>17</v>
      </c>
      <c r="W33" s="64">
        <f>'58C SFY 17-18 Persons Count'!AO29</f>
        <v>1.3899999999999999E-2</v>
      </c>
      <c r="X33" s="60">
        <f t="shared" si="23"/>
        <v>1726</v>
      </c>
      <c r="Y33" s="60">
        <f t="shared" si="23"/>
        <v>1540</v>
      </c>
      <c r="Z33" s="809">
        <f t="shared" si="23"/>
        <v>14</v>
      </c>
      <c r="AA33" s="280">
        <f>ROUND(AA$6*$W33,0)</f>
        <v>1611</v>
      </c>
      <c r="AB33" s="60">
        <f t="shared" si="23"/>
        <v>189</v>
      </c>
      <c r="AC33" s="397">
        <f t="shared" ref="AC33" si="28">ROUNDUP(AC$6*$W33,0)</f>
        <v>1</v>
      </c>
      <c r="AD33" s="809">
        <f>ROUND(AD$6*$W33,0)</f>
        <v>5</v>
      </c>
      <c r="AE33" s="280">
        <f>ROUND(AE$6*$W33,0)</f>
        <v>7</v>
      </c>
      <c r="AF33" s="60">
        <f t="shared" si="17"/>
        <v>5353</v>
      </c>
      <c r="AG33" s="279">
        <f t="shared" si="5"/>
        <v>10446</v>
      </c>
      <c r="AH33" s="47"/>
      <c r="AI33" s="51"/>
      <c r="AJ33" s="292" t="s">
        <v>17</v>
      </c>
      <c r="AK33" s="291"/>
      <c r="AL33" s="288"/>
      <c r="AM33" s="288"/>
      <c r="AN33" s="288"/>
      <c r="AO33" s="288"/>
      <c r="AP33" s="14"/>
      <c r="AQ33" s="292" t="s">
        <v>17</v>
      </c>
      <c r="AR33" s="884"/>
      <c r="AS33" s="288"/>
      <c r="AT33" s="288"/>
      <c r="AU33" s="288"/>
      <c r="AV33" s="288"/>
      <c r="AW33" s="14"/>
      <c r="AX33" s="292" t="s">
        <v>17</v>
      </c>
      <c r="AY33" s="291"/>
      <c r="AZ33" s="288"/>
      <c r="BA33" s="288"/>
      <c r="BB33" s="288"/>
      <c r="BC33" s="288"/>
      <c r="BD33" s="14"/>
      <c r="BE33" s="292" t="s">
        <v>17</v>
      </c>
      <c r="BF33" s="291"/>
      <c r="BG33" s="288"/>
      <c r="BH33" s="47"/>
      <c r="BI33" s="285">
        <f t="shared" si="6"/>
        <v>1726</v>
      </c>
      <c r="BJ33" s="285">
        <f t="shared" si="7"/>
        <v>53217</v>
      </c>
      <c r="BK33" s="285">
        <f t="shared" si="8"/>
        <v>14</v>
      </c>
      <c r="BL33" s="285">
        <f t="shared" si="9"/>
        <v>1611</v>
      </c>
      <c r="BM33" s="285">
        <f t="shared" si="10"/>
        <v>1176</v>
      </c>
      <c r="BN33" s="285">
        <f t="shared" si="11"/>
        <v>1</v>
      </c>
      <c r="BO33" s="285">
        <f t="shared" si="12"/>
        <v>5</v>
      </c>
      <c r="BP33" s="285">
        <f t="shared" si="13"/>
        <v>7</v>
      </c>
      <c r="BQ33" s="285">
        <f t="shared" si="14"/>
        <v>7584</v>
      </c>
      <c r="BR33" s="66">
        <f t="shared" si="15"/>
        <v>65341</v>
      </c>
      <c r="BS33" s="14">
        <f t="shared" si="16"/>
        <v>0</v>
      </c>
      <c r="BT33" s="9"/>
    </row>
    <row r="34" spans="1:72">
      <c r="A34" s="286" t="s">
        <v>16</v>
      </c>
      <c r="B34" s="61">
        <f>'58C SFY 17-18 Persons Count'!AC30</f>
        <v>7.4000000000000003E-3</v>
      </c>
      <c r="C34" s="261">
        <f>ROUND(C$6*$B34,0)</f>
        <v>7810</v>
      </c>
      <c r="D34" s="261">
        <f t="shared" si="25"/>
        <v>159</v>
      </c>
      <c r="E34" s="734">
        <f>'58C SFY 17-18 Persons Count'!AE30</f>
        <v>3.5999999999999999E-3</v>
      </c>
      <c r="F34" s="261">
        <f t="shared" si="27"/>
        <v>98</v>
      </c>
      <c r="G34" s="62">
        <f t="shared" si="21"/>
        <v>8067</v>
      </c>
      <c r="H34" s="193"/>
      <c r="I34" s="14"/>
      <c r="J34" s="292" t="s">
        <v>16</v>
      </c>
      <c r="K34" s="291"/>
      <c r="L34" s="288"/>
      <c r="M34" s="288"/>
      <c r="N34" s="288"/>
      <c r="O34" s="288"/>
      <c r="P34" s="14"/>
      <c r="Q34" s="14"/>
      <c r="R34" s="58" t="s">
        <v>16</v>
      </c>
      <c r="S34" s="64">
        <f>'58C SFY 17-18 Persons Count'!AL30</f>
        <v>2.5000000000000001E-3</v>
      </c>
      <c r="T34" s="60">
        <f t="shared" si="26"/>
        <v>441</v>
      </c>
      <c r="U34" s="47"/>
      <c r="V34" s="58" t="s">
        <v>16</v>
      </c>
      <c r="W34" s="64">
        <f>'58C SFY 17-18 Persons Count'!AO30</f>
        <v>2.2000000000000001E-3</v>
      </c>
      <c r="X34" s="60">
        <f t="shared" si="23"/>
        <v>273</v>
      </c>
      <c r="Y34" s="60">
        <f t="shared" si="23"/>
        <v>244</v>
      </c>
      <c r="Z34" s="809">
        <f t="shared" si="23"/>
        <v>2</v>
      </c>
      <c r="AA34" s="60">
        <f t="shared" si="23"/>
        <v>255</v>
      </c>
      <c r="AB34" s="60">
        <f t="shared" si="23"/>
        <v>30</v>
      </c>
      <c r="AC34" s="60">
        <f t="shared" si="23"/>
        <v>0</v>
      </c>
      <c r="AD34" s="60">
        <f t="shared" si="23"/>
        <v>1</v>
      </c>
      <c r="AE34" s="60">
        <f t="shared" si="23"/>
        <v>1</v>
      </c>
      <c r="AF34" s="60">
        <f t="shared" si="17"/>
        <v>847</v>
      </c>
      <c r="AG34" s="279">
        <f t="shared" si="5"/>
        <v>1653</v>
      </c>
      <c r="AH34" s="47"/>
      <c r="AI34" s="51"/>
      <c r="AJ34" s="292" t="s">
        <v>16</v>
      </c>
      <c r="AK34" s="291"/>
      <c r="AL34" s="288"/>
      <c r="AM34" s="288"/>
      <c r="AN34" s="288"/>
      <c r="AO34" s="288"/>
      <c r="AP34" s="14"/>
      <c r="AQ34" s="292" t="s">
        <v>16</v>
      </c>
      <c r="AR34" s="884"/>
      <c r="AS34" s="288"/>
      <c r="AT34" s="288"/>
      <c r="AU34" s="288"/>
      <c r="AV34" s="288"/>
      <c r="AW34" s="14"/>
      <c r="AX34" s="292" t="s">
        <v>16</v>
      </c>
      <c r="AY34" s="291"/>
      <c r="AZ34" s="288"/>
      <c r="BA34" s="288"/>
      <c r="BB34" s="288"/>
      <c r="BC34" s="288"/>
      <c r="BD34" s="14"/>
      <c r="BE34" s="292" t="s">
        <v>16</v>
      </c>
      <c r="BF34" s="291"/>
      <c r="BG34" s="288"/>
      <c r="BH34" s="47"/>
      <c r="BI34" s="285">
        <f t="shared" si="6"/>
        <v>273</v>
      </c>
      <c r="BJ34" s="285">
        <f t="shared" si="7"/>
        <v>8495</v>
      </c>
      <c r="BK34" s="285">
        <f t="shared" si="8"/>
        <v>2</v>
      </c>
      <c r="BL34" s="285">
        <f t="shared" si="9"/>
        <v>255</v>
      </c>
      <c r="BM34" s="285">
        <f t="shared" si="10"/>
        <v>189</v>
      </c>
      <c r="BN34" s="285">
        <f t="shared" si="11"/>
        <v>0</v>
      </c>
      <c r="BO34" s="285">
        <f t="shared" si="12"/>
        <v>1</v>
      </c>
      <c r="BP34" s="285">
        <f t="shared" si="13"/>
        <v>1</v>
      </c>
      <c r="BQ34" s="285">
        <f t="shared" si="14"/>
        <v>945</v>
      </c>
      <c r="BR34" s="66">
        <f t="shared" si="15"/>
        <v>10161</v>
      </c>
      <c r="BS34" s="14">
        <f t="shared" si="16"/>
        <v>0</v>
      </c>
      <c r="BT34" s="9"/>
    </row>
    <row r="35" spans="1:72">
      <c r="A35" s="286" t="s">
        <v>15</v>
      </c>
      <c r="B35" s="61">
        <f>'58C SFY 17-18 Persons Count'!AC31</f>
        <v>6.3E-3</v>
      </c>
      <c r="C35" s="261">
        <f t="shared" si="24"/>
        <v>6649</v>
      </c>
      <c r="D35" s="261">
        <f t="shared" si="25"/>
        <v>135</v>
      </c>
      <c r="E35" s="734">
        <f>'58C SFY 17-18 Persons Count'!AE31</f>
        <v>1.4200000000000001E-2</v>
      </c>
      <c r="F35" s="261">
        <f t="shared" si="27"/>
        <v>386</v>
      </c>
      <c r="G35" s="62">
        <f t="shared" si="21"/>
        <v>7170</v>
      </c>
      <c r="H35" s="193"/>
      <c r="I35" s="14"/>
      <c r="J35" s="292" t="s">
        <v>15</v>
      </c>
      <c r="K35" s="291"/>
      <c r="L35" s="288"/>
      <c r="M35" s="288"/>
      <c r="N35" s="288"/>
      <c r="O35" s="288"/>
      <c r="P35" s="14"/>
      <c r="Q35" s="14"/>
      <c r="R35" s="58" t="s">
        <v>15</v>
      </c>
      <c r="S35" s="64">
        <f>'58C SFY 17-18 Persons Count'!AL31</f>
        <v>2.8999999999999998E-3</v>
      </c>
      <c r="T35" s="60">
        <f t="shared" si="26"/>
        <v>512</v>
      </c>
      <c r="U35" s="47"/>
      <c r="V35" s="58" t="s">
        <v>15</v>
      </c>
      <c r="W35" s="64">
        <f>'58C SFY 17-18 Persons Count'!AO31</f>
        <v>1.9E-3</v>
      </c>
      <c r="X35" s="60">
        <f t="shared" si="23"/>
        <v>236</v>
      </c>
      <c r="Y35" s="60">
        <f t="shared" si="23"/>
        <v>211</v>
      </c>
      <c r="Z35" s="809">
        <f t="shared" si="23"/>
        <v>2</v>
      </c>
      <c r="AA35" s="60">
        <f t="shared" si="23"/>
        <v>220</v>
      </c>
      <c r="AB35" s="60">
        <f t="shared" si="23"/>
        <v>26</v>
      </c>
      <c r="AC35" s="60">
        <f t="shared" si="23"/>
        <v>0</v>
      </c>
      <c r="AD35" s="60">
        <f t="shared" si="23"/>
        <v>1</v>
      </c>
      <c r="AE35" s="60">
        <f t="shared" si="23"/>
        <v>1</v>
      </c>
      <c r="AF35" s="60">
        <f t="shared" si="17"/>
        <v>732</v>
      </c>
      <c r="AG35" s="279">
        <f t="shared" si="5"/>
        <v>1429</v>
      </c>
      <c r="AH35" s="47"/>
      <c r="AI35" s="51"/>
      <c r="AJ35" s="292" t="s">
        <v>15</v>
      </c>
      <c r="AK35" s="291"/>
      <c r="AL35" s="288"/>
      <c r="AM35" s="288"/>
      <c r="AN35" s="288"/>
      <c r="AO35" s="288"/>
      <c r="AP35" s="14"/>
      <c r="AQ35" s="292" t="s">
        <v>15</v>
      </c>
      <c r="AR35" s="884"/>
      <c r="AS35" s="292"/>
      <c r="AT35" s="292"/>
      <c r="AU35" s="292"/>
      <c r="AV35" s="288"/>
      <c r="AW35" s="14"/>
      <c r="AX35" s="292" t="s">
        <v>15</v>
      </c>
      <c r="AY35" s="291"/>
      <c r="AZ35" s="288"/>
      <c r="BA35" s="288"/>
      <c r="BB35" s="288"/>
      <c r="BC35" s="288"/>
      <c r="BD35" s="14"/>
      <c r="BE35" s="292" t="s">
        <v>15</v>
      </c>
      <c r="BF35" s="291"/>
      <c r="BG35" s="288"/>
      <c r="BH35" s="47"/>
      <c r="BI35" s="285">
        <f t="shared" si="6"/>
        <v>236</v>
      </c>
      <c r="BJ35" s="285">
        <f t="shared" si="7"/>
        <v>7372</v>
      </c>
      <c r="BK35" s="285">
        <f t="shared" si="8"/>
        <v>2</v>
      </c>
      <c r="BL35" s="285">
        <f t="shared" si="9"/>
        <v>220</v>
      </c>
      <c r="BM35" s="285">
        <f t="shared" si="10"/>
        <v>161</v>
      </c>
      <c r="BN35" s="285">
        <f t="shared" si="11"/>
        <v>0</v>
      </c>
      <c r="BO35" s="285">
        <f t="shared" si="12"/>
        <v>1</v>
      </c>
      <c r="BP35" s="285">
        <f t="shared" si="13"/>
        <v>1</v>
      </c>
      <c r="BQ35" s="285">
        <f t="shared" si="14"/>
        <v>1118</v>
      </c>
      <c r="BR35" s="66">
        <f t="shared" si="15"/>
        <v>9111</v>
      </c>
      <c r="BS35" s="14">
        <f t="shared" si="16"/>
        <v>0</v>
      </c>
      <c r="BT35" s="9"/>
    </row>
    <row r="36" spans="1:72">
      <c r="A36" s="292" t="s">
        <v>168</v>
      </c>
      <c r="B36" s="291"/>
      <c r="C36" s="288"/>
      <c r="D36" s="288"/>
      <c r="E36" s="293"/>
      <c r="F36" s="288"/>
      <c r="G36" s="294"/>
      <c r="H36" s="193"/>
      <c r="I36" s="14"/>
      <c r="J36" s="292" t="s">
        <v>168</v>
      </c>
      <c r="K36" s="291"/>
      <c r="L36" s="288"/>
      <c r="M36" s="288"/>
      <c r="N36" s="288"/>
      <c r="O36" s="288"/>
      <c r="P36" s="14"/>
      <c r="Q36" s="14"/>
      <c r="R36" s="299" t="s">
        <v>168</v>
      </c>
      <c r="S36" s="287"/>
      <c r="T36" s="290"/>
      <c r="U36" s="47"/>
      <c r="V36" s="23" t="s">
        <v>168</v>
      </c>
      <c r="W36" s="64">
        <f>'58C SFY 17-18 Persons Count'!AO32</f>
        <v>6.59E-2</v>
      </c>
      <c r="X36" s="60">
        <f t="shared" si="23"/>
        <v>8181</v>
      </c>
      <c r="Y36" s="397">
        <f>ROUNDUP(Y$6*$W36,0)</f>
        <v>7303</v>
      </c>
      <c r="Z36" s="809">
        <f t="shared" si="23"/>
        <v>66</v>
      </c>
      <c r="AA36" s="60">
        <f t="shared" si="23"/>
        <v>7639</v>
      </c>
      <c r="AB36" s="60">
        <f t="shared" si="23"/>
        <v>896</v>
      </c>
      <c r="AC36" s="60">
        <f t="shared" si="23"/>
        <v>2</v>
      </c>
      <c r="AD36" s="60">
        <f t="shared" si="23"/>
        <v>22</v>
      </c>
      <c r="AE36" s="60">
        <f t="shared" si="23"/>
        <v>32</v>
      </c>
      <c r="AF36" s="397">
        <f>ROUNDDOWN(AF$6*$W36,0)</f>
        <v>25378</v>
      </c>
      <c r="AG36" s="279">
        <f t="shared" si="5"/>
        <v>49519</v>
      </c>
      <c r="AH36" s="47"/>
      <c r="AI36" s="51"/>
      <c r="AJ36" s="279" t="s">
        <v>168</v>
      </c>
      <c r="AK36" s="61">
        <v>0.126</v>
      </c>
      <c r="AL36" s="914">
        <f>ROUND(AL$6*AK36,0)-1</f>
        <v>72239</v>
      </c>
      <c r="AM36" s="65">
        <f>ROUND(AM$6*AK36,0)</f>
        <v>1108</v>
      </c>
      <c r="AN36" s="65">
        <f>ROUND(AN$6*AK36,0)</f>
        <v>11277</v>
      </c>
      <c r="AO36" s="50">
        <f>SUM(AL36:AN36)</f>
        <v>84624</v>
      </c>
      <c r="AP36" s="14"/>
      <c r="AQ36" s="279" t="s">
        <v>168</v>
      </c>
      <c r="AR36" s="914">
        <f>SUMIF('4th Q CalWIN M&amp;O (County)'!$A$4:$A$82,'4th Q Co Share Calculations'!AQ36,'4th Q CalWIN M&amp;O (County)'!$J$4:$J$82)+2</f>
        <v>39238</v>
      </c>
      <c r="AS36" s="65">
        <f t="shared" ref="AS36:AU37" si="29">ROUND($AR36*AS$5,0)</f>
        <v>33495</v>
      </c>
      <c r="AT36" s="65">
        <f t="shared" si="29"/>
        <v>514</v>
      </c>
      <c r="AU36" s="65">
        <f t="shared" si="29"/>
        <v>5229</v>
      </c>
      <c r="AV36" s="50">
        <f>SUM(AS36:AU36)</f>
        <v>39238</v>
      </c>
      <c r="AW36" s="14"/>
      <c r="AX36" s="279" t="s">
        <v>168</v>
      </c>
      <c r="AY36" s="61">
        <v>0.126</v>
      </c>
      <c r="AZ36" s="65">
        <f>ROUND(AZ$6*AY36,0)</f>
        <v>3158</v>
      </c>
      <c r="BA36" s="65">
        <f>ROUND(BA$6*AY36,0)</f>
        <v>49</v>
      </c>
      <c r="BB36" s="65">
        <f>ROUND(BB$6*AY36,0)</f>
        <v>493</v>
      </c>
      <c r="BC36" s="50">
        <f>SUM(AZ36:BB36)</f>
        <v>3700</v>
      </c>
      <c r="BD36" s="14"/>
      <c r="BE36" s="279" t="s">
        <v>168</v>
      </c>
      <c r="BF36" s="61">
        <v>0.1409</v>
      </c>
      <c r="BG36" s="65">
        <f>ROUNDDOWN(BF36*BG$6,0)</f>
        <v>5522</v>
      </c>
      <c r="BH36" s="47"/>
      <c r="BI36" s="285">
        <f t="shared" si="6"/>
        <v>8181</v>
      </c>
      <c r="BJ36" s="285">
        <f t="shared" si="7"/>
        <v>121717</v>
      </c>
      <c r="BK36" s="285">
        <f t="shared" si="8"/>
        <v>66</v>
      </c>
      <c r="BL36" s="285">
        <f t="shared" si="9"/>
        <v>7639</v>
      </c>
      <c r="BM36" s="285">
        <f t="shared" si="10"/>
        <v>2567</v>
      </c>
      <c r="BN36" s="285">
        <f t="shared" si="11"/>
        <v>2</v>
      </c>
      <c r="BO36" s="285">
        <f t="shared" si="12"/>
        <v>22</v>
      </c>
      <c r="BP36" s="285">
        <f t="shared" si="13"/>
        <v>32</v>
      </c>
      <c r="BQ36" s="285">
        <f t="shared" si="14"/>
        <v>42377</v>
      </c>
      <c r="BR36" s="66">
        <f t="shared" si="15"/>
        <v>182603</v>
      </c>
      <c r="BS36" s="14">
        <f t="shared" si="16"/>
        <v>0</v>
      </c>
      <c r="BT36" s="9"/>
    </row>
    <row r="37" spans="1:72">
      <c r="A37" s="292" t="s">
        <v>167</v>
      </c>
      <c r="B37" s="291"/>
      <c r="C37" s="288"/>
      <c r="D37" s="288"/>
      <c r="E37" s="293"/>
      <c r="F37" s="288"/>
      <c r="G37" s="294"/>
      <c r="H37" s="193"/>
      <c r="I37" s="14"/>
      <c r="J37" s="292" t="s">
        <v>167</v>
      </c>
      <c r="K37" s="291"/>
      <c r="L37" s="288"/>
      <c r="M37" s="288"/>
      <c r="N37" s="288"/>
      <c r="O37" s="288"/>
      <c r="P37" s="14"/>
      <c r="Q37" s="14"/>
      <c r="R37" s="299" t="s">
        <v>167</v>
      </c>
      <c r="S37" s="287"/>
      <c r="T37" s="290"/>
      <c r="U37" s="47"/>
      <c r="V37" s="58" t="s">
        <v>167</v>
      </c>
      <c r="W37" s="64">
        <f>'58C SFY 17-18 Persons Count'!AO33</f>
        <v>4.4999999999999997E-3</v>
      </c>
      <c r="X37" s="60">
        <f t="shared" ref="X37:AE54" si="30">ROUND(X$6*$W37,0)</f>
        <v>559</v>
      </c>
      <c r="Y37" s="60">
        <f t="shared" si="23"/>
        <v>499</v>
      </c>
      <c r="Z37" s="809">
        <f t="shared" si="23"/>
        <v>4</v>
      </c>
      <c r="AA37" s="60">
        <f t="shared" si="30"/>
        <v>522</v>
      </c>
      <c r="AB37" s="60">
        <f t="shared" si="23"/>
        <v>61</v>
      </c>
      <c r="AC37" s="397">
        <f t="shared" ref="AC37" si="31">ROUNDUP(AC$6*$W37,0)</f>
        <v>1</v>
      </c>
      <c r="AD37" s="809">
        <f>ROUND(AD$6*$W37,0)</f>
        <v>1</v>
      </c>
      <c r="AE37" s="60">
        <f t="shared" si="30"/>
        <v>2</v>
      </c>
      <c r="AF37" s="60">
        <f t="shared" si="17"/>
        <v>1733</v>
      </c>
      <c r="AG37" s="279">
        <f t="shared" si="5"/>
        <v>3382</v>
      </c>
      <c r="AH37" s="47"/>
      <c r="AI37" s="51"/>
      <c r="AJ37" s="279" t="s">
        <v>167</v>
      </c>
      <c r="AK37" s="61">
        <v>9.1000000000000004E-3</v>
      </c>
      <c r="AL37" s="65">
        <f>ROUND(AL$6*AK37,0)</f>
        <v>5217</v>
      </c>
      <c r="AM37" s="65">
        <f>ROUND(AM$6*AK37,0)</f>
        <v>80</v>
      </c>
      <c r="AN37" s="65">
        <f>ROUND(AN$6*AK37,0)</f>
        <v>814</v>
      </c>
      <c r="AO37" s="50">
        <f>SUM(AL37:AN37)</f>
        <v>6111</v>
      </c>
      <c r="AP37" s="14"/>
      <c r="AQ37" s="279" t="s">
        <v>167</v>
      </c>
      <c r="AR37" s="914">
        <f>SUMIF('4th Q CalWIN M&amp;O (County)'!$A$4:$A$82,'4th Q Co Share Calculations'!AQ37,'4th Q CalWIN M&amp;O (County)'!$J$4:$J$82)+1</f>
        <v>6181</v>
      </c>
      <c r="AS37" s="65">
        <f t="shared" si="29"/>
        <v>5276</v>
      </c>
      <c r="AT37" s="65">
        <f t="shared" si="29"/>
        <v>81</v>
      </c>
      <c r="AU37" s="65">
        <f t="shared" si="29"/>
        <v>824</v>
      </c>
      <c r="AV37" s="50">
        <f>SUM(AS37:AU37)</f>
        <v>6181</v>
      </c>
      <c r="AW37" s="14"/>
      <c r="AX37" s="279" t="s">
        <v>167</v>
      </c>
      <c r="AY37" s="61">
        <v>9.1000000000000004E-3</v>
      </c>
      <c r="AZ37" s="65">
        <f>ROUND(AZ$6*AY37,0)</f>
        <v>228</v>
      </c>
      <c r="BA37" s="65">
        <f>ROUND(BA$6*AY37,0)</f>
        <v>4</v>
      </c>
      <c r="BB37" s="65">
        <f>ROUND(BB$6*AY37,0)</f>
        <v>36</v>
      </c>
      <c r="BC37" s="50">
        <f>SUM(AZ37:BB37)</f>
        <v>268</v>
      </c>
      <c r="BD37" s="14"/>
      <c r="BE37" s="279" t="s">
        <v>167</v>
      </c>
      <c r="BF37" s="61">
        <v>9.9000000000000008E-3</v>
      </c>
      <c r="BG37" s="65">
        <f>ROUND(BF37*BG$6,0)</f>
        <v>388</v>
      </c>
      <c r="BH37" s="47"/>
      <c r="BI37" s="285">
        <f t="shared" si="6"/>
        <v>559</v>
      </c>
      <c r="BJ37" s="285">
        <f t="shared" si="7"/>
        <v>11608</v>
      </c>
      <c r="BK37" s="285">
        <f t="shared" si="8"/>
        <v>4</v>
      </c>
      <c r="BL37" s="285">
        <f t="shared" si="9"/>
        <v>522</v>
      </c>
      <c r="BM37" s="285">
        <f t="shared" si="10"/>
        <v>226</v>
      </c>
      <c r="BN37" s="285">
        <f t="shared" si="11"/>
        <v>1</v>
      </c>
      <c r="BO37" s="285">
        <f t="shared" si="12"/>
        <v>1</v>
      </c>
      <c r="BP37" s="285">
        <f t="shared" si="13"/>
        <v>2</v>
      </c>
      <c r="BQ37" s="285">
        <f t="shared" si="14"/>
        <v>3407</v>
      </c>
      <c r="BR37" s="66">
        <f t="shared" si="15"/>
        <v>16330</v>
      </c>
      <c r="BS37" s="14">
        <f t="shared" si="16"/>
        <v>0</v>
      </c>
      <c r="BT37" s="9"/>
    </row>
    <row r="38" spans="1:72">
      <c r="A38" s="261" t="s">
        <v>14</v>
      </c>
      <c r="B38" s="61">
        <f>'58C SFY 17-18 Persons Count'!AC34</f>
        <v>1.6000000000000001E-3</v>
      </c>
      <c r="C38" s="21">
        <f t="shared" si="24"/>
        <v>1689</v>
      </c>
      <c r="D38" s="21">
        <f t="shared" si="25"/>
        <v>34</v>
      </c>
      <c r="E38" s="63">
        <f>'58C SFY 17-18 Persons Count'!AE34</f>
        <v>5.1000000000000004E-3</v>
      </c>
      <c r="F38" s="21">
        <f>ROUND(F$6*$E38,0)</f>
        <v>139</v>
      </c>
      <c r="G38" s="62">
        <f>SUM(C38:D38,F38)</f>
        <v>1862</v>
      </c>
      <c r="H38" s="193"/>
      <c r="I38" s="14"/>
      <c r="J38" s="292" t="s">
        <v>14</v>
      </c>
      <c r="K38" s="291"/>
      <c r="L38" s="288"/>
      <c r="M38" s="288"/>
      <c r="N38" s="288"/>
      <c r="O38" s="288"/>
      <c r="P38" s="14"/>
      <c r="Q38" s="14"/>
      <c r="R38" s="58" t="s">
        <v>14</v>
      </c>
      <c r="S38" s="64">
        <f>'58C SFY 17-18 Persons Count'!AL34</f>
        <v>8.9999999999999998E-4</v>
      </c>
      <c r="T38" s="60">
        <f>ROUND(T$6*$S38,0)</f>
        <v>159</v>
      </c>
      <c r="U38" s="47"/>
      <c r="V38" s="58" t="s">
        <v>14</v>
      </c>
      <c r="W38" s="64">
        <f>'58C SFY 17-18 Persons Count'!AO34</f>
        <v>5.0000000000000001E-4</v>
      </c>
      <c r="X38" s="60">
        <f t="shared" si="23"/>
        <v>62</v>
      </c>
      <c r="Y38" s="60">
        <f t="shared" si="23"/>
        <v>55</v>
      </c>
      <c r="Z38" s="809">
        <f t="shared" ref="Y38:Z60" si="32">ROUND(Z$6*$W38,0)</f>
        <v>0</v>
      </c>
      <c r="AA38" s="60">
        <f t="shared" si="23"/>
        <v>58</v>
      </c>
      <c r="AB38" s="60">
        <f t="shared" si="23"/>
        <v>7</v>
      </c>
      <c r="AC38" s="60">
        <f t="shared" si="23"/>
        <v>0</v>
      </c>
      <c r="AD38" s="60">
        <f t="shared" si="23"/>
        <v>0</v>
      </c>
      <c r="AE38" s="60">
        <f t="shared" si="23"/>
        <v>0</v>
      </c>
      <c r="AF38" s="60">
        <f t="shared" si="17"/>
        <v>193</v>
      </c>
      <c r="AG38" s="279">
        <f t="shared" si="5"/>
        <v>375</v>
      </c>
      <c r="AH38" s="47"/>
      <c r="AI38" s="51"/>
      <c r="AJ38" s="292" t="s">
        <v>14</v>
      </c>
      <c r="AK38" s="291"/>
      <c r="AL38" s="288"/>
      <c r="AM38" s="288"/>
      <c r="AN38" s="288"/>
      <c r="AO38" s="288"/>
      <c r="AP38" s="14"/>
      <c r="AQ38" s="292" t="s">
        <v>14</v>
      </c>
      <c r="AR38" s="884"/>
      <c r="AS38" s="292"/>
      <c r="AT38" s="292"/>
      <c r="AU38" s="292"/>
      <c r="AV38" s="288"/>
      <c r="AW38" s="14"/>
      <c r="AX38" s="292" t="s">
        <v>14</v>
      </c>
      <c r="AY38" s="291"/>
      <c r="AZ38" s="288"/>
      <c r="BA38" s="288"/>
      <c r="BB38" s="288"/>
      <c r="BC38" s="288"/>
      <c r="BD38" s="14"/>
      <c r="BE38" s="292" t="s">
        <v>14</v>
      </c>
      <c r="BF38" s="291"/>
      <c r="BG38" s="288"/>
      <c r="BH38" s="47"/>
      <c r="BI38" s="285">
        <f t="shared" si="6"/>
        <v>62</v>
      </c>
      <c r="BJ38" s="285">
        <f t="shared" si="7"/>
        <v>1903</v>
      </c>
      <c r="BK38" s="285">
        <f t="shared" si="8"/>
        <v>0</v>
      </c>
      <c r="BL38" s="285">
        <f t="shared" si="9"/>
        <v>58</v>
      </c>
      <c r="BM38" s="285">
        <f t="shared" si="10"/>
        <v>41</v>
      </c>
      <c r="BN38" s="285">
        <f t="shared" si="11"/>
        <v>0</v>
      </c>
      <c r="BO38" s="285">
        <f t="shared" si="12"/>
        <v>0</v>
      </c>
      <c r="BP38" s="285">
        <f t="shared" si="13"/>
        <v>0</v>
      </c>
      <c r="BQ38" s="285">
        <f t="shared" si="14"/>
        <v>332</v>
      </c>
      <c r="BR38" s="66">
        <f t="shared" si="15"/>
        <v>2396</v>
      </c>
      <c r="BS38" s="14">
        <f t="shared" si="16"/>
        <v>0</v>
      </c>
      <c r="BT38" s="9"/>
    </row>
    <row r="39" spans="1:72">
      <c r="A39" s="261" t="s">
        <v>13</v>
      </c>
      <c r="B39" s="61">
        <f>'58C SFY 17-18 Persons Count'!AC35</f>
        <v>0.21110000000000001</v>
      </c>
      <c r="C39" s="261">
        <f>ROUND(C$6*$B39,0)</f>
        <v>222807</v>
      </c>
      <c r="D39" s="261">
        <f>ROUND(D$6*$B39,0)</f>
        <v>4537</v>
      </c>
      <c r="E39" s="63">
        <f>'58C SFY 17-18 Persons Count'!AE35</f>
        <v>2.1700000000000001E-2</v>
      </c>
      <c r="F39" s="21">
        <f>ROUND(F$6*$E39,0)</f>
        <v>590</v>
      </c>
      <c r="G39" s="62">
        <f>SUM(C39:D39,F39)</f>
        <v>227934</v>
      </c>
      <c r="H39" s="193"/>
      <c r="I39" s="14"/>
      <c r="J39" s="292" t="s">
        <v>13</v>
      </c>
      <c r="K39" s="291"/>
      <c r="L39" s="288"/>
      <c r="M39" s="288"/>
      <c r="N39" s="288"/>
      <c r="O39" s="288"/>
      <c r="P39" s="14"/>
      <c r="Q39" s="14"/>
      <c r="R39" s="58" t="s">
        <v>13</v>
      </c>
      <c r="S39" s="64">
        <f>'58C SFY 17-18 Persons Count'!AL35</f>
        <v>0.1082</v>
      </c>
      <c r="T39" s="280">
        <f>ROUND(T$6*$S39,0)</f>
        <v>19102</v>
      </c>
      <c r="U39" s="47"/>
      <c r="V39" s="58" t="s">
        <v>13</v>
      </c>
      <c r="W39" s="64">
        <f>'58C SFY 17-18 Persons Count'!AO35</f>
        <v>6.3799999999999996E-2</v>
      </c>
      <c r="X39" s="280">
        <f>ROUND(X$6*$W39,0)</f>
        <v>7921</v>
      </c>
      <c r="Y39" s="60">
        <f t="shared" si="32"/>
        <v>7070</v>
      </c>
      <c r="Z39" s="280">
        <f>ROUND(Z$6*$W39,0)</f>
        <v>64</v>
      </c>
      <c r="AA39" s="60">
        <f t="shared" si="30"/>
        <v>7395</v>
      </c>
      <c r="AB39" s="60">
        <f t="shared" si="30"/>
        <v>867</v>
      </c>
      <c r="AC39" s="60">
        <f t="shared" si="30"/>
        <v>2</v>
      </c>
      <c r="AD39" s="60">
        <f t="shared" si="30"/>
        <v>21</v>
      </c>
      <c r="AE39" s="60">
        <f t="shared" si="30"/>
        <v>31</v>
      </c>
      <c r="AF39" s="809">
        <f>ROUND(AF$6*$W39,0)</f>
        <v>24570</v>
      </c>
      <c r="AG39" s="279">
        <f t="shared" si="5"/>
        <v>47941</v>
      </c>
      <c r="AH39" s="47"/>
      <c r="AI39" s="51"/>
      <c r="AJ39" s="292" t="s">
        <v>13</v>
      </c>
      <c r="AK39" s="291"/>
      <c r="AL39" s="288"/>
      <c r="AM39" s="288"/>
      <c r="AN39" s="288"/>
      <c r="AO39" s="288"/>
      <c r="AP39" s="14"/>
      <c r="AQ39" s="292" t="s">
        <v>13</v>
      </c>
      <c r="AR39" s="884"/>
      <c r="AS39" s="292"/>
      <c r="AT39" s="292"/>
      <c r="AU39" s="292"/>
      <c r="AV39" s="288"/>
      <c r="AW39" s="14"/>
      <c r="AX39" s="292" t="s">
        <v>13</v>
      </c>
      <c r="AY39" s="291"/>
      <c r="AZ39" s="288"/>
      <c r="BA39" s="288"/>
      <c r="BB39" s="288"/>
      <c r="BC39" s="288"/>
      <c r="BD39" s="14"/>
      <c r="BE39" s="292" t="s">
        <v>13</v>
      </c>
      <c r="BF39" s="291"/>
      <c r="BG39" s="288"/>
      <c r="BH39" s="47"/>
      <c r="BI39" s="285">
        <f t="shared" si="6"/>
        <v>7921</v>
      </c>
      <c r="BJ39" s="285">
        <f t="shared" si="7"/>
        <v>248979</v>
      </c>
      <c r="BK39" s="285">
        <f t="shared" si="8"/>
        <v>64</v>
      </c>
      <c r="BL39" s="285">
        <f t="shared" si="9"/>
        <v>7395</v>
      </c>
      <c r="BM39" s="285">
        <f t="shared" si="10"/>
        <v>5404</v>
      </c>
      <c r="BN39" s="285">
        <f t="shared" si="11"/>
        <v>2</v>
      </c>
      <c r="BO39" s="285">
        <f t="shared" si="12"/>
        <v>21</v>
      </c>
      <c r="BP39" s="285">
        <f t="shared" si="13"/>
        <v>31</v>
      </c>
      <c r="BQ39" s="285">
        <f t="shared" si="14"/>
        <v>25160</v>
      </c>
      <c r="BR39" s="66">
        <f t="shared" si="15"/>
        <v>294977</v>
      </c>
      <c r="BS39" s="14">
        <f t="shared" si="16"/>
        <v>0</v>
      </c>
      <c r="BT39" s="9"/>
    </row>
    <row r="40" spans="1:72">
      <c r="A40" s="292" t="s">
        <v>166</v>
      </c>
      <c r="B40" s="291"/>
      <c r="C40" s="295"/>
      <c r="D40" s="288"/>
      <c r="E40" s="293"/>
      <c r="F40" s="288"/>
      <c r="G40" s="294"/>
      <c r="H40" s="193"/>
      <c r="I40" s="14"/>
      <c r="J40" s="292" t="s">
        <v>166</v>
      </c>
      <c r="K40" s="291"/>
      <c r="L40" s="288"/>
      <c r="M40" s="288"/>
      <c r="N40" s="288"/>
      <c r="O40" s="288"/>
      <c r="P40" s="14"/>
      <c r="Q40" s="14"/>
      <c r="R40" s="299" t="s">
        <v>166</v>
      </c>
      <c r="S40" s="287"/>
      <c r="T40" s="289"/>
      <c r="U40" s="47"/>
      <c r="V40" s="58" t="s">
        <v>166</v>
      </c>
      <c r="W40" s="64">
        <f>'58C SFY 17-18 Persons Count'!AO36</f>
        <v>4.19E-2</v>
      </c>
      <c r="X40" s="60">
        <f t="shared" si="30"/>
        <v>5202</v>
      </c>
      <c r="Y40" s="60">
        <f t="shared" si="32"/>
        <v>4643</v>
      </c>
      <c r="Z40" s="809">
        <f t="shared" si="32"/>
        <v>42</v>
      </c>
      <c r="AA40" s="60">
        <f t="shared" si="30"/>
        <v>4857</v>
      </c>
      <c r="AB40" s="60">
        <f t="shared" si="30"/>
        <v>569</v>
      </c>
      <c r="AC40" s="60">
        <f t="shared" si="30"/>
        <v>2</v>
      </c>
      <c r="AD40" s="60">
        <f t="shared" si="30"/>
        <v>14</v>
      </c>
      <c r="AE40" s="397">
        <f>ROUNDUP(AE$6*$W40,0)</f>
        <v>21</v>
      </c>
      <c r="AF40" s="60">
        <f t="shared" si="17"/>
        <v>16136</v>
      </c>
      <c r="AG40" s="279">
        <f t="shared" si="5"/>
        <v>31486</v>
      </c>
      <c r="AH40" s="47"/>
      <c r="AI40" s="51"/>
      <c r="AJ40" s="279" t="s">
        <v>166</v>
      </c>
      <c r="AK40" s="61">
        <v>0.1096</v>
      </c>
      <c r="AL40" s="65">
        <f>ROUND(AL$6*AK40,0)</f>
        <v>62837</v>
      </c>
      <c r="AM40" s="65">
        <f>ROUND(AM$6*AK40,0)</f>
        <v>964</v>
      </c>
      <c r="AN40" s="65">
        <f>ROUND(AN$6*AK40,0)</f>
        <v>9809</v>
      </c>
      <c r="AO40" s="50">
        <f>SUM(AL40:AN40)</f>
        <v>73610</v>
      </c>
      <c r="AP40" s="14"/>
      <c r="AQ40" s="279" t="s">
        <v>166</v>
      </c>
      <c r="AR40" s="914">
        <f>SUMIF('4th Q CalWIN M&amp;O (County)'!$A$4:$A$82,'4th Q Co Share Calculations'!AQ40,'4th Q CalWIN M&amp;O (County)'!$J$4:$J$82)+2</f>
        <v>34302</v>
      </c>
      <c r="AS40" s="65">
        <f>ROUND($AR40*AS$5,0)</f>
        <v>29282</v>
      </c>
      <c r="AT40" s="65">
        <f>ROUND($AR40*AT$5,0)</f>
        <v>449</v>
      </c>
      <c r="AU40" s="65">
        <f>ROUND($AR40*AU$5,0)</f>
        <v>4571</v>
      </c>
      <c r="AV40" s="50">
        <f>SUM(AS40:AU40)</f>
        <v>34302</v>
      </c>
      <c r="AW40" s="14"/>
      <c r="AX40" s="279" t="s">
        <v>166</v>
      </c>
      <c r="AY40" s="61">
        <v>0.1096</v>
      </c>
      <c r="AZ40" s="65">
        <f>ROUND(AZ$6*AY40,0)</f>
        <v>2747</v>
      </c>
      <c r="BA40" s="914">
        <f>ROUND(BA$6*AY40,0)-1</f>
        <v>41</v>
      </c>
      <c r="BB40" s="65">
        <f>ROUND(BB$6*AY40,0)</f>
        <v>429</v>
      </c>
      <c r="BC40" s="50">
        <f>SUM(AZ40:BB40)</f>
        <v>3217</v>
      </c>
      <c r="BD40" s="14"/>
      <c r="BE40" s="279" t="s">
        <v>166</v>
      </c>
      <c r="BF40" s="61">
        <v>0.12529999999999999</v>
      </c>
      <c r="BG40" s="65">
        <f>ROUND(BF40*BG$6,0)</f>
        <v>4911</v>
      </c>
      <c r="BH40" s="47"/>
      <c r="BI40" s="285">
        <f t="shared" si="6"/>
        <v>5202</v>
      </c>
      <c r="BJ40" s="285">
        <f t="shared" si="7"/>
        <v>104420</v>
      </c>
      <c r="BK40" s="285">
        <f t="shared" si="8"/>
        <v>42</v>
      </c>
      <c r="BL40" s="285">
        <f t="shared" si="9"/>
        <v>4857</v>
      </c>
      <c r="BM40" s="285">
        <f t="shared" si="10"/>
        <v>2023</v>
      </c>
      <c r="BN40" s="285">
        <f t="shared" si="11"/>
        <v>2</v>
      </c>
      <c r="BO40" s="285">
        <f t="shared" si="12"/>
        <v>14</v>
      </c>
      <c r="BP40" s="285">
        <f t="shared" si="13"/>
        <v>21</v>
      </c>
      <c r="BQ40" s="285">
        <f t="shared" si="14"/>
        <v>30945</v>
      </c>
      <c r="BR40" s="66">
        <f t="shared" si="15"/>
        <v>147526</v>
      </c>
      <c r="BS40" s="14">
        <f t="shared" si="16"/>
        <v>0</v>
      </c>
      <c r="BT40" s="9"/>
    </row>
    <row r="41" spans="1:72">
      <c r="A41" s="261" t="s">
        <v>12</v>
      </c>
      <c r="B41" s="61">
        <f>'58C SFY 17-18 Persons Count'!AC37</f>
        <v>4.5999999999999999E-3</v>
      </c>
      <c r="C41" s="21">
        <f t="shared" si="24"/>
        <v>4855</v>
      </c>
      <c r="D41" s="261">
        <f>ROUND(D$6*$B41,0)</f>
        <v>99</v>
      </c>
      <c r="E41" s="734">
        <f>'58C SFY 17-18 Persons Count'!AE37</f>
        <v>1.6799999999999999E-2</v>
      </c>
      <c r="F41" s="21">
        <f>ROUND(F$6*$E41,0)</f>
        <v>457</v>
      </c>
      <c r="G41" s="62">
        <f>SUM(C41:D41,F41)</f>
        <v>5411</v>
      </c>
      <c r="H41" s="193"/>
      <c r="I41" s="14"/>
      <c r="J41" s="292" t="s">
        <v>12</v>
      </c>
      <c r="K41" s="291"/>
      <c r="L41" s="288"/>
      <c r="M41" s="288"/>
      <c r="N41" s="288"/>
      <c r="O41" s="288"/>
      <c r="P41" s="14"/>
      <c r="Q41" s="14"/>
      <c r="R41" s="58" t="s">
        <v>12</v>
      </c>
      <c r="S41" s="64">
        <f>'58C SFY 17-18 Persons Count'!AL37</f>
        <v>1.9E-3</v>
      </c>
      <c r="T41" s="60">
        <f>ROUND(T$6*$S41,0)</f>
        <v>335</v>
      </c>
      <c r="U41" s="47"/>
      <c r="V41" s="58" t="s">
        <v>12</v>
      </c>
      <c r="W41" s="64">
        <f>'58C SFY 17-18 Persons Count'!AO37</f>
        <v>1.4E-3</v>
      </c>
      <c r="X41" s="60">
        <f t="shared" si="30"/>
        <v>174</v>
      </c>
      <c r="Y41" s="60">
        <f t="shared" si="32"/>
        <v>155</v>
      </c>
      <c r="Z41" s="809">
        <f t="shared" si="32"/>
        <v>1</v>
      </c>
      <c r="AA41" s="60">
        <f t="shared" si="30"/>
        <v>162</v>
      </c>
      <c r="AB41" s="60">
        <f t="shared" si="30"/>
        <v>19</v>
      </c>
      <c r="AC41" s="60">
        <f t="shared" si="30"/>
        <v>0</v>
      </c>
      <c r="AD41" s="60">
        <f t="shared" si="30"/>
        <v>0</v>
      </c>
      <c r="AE41" s="60">
        <f t="shared" si="30"/>
        <v>1</v>
      </c>
      <c r="AF41" s="60">
        <f t="shared" si="17"/>
        <v>539</v>
      </c>
      <c r="AG41" s="279">
        <f t="shared" si="5"/>
        <v>1051</v>
      </c>
      <c r="AH41" s="47"/>
      <c r="AI41" s="51"/>
      <c r="AJ41" s="292" t="s">
        <v>12</v>
      </c>
      <c r="AK41" s="291"/>
      <c r="AL41" s="288"/>
      <c r="AM41" s="288"/>
      <c r="AN41" s="288"/>
      <c r="AO41" s="288"/>
      <c r="AP41" s="14"/>
      <c r="AQ41" s="292" t="s">
        <v>12</v>
      </c>
      <c r="AR41" s="884"/>
      <c r="AS41" s="292"/>
      <c r="AT41" s="292"/>
      <c r="AU41" s="292"/>
      <c r="AV41" s="288"/>
      <c r="AW41" s="14"/>
      <c r="AX41" s="292" t="s">
        <v>12</v>
      </c>
      <c r="AY41" s="291"/>
      <c r="AZ41" s="288"/>
      <c r="BA41" s="288"/>
      <c r="BB41" s="288"/>
      <c r="BC41" s="288"/>
      <c r="BD41" s="14"/>
      <c r="BE41" s="292" t="s">
        <v>12</v>
      </c>
      <c r="BF41" s="291"/>
      <c r="BG41" s="288"/>
      <c r="BH41" s="47"/>
      <c r="BI41" s="285">
        <f t="shared" si="6"/>
        <v>174</v>
      </c>
      <c r="BJ41" s="285">
        <f t="shared" si="7"/>
        <v>5345</v>
      </c>
      <c r="BK41" s="285">
        <f t="shared" si="8"/>
        <v>1</v>
      </c>
      <c r="BL41" s="285">
        <f t="shared" si="9"/>
        <v>162</v>
      </c>
      <c r="BM41" s="285">
        <f t="shared" si="10"/>
        <v>118</v>
      </c>
      <c r="BN41" s="285">
        <f t="shared" si="11"/>
        <v>0</v>
      </c>
      <c r="BO41" s="285">
        <f t="shared" si="12"/>
        <v>0</v>
      </c>
      <c r="BP41" s="285">
        <f t="shared" si="13"/>
        <v>1</v>
      </c>
      <c r="BQ41" s="285">
        <f t="shared" si="14"/>
        <v>996</v>
      </c>
      <c r="BR41" s="66">
        <f t="shared" si="15"/>
        <v>6797</v>
      </c>
      <c r="BS41" s="14">
        <f t="shared" si="16"/>
        <v>0</v>
      </c>
      <c r="BT41" s="9"/>
    </row>
    <row r="42" spans="1:72">
      <c r="A42" s="261" t="s">
        <v>11</v>
      </c>
      <c r="B42" s="61">
        <f>'58C SFY 17-18 Persons Count'!AC38</f>
        <v>0.23250000000000001</v>
      </c>
      <c r="C42" s="21">
        <f t="shared" si="24"/>
        <v>245394</v>
      </c>
      <c r="D42" s="261">
        <f>ROUND(D$6*$B42,0)</f>
        <v>4997</v>
      </c>
      <c r="E42" s="63">
        <f>'58C SFY 17-18 Persons Count'!AE38</f>
        <v>0</v>
      </c>
      <c r="F42" s="21">
        <f>ROUND(F$6*$E42,0)</f>
        <v>0</v>
      </c>
      <c r="G42" s="62">
        <f>SUM(C42:D42,F42)</f>
        <v>250391</v>
      </c>
      <c r="H42" s="193"/>
      <c r="I42" s="14"/>
      <c r="J42" s="292" t="s">
        <v>11</v>
      </c>
      <c r="K42" s="291"/>
      <c r="L42" s="288"/>
      <c r="M42" s="288"/>
      <c r="N42" s="288"/>
      <c r="O42" s="288"/>
      <c r="P42" s="14"/>
      <c r="Q42" s="14"/>
      <c r="R42" s="23" t="s">
        <v>11</v>
      </c>
      <c r="S42" s="64">
        <f>'58C SFY 17-18 Persons Count'!AL38</f>
        <v>0.14419999999999999</v>
      </c>
      <c r="T42" s="809">
        <f>ROUND(T$6*$S42,0)</f>
        <v>25457</v>
      </c>
      <c r="U42" s="47"/>
      <c r="V42" s="58" t="s">
        <v>143</v>
      </c>
      <c r="W42" s="64">
        <f>'58C SFY 17-18 Persons Count'!AO38</f>
        <v>7.0300000000000001E-2</v>
      </c>
      <c r="X42" s="280">
        <f>ROUND(X$6*$W42,0)</f>
        <v>8728</v>
      </c>
      <c r="Y42" s="60">
        <f t="shared" si="32"/>
        <v>7790</v>
      </c>
      <c r="Z42" s="809">
        <f t="shared" si="32"/>
        <v>70</v>
      </c>
      <c r="AA42" s="60">
        <f t="shared" si="30"/>
        <v>8149</v>
      </c>
      <c r="AB42" s="397">
        <f>ROUNDUP(AB$6*$W42,0)</f>
        <v>956</v>
      </c>
      <c r="AC42" s="397">
        <f t="shared" ref="AC42" si="33">ROUNDUP(AC$6*$W42,0)</f>
        <v>3</v>
      </c>
      <c r="AD42" s="60">
        <f t="shared" si="30"/>
        <v>23</v>
      </c>
      <c r="AE42" s="60">
        <f t="shared" si="30"/>
        <v>34</v>
      </c>
      <c r="AF42" s="60">
        <f t="shared" si="17"/>
        <v>27073</v>
      </c>
      <c r="AG42" s="279">
        <f t="shared" si="5"/>
        <v>52826</v>
      </c>
      <c r="AH42" s="47"/>
      <c r="AI42" s="51"/>
      <c r="AJ42" s="292" t="s">
        <v>11</v>
      </c>
      <c r="AK42" s="291"/>
      <c r="AL42" s="288"/>
      <c r="AM42" s="288"/>
      <c r="AN42" s="288"/>
      <c r="AO42" s="288"/>
      <c r="AP42" s="14"/>
      <c r="AQ42" s="292" t="s">
        <v>11</v>
      </c>
      <c r="AR42" s="884"/>
      <c r="AS42" s="292"/>
      <c r="AT42" s="292"/>
      <c r="AU42" s="292"/>
      <c r="AV42" s="288"/>
      <c r="AW42" s="14"/>
      <c r="AX42" s="292" t="s">
        <v>11</v>
      </c>
      <c r="AY42" s="291"/>
      <c r="AZ42" s="288"/>
      <c r="BA42" s="288"/>
      <c r="BB42" s="288"/>
      <c r="BC42" s="288"/>
      <c r="BD42" s="14"/>
      <c r="BE42" s="292" t="s">
        <v>11</v>
      </c>
      <c r="BF42" s="291"/>
      <c r="BG42" s="288"/>
      <c r="BH42" s="47"/>
      <c r="BI42" s="285">
        <f t="shared" si="6"/>
        <v>8728</v>
      </c>
      <c r="BJ42" s="285">
        <f t="shared" si="7"/>
        <v>278641</v>
      </c>
      <c r="BK42" s="285">
        <f t="shared" si="8"/>
        <v>70</v>
      </c>
      <c r="BL42" s="285">
        <f t="shared" si="9"/>
        <v>8149</v>
      </c>
      <c r="BM42" s="285">
        <f t="shared" si="10"/>
        <v>5953</v>
      </c>
      <c r="BN42" s="285">
        <f t="shared" si="11"/>
        <v>3</v>
      </c>
      <c r="BO42" s="285">
        <f t="shared" si="12"/>
        <v>23</v>
      </c>
      <c r="BP42" s="285">
        <f t="shared" si="13"/>
        <v>34</v>
      </c>
      <c r="BQ42" s="285">
        <f t="shared" si="14"/>
        <v>27073</v>
      </c>
      <c r="BR42" s="66">
        <f t="shared" si="15"/>
        <v>328674</v>
      </c>
      <c r="BS42" s="14">
        <f t="shared" si="16"/>
        <v>0</v>
      </c>
      <c r="BT42" s="9"/>
    </row>
    <row r="43" spans="1:72">
      <c r="A43" s="292" t="s">
        <v>165</v>
      </c>
      <c r="B43" s="291"/>
      <c r="C43" s="288"/>
      <c r="D43" s="288"/>
      <c r="E43" s="293"/>
      <c r="F43" s="288"/>
      <c r="G43" s="294"/>
      <c r="H43" s="193"/>
      <c r="I43" s="14"/>
      <c r="J43" s="292" t="s">
        <v>165</v>
      </c>
      <c r="K43" s="291"/>
      <c r="L43" s="288"/>
      <c r="M43" s="288"/>
      <c r="N43" s="288"/>
      <c r="O43" s="288"/>
      <c r="P43" s="14"/>
      <c r="Q43" s="14"/>
      <c r="R43" s="300" t="s">
        <v>165</v>
      </c>
      <c r="S43" s="287"/>
      <c r="T43" s="290"/>
      <c r="U43" s="47"/>
      <c r="V43" s="58" t="s">
        <v>165</v>
      </c>
      <c r="W43" s="64">
        <f>'58C SFY 17-18 Persons Count'!AO39</f>
        <v>6.6699999999999995E-2</v>
      </c>
      <c r="X43" s="60">
        <f t="shared" ref="X43:AE43" si="34">ROUND(X$6*$W43,0)</f>
        <v>8281</v>
      </c>
      <c r="Y43" s="60">
        <f t="shared" si="32"/>
        <v>7391</v>
      </c>
      <c r="Z43" s="809">
        <f t="shared" si="32"/>
        <v>66</v>
      </c>
      <c r="AA43" s="60">
        <f t="shared" si="34"/>
        <v>7731</v>
      </c>
      <c r="AB43" s="60">
        <f t="shared" si="30"/>
        <v>906</v>
      </c>
      <c r="AC43" s="60">
        <f t="shared" si="34"/>
        <v>2</v>
      </c>
      <c r="AD43" s="397">
        <f>ROUNDUP(AD$6*$W43,0)</f>
        <v>23</v>
      </c>
      <c r="AE43" s="60">
        <f t="shared" si="34"/>
        <v>32</v>
      </c>
      <c r="AF43" s="397">
        <f>ROUNDDOWN(AF$6*$W43,0)</f>
        <v>25686</v>
      </c>
      <c r="AG43" s="279">
        <f t="shared" si="5"/>
        <v>50118</v>
      </c>
      <c r="AH43" s="47"/>
      <c r="AI43" s="51"/>
      <c r="AJ43" s="279" t="s">
        <v>165</v>
      </c>
      <c r="AK43" s="61">
        <v>0.16020000000000001</v>
      </c>
      <c r="AL43" s="914">
        <f>ROUND(AL$6*AK43,0)-1</f>
        <v>91847</v>
      </c>
      <c r="AM43" s="65">
        <f>ROUND(AM$6*AK43,0)</f>
        <v>1409</v>
      </c>
      <c r="AN43" s="914">
        <f>ROUND(AN$6*AK43,0)+1</f>
        <v>14339</v>
      </c>
      <c r="AO43" s="50">
        <f>SUM(AL43:AN43)</f>
        <v>107595</v>
      </c>
      <c r="AP43" s="14"/>
      <c r="AQ43" s="279" t="s">
        <v>165</v>
      </c>
      <c r="AR43" s="914">
        <f>SUMIF('4th Q CalWIN M&amp;O (County)'!$A$4:$A$82,'4th Q Co Share Calculations'!AQ43,'4th Q CalWIN M&amp;O (County)'!$J$4:$J$82)+2</f>
        <v>42446</v>
      </c>
      <c r="AS43" s="65">
        <f t="shared" ref="AS43:AU44" si="35">ROUND($AR43*AS$5,0)</f>
        <v>36234</v>
      </c>
      <c r="AT43" s="65">
        <f t="shared" si="35"/>
        <v>556</v>
      </c>
      <c r="AU43" s="65">
        <f t="shared" si="35"/>
        <v>5656</v>
      </c>
      <c r="AV43" s="50">
        <f>SUM(AS43:AU43)</f>
        <v>42446</v>
      </c>
      <c r="AW43" s="14"/>
      <c r="AX43" s="279" t="s">
        <v>165</v>
      </c>
      <c r="AY43" s="61">
        <v>0.16020000000000001</v>
      </c>
      <c r="AZ43" s="65">
        <f>ROUND(AZ$6*AY43,0)</f>
        <v>4015</v>
      </c>
      <c r="BA43" s="65">
        <f>ROUND(BA$6*AY43,0)</f>
        <v>62</v>
      </c>
      <c r="BB43" s="65">
        <f>ROUND(BB$6*AY43,0)</f>
        <v>627</v>
      </c>
      <c r="BC43" s="50">
        <f>SUM(AZ43:BB43)</f>
        <v>4704</v>
      </c>
      <c r="BD43" s="14"/>
      <c r="BE43" s="279" t="s">
        <v>165</v>
      </c>
      <c r="BF43" s="61">
        <v>0.16489999999999999</v>
      </c>
      <c r="BG43" s="65">
        <f>ROUNDDOWN(BF43*BG$6,0)</f>
        <v>6462</v>
      </c>
      <c r="BH43" s="47"/>
      <c r="BI43" s="285">
        <f t="shared" si="6"/>
        <v>8281</v>
      </c>
      <c r="BJ43" s="285">
        <f t="shared" si="7"/>
        <v>145949</v>
      </c>
      <c r="BK43" s="285">
        <f t="shared" si="8"/>
        <v>66</v>
      </c>
      <c r="BL43" s="285">
        <f t="shared" si="9"/>
        <v>7731</v>
      </c>
      <c r="BM43" s="285">
        <f t="shared" si="10"/>
        <v>2933</v>
      </c>
      <c r="BN43" s="285">
        <f t="shared" si="11"/>
        <v>2</v>
      </c>
      <c r="BO43" s="285">
        <f t="shared" si="12"/>
        <v>23</v>
      </c>
      <c r="BP43" s="285">
        <f t="shared" si="13"/>
        <v>32</v>
      </c>
      <c r="BQ43" s="285">
        <f t="shared" si="14"/>
        <v>46308</v>
      </c>
      <c r="BR43" s="66">
        <f t="shared" si="15"/>
        <v>211325</v>
      </c>
      <c r="BS43" s="14">
        <f t="shared" si="16"/>
        <v>0</v>
      </c>
      <c r="BT43" s="9"/>
    </row>
    <row r="44" spans="1:72">
      <c r="A44" s="300" t="s">
        <v>164</v>
      </c>
      <c r="B44" s="291"/>
      <c r="C44" s="288"/>
      <c r="D44" s="288"/>
      <c r="E44" s="293"/>
      <c r="F44" s="288"/>
      <c r="G44" s="294"/>
      <c r="H44" s="193"/>
      <c r="I44" s="14"/>
      <c r="J44" s="300" t="s">
        <v>164</v>
      </c>
      <c r="K44" s="291"/>
      <c r="L44" s="288"/>
      <c r="M44" s="288"/>
      <c r="N44" s="288"/>
      <c r="O44" s="288"/>
      <c r="P44" s="14"/>
      <c r="Q44" s="14"/>
      <c r="R44" s="299" t="s">
        <v>164</v>
      </c>
      <c r="S44" s="287"/>
      <c r="T44" s="290"/>
      <c r="U44" s="47"/>
      <c r="V44" s="58" t="s">
        <v>164</v>
      </c>
      <c r="W44" s="64">
        <f>'58C SFY 17-18 Persons Count'!AO40</f>
        <v>1.43E-2</v>
      </c>
      <c r="X44" s="60">
        <f t="shared" si="30"/>
        <v>1775</v>
      </c>
      <c r="Y44" s="60">
        <f t="shared" si="32"/>
        <v>1585</v>
      </c>
      <c r="Z44" s="809">
        <f t="shared" si="32"/>
        <v>14</v>
      </c>
      <c r="AA44" s="60">
        <f t="shared" si="30"/>
        <v>1658</v>
      </c>
      <c r="AB44" s="60">
        <f t="shared" si="30"/>
        <v>194</v>
      </c>
      <c r="AC44" s="60">
        <f t="shared" si="30"/>
        <v>1</v>
      </c>
      <c r="AD44" s="60">
        <f t="shared" si="30"/>
        <v>5</v>
      </c>
      <c r="AE44" s="60">
        <f t="shared" si="30"/>
        <v>7</v>
      </c>
      <c r="AF44" s="60">
        <f t="shared" si="17"/>
        <v>5507</v>
      </c>
      <c r="AG44" s="279">
        <f t="shared" si="5"/>
        <v>10746</v>
      </c>
      <c r="AH44" s="47"/>
      <c r="AI44" s="51"/>
      <c r="AJ44" s="274" t="s">
        <v>164</v>
      </c>
      <c r="AK44" s="61">
        <v>5.8500000000000003E-2</v>
      </c>
      <c r="AL44" s="65">
        <f>ROUND(AL$6*AK44,0)</f>
        <v>33540</v>
      </c>
      <c r="AM44" s="65">
        <f>ROUND(AM$6*AK44,0)</f>
        <v>515</v>
      </c>
      <c r="AN44" s="65">
        <f>ROUND(AN$6*AK44,0)</f>
        <v>5236</v>
      </c>
      <c r="AO44" s="50">
        <f>SUM(AL44:AN44)</f>
        <v>39291</v>
      </c>
      <c r="AP44" s="14"/>
      <c r="AQ44" s="274" t="s">
        <v>164</v>
      </c>
      <c r="AR44" s="914">
        <f>SUMIF('4th Q CalWIN M&amp;O (County)'!$A$4:$A$82,'4th Q Co Share Calculations'!AQ44,'4th Q CalWIN M&amp;O (County)'!$J$4:$J$82)+2</f>
        <v>25027</v>
      </c>
      <c r="AS44" s="65">
        <f t="shared" si="35"/>
        <v>21364</v>
      </c>
      <c r="AT44" s="65">
        <f t="shared" si="35"/>
        <v>328</v>
      </c>
      <c r="AU44" s="65">
        <f t="shared" si="35"/>
        <v>3335</v>
      </c>
      <c r="AV44" s="50">
        <f>SUM(AS44:AU44)</f>
        <v>25027</v>
      </c>
      <c r="AW44" s="14"/>
      <c r="AX44" s="274" t="s">
        <v>164</v>
      </c>
      <c r="AY44" s="61">
        <v>5.8500000000000003E-2</v>
      </c>
      <c r="AZ44" s="65">
        <f>ROUND(AZ$6*AY44,0)</f>
        <v>1466</v>
      </c>
      <c r="BA44" s="65">
        <f>ROUND(BA$6*AY44,0)</f>
        <v>23</v>
      </c>
      <c r="BB44" s="65">
        <f>ROUND(BB$6*AY44,0)</f>
        <v>229</v>
      </c>
      <c r="BC44" s="50">
        <f>SUM(AZ44:BB44)</f>
        <v>1718</v>
      </c>
      <c r="BD44" s="14"/>
      <c r="BE44" s="274" t="s">
        <v>164</v>
      </c>
      <c r="BF44" s="61">
        <v>3.0200000000000001E-2</v>
      </c>
      <c r="BG44" s="65">
        <f>ROUND(BF44*BG$6,0)</f>
        <v>1184</v>
      </c>
      <c r="BH44" s="47"/>
      <c r="BI44" s="285">
        <f t="shared" si="6"/>
        <v>1775</v>
      </c>
      <c r="BJ44" s="285">
        <f t="shared" si="7"/>
        <v>59139</v>
      </c>
      <c r="BK44" s="285">
        <f t="shared" si="8"/>
        <v>14</v>
      </c>
      <c r="BL44" s="285">
        <f t="shared" si="9"/>
        <v>1658</v>
      </c>
      <c r="BM44" s="285">
        <f t="shared" si="10"/>
        <v>1060</v>
      </c>
      <c r="BN44" s="285">
        <f t="shared" si="11"/>
        <v>1</v>
      </c>
      <c r="BO44" s="285">
        <f t="shared" si="12"/>
        <v>5</v>
      </c>
      <c r="BP44" s="285">
        <f t="shared" si="13"/>
        <v>7</v>
      </c>
      <c r="BQ44" s="285">
        <f t="shared" si="14"/>
        <v>14307</v>
      </c>
      <c r="BR44" s="66">
        <f t="shared" si="15"/>
        <v>77966</v>
      </c>
      <c r="BS44" s="14">
        <f t="shared" si="16"/>
        <v>0</v>
      </c>
      <c r="BT44" s="9"/>
    </row>
    <row r="45" spans="1:72">
      <c r="A45" s="261" t="s">
        <v>10</v>
      </c>
      <c r="B45" s="61">
        <f>'58C SFY 17-18 Persons Count'!AC41</f>
        <v>7.5499999999999998E-2</v>
      </c>
      <c r="C45" s="21">
        <f t="shared" si="24"/>
        <v>79687</v>
      </c>
      <c r="D45" s="261">
        <f>ROUND(D$6*$B45,0)</f>
        <v>1623</v>
      </c>
      <c r="E45" s="63">
        <f>'58C SFY 17-18 Persons Count'!AE41</f>
        <v>0.17249999999999999</v>
      </c>
      <c r="F45" s="261">
        <f>ROUNDUP(F$6*$E45,0)</f>
        <v>4689</v>
      </c>
      <c r="G45" s="62">
        <f>SUM(C45:D45,F45)</f>
        <v>85999</v>
      </c>
      <c r="H45" s="193"/>
      <c r="I45" s="14"/>
      <c r="J45" s="292" t="s">
        <v>10</v>
      </c>
      <c r="K45" s="291"/>
      <c r="L45" s="288"/>
      <c r="M45" s="288"/>
      <c r="N45" s="288"/>
      <c r="O45" s="288"/>
      <c r="P45" s="14"/>
      <c r="Q45" s="14"/>
      <c r="R45" s="58" t="s">
        <v>10</v>
      </c>
      <c r="S45" s="64">
        <f>'58C SFY 17-18 Persons Count'!AL41</f>
        <v>4.2299999999999997E-2</v>
      </c>
      <c r="T45" s="60">
        <f>ROUND(T$6*$S45,0)</f>
        <v>7468</v>
      </c>
      <c r="U45" s="47"/>
      <c r="V45" s="58" t="s">
        <v>10</v>
      </c>
      <c r="W45" s="64">
        <f>'58C SFY 17-18 Persons Count'!AO41</f>
        <v>2.29E-2</v>
      </c>
      <c r="X45" s="397">
        <f>ROUNDDOWN(X$6*$W45,0)</f>
        <v>2842</v>
      </c>
      <c r="Y45" s="60">
        <f t="shared" si="32"/>
        <v>2538</v>
      </c>
      <c r="Z45" s="809">
        <f t="shared" si="32"/>
        <v>23</v>
      </c>
      <c r="AA45" s="60">
        <f t="shared" si="30"/>
        <v>2654</v>
      </c>
      <c r="AB45" s="60">
        <f t="shared" si="30"/>
        <v>311</v>
      </c>
      <c r="AC45" s="60">
        <f t="shared" si="30"/>
        <v>1</v>
      </c>
      <c r="AD45" s="60">
        <f t="shared" si="30"/>
        <v>8</v>
      </c>
      <c r="AE45" s="60">
        <f t="shared" si="30"/>
        <v>11</v>
      </c>
      <c r="AF45" s="60">
        <f t="shared" si="17"/>
        <v>8819</v>
      </c>
      <c r="AG45" s="279">
        <f t="shared" si="5"/>
        <v>17207</v>
      </c>
      <c r="AH45" s="47"/>
      <c r="AI45" s="51"/>
      <c r="AJ45" s="292" t="s">
        <v>10</v>
      </c>
      <c r="AK45" s="291"/>
      <c r="AL45" s="288"/>
      <c r="AM45" s="288"/>
      <c r="AN45" s="288"/>
      <c r="AO45" s="288"/>
      <c r="AP45" s="14"/>
      <c r="AQ45" s="292" t="s">
        <v>10</v>
      </c>
      <c r="AR45" s="884"/>
      <c r="AS45" s="292"/>
      <c r="AT45" s="292"/>
      <c r="AU45" s="292"/>
      <c r="AV45" s="288"/>
      <c r="AW45" s="14"/>
      <c r="AX45" s="292" t="s">
        <v>10</v>
      </c>
      <c r="AY45" s="291"/>
      <c r="AZ45" s="288"/>
      <c r="BA45" s="288"/>
      <c r="BB45" s="288"/>
      <c r="BC45" s="288"/>
      <c r="BD45" s="14"/>
      <c r="BE45" s="292" t="s">
        <v>10</v>
      </c>
      <c r="BF45" s="291"/>
      <c r="BG45" s="288"/>
      <c r="BH45" s="47"/>
      <c r="BI45" s="285">
        <f t="shared" si="6"/>
        <v>2842</v>
      </c>
      <c r="BJ45" s="285">
        <f t="shared" si="7"/>
        <v>89693</v>
      </c>
      <c r="BK45" s="285">
        <f t="shared" si="8"/>
        <v>23</v>
      </c>
      <c r="BL45" s="285">
        <f t="shared" si="9"/>
        <v>2654</v>
      </c>
      <c r="BM45" s="285">
        <f t="shared" si="10"/>
        <v>1934</v>
      </c>
      <c r="BN45" s="285">
        <f t="shared" si="11"/>
        <v>1</v>
      </c>
      <c r="BO45" s="285">
        <f t="shared" si="12"/>
        <v>8</v>
      </c>
      <c r="BP45" s="285">
        <f t="shared" si="13"/>
        <v>11</v>
      </c>
      <c r="BQ45" s="285">
        <f t="shared" si="14"/>
        <v>13508</v>
      </c>
      <c r="BR45" s="66">
        <f t="shared" si="15"/>
        <v>110674</v>
      </c>
      <c r="BS45" s="14">
        <f t="shared" si="16"/>
        <v>0</v>
      </c>
      <c r="BT45" s="9"/>
    </row>
    <row r="46" spans="1:72">
      <c r="A46" s="300" t="s">
        <v>163</v>
      </c>
      <c r="B46" s="291"/>
      <c r="C46" s="288"/>
      <c r="D46" s="295"/>
      <c r="E46" s="293"/>
      <c r="F46" s="288"/>
      <c r="G46" s="294"/>
      <c r="H46" s="193"/>
      <c r="I46" s="14"/>
      <c r="J46" s="300" t="s">
        <v>163</v>
      </c>
      <c r="K46" s="291"/>
      <c r="L46" s="288"/>
      <c r="M46" s="288"/>
      <c r="N46" s="288"/>
      <c r="O46" s="288"/>
      <c r="P46" s="14"/>
      <c r="Q46" s="14"/>
      <c r="R46" s="299" t="s">
        <v>163</v>
      </c>
      <c r="S46" s="287"/>
      <c r="T46" s="290"/>
      <c r="U46" s="47"/>
      <c r="V46" s="58" t="s">
        <v>163</v>
      </c>
      <c r="W46" s="64">
        <f>'58C SFY 17-18 Persons Count'!AO42</f>
        <v>4.4999999999999997E-3</v>
      </c>
      <c r="X46" s="60">
        <f t="shared" si="30"/>
        <v>559</v>
      </c>
      <c r="Y46" s="60">
        <f t="shared" si="32"/>
        <v>499</v>
      </c>
      <c r="Z46" s="809">
        <f t="shared" si="32"/>
        <v>4</v>
      </c>
      <c r="AA46" s="60">
        <f t="shared" si="30"/>
        <v>522</v>
      </c>
      <c r="AB46" s="60">
        <f t="shared" si="30"/>
        <v>61</v>
      </c>
      <c r="AC46" s="60">
        <f t="shared" si="30"/>
        <v>0</v>
      </c>
      <c r="AD46" s="60">
        <f t="shared" si="30"/>
        <v>1</v>
      </c>
      <c r="AE46" s="60">
        <f t="shared" si="30"/>
        <v>2</v>
      </c>
      <c r="AF46" s="60">
        <f t="shared" si="17"/>
        <v>1733</v>
      </c>
      <c r="AG46" s="279">
        <f t="shared" si="5"/>
        <v>3381</v>
      </c>
      <c r="AH46" s="47"/>
      <c r="AI46" s="51"/>
      <c r="AJ46" s="274" t="s">
        <v>163</v>
      </c>
      <c r="AK46" s="61">
        <v>1.34E-2</v>
      </c>
      <c r="AL46" s="65">
        <f>ROUND(AL$6*AK46,0)</f>
        <v>7683</v>
      </c>
      <c r="AM46" s="65">
        <f>ROUND(AM$6*AK46,0)</f>
        <v>118</v>
      </c>
      <c r="AN46" s="65">
        <f>ROUND(AN$6*AK46,0)</f>
        <v>1199</v>
      </c>
      <c r="AO46" s="50">
        <f>SUM(AL46:AN46)</f>
        <v>9000</v>
      </c>
      <c r="AP46" s="14"/>
      <c r="AQ46" s="274" t="s">
        <v>163</v>
      </c>
      <c r="AR46" s="913">
        <f>SUMIF('4th Q CalWIN M&amp;O (County)'!$A$4:$A$82,'4th Q Co Share Calculations'!AQ46,'4th Q CalWIN M&amp;O (County)'!$J$4:$J$82)</f>
        <v>11227</v>
      </c>
      <c r="AS46" s="65">
        <f>ROUND($AR46*AS$5,0)</f>
        <v>9584</v>
      </c>
      <c r="AT46" s="65">
        <f>ROUND($AR46*AT$5,0)</f>
        <v>147</v>
      </c>
      <c r="AU46" s="65">
        <f>ROUND($AR46*AU$5,0)</f>
        <v>1496</v>
      </c>
      <c r="AV46" s="50">
        <f>SUM(AS46:AU46)</f>
        <v>11227</v>
      </c>
      <c r="AW46" s="14"/>
      <c r="AX46" s="274" t="s">
        <v>163</v>
      </c>
      <c r="AY46" s="61">
        <v>1.34E-2</v>
      </c>
      <c r="AZ46" s="65">
        <f>ROUND(AZ$6*AY46,0)</f>
        <v>336</v>
      </c>
      <c r="BA46" s="65">
        <f>ROUND(BA$6*AY46,0)</f>
        <v>5</v>
      </c>
      <c r="BB46" s="65">
        <f>ROUND(BB$6*AY46,0)</f>
        <v>52</v>
      </c>
      <c r="BC46" s="50">
        <f>SUM(AZ46:BB46)</f>
        <v>393</v>
      </c>
      <c r="BD46" s="14"/>
      <c r="BE46" s="274" t="s">
        <v>163</v>
      </c>
      <c r="BF46" s="61">
        <v>1.03E-2</v>
      </c>
      <c r="BG46" s="65">
        <f>ROUND(BF46*BG$6,0)</f>
        <v>404</v>
      </c>
      <c r="BH46" s="47"/>
      <c r="BI46" s="285">
        <f t="shared" si="6"/>
        <v>559</v>
      </c>
      <c r="BJ46" s="285">
        <f t="shared" si="7"/>
        <v>18506</v>
      </c>
      <c r="BK46" s="285">
        <f t="shared" si="8"/>
        <v>4</v>
      </c>
      <c r="BL46" s="285">
        <f t="shared" si="9"/>
        <v>522</v>
      </c>
      <c r="BM46" s="285">
        <f t="shared" si="10"/>
        <v>331</v>
      </c>
      <c r="BN46" s="285">
        <f t="shared" si="11"/>
        <v>0</v>
      </c>
      <c r="BO46" s="285">
        <f t="shared" si="12"/>
        <v>1</v>
      </c>
      <c r="BP46" s="285">
        <f t="shared" si="13"/>
        <v>2</v>
      </c>
      <c r="BQ46" s="285">
        <f t="shared" si="14"/>
        <v>4480</v>
      </c>
      <c r="BR46" s="66">
        <f t="shared" si="15"/>
        <v>24405</v>
      </c>
      <c r="BS46" s="14">
        <f t="shared" si="16"/>
        <v>0</v>
      </c>
      <c r="BT46" s="9"/>
    </row>
    <row r="47" spans="1:72">
      <c r="A47" s="301" t="s">
        <v>162</v>
      </c>
      <c r="B47" s="291"/>
      <c r="C47" s="288"/>
      <c r="D47" s="295"/>
      <c r="E47" s="293"/>
      <c r="F47" s="288"/>
      <c r="G47" s="294"/>
      <c r="H47" s="193"/>
      <c r="I47" s="14"/>
      <c r="J47" s="301" t="s">
        <v>162</v>
      </c>
      <c r="K47" s="291"/>
      <c r="L47" s="288"/>
      <c r="M47" s="288"/>
      <c r="N47" s="288"/>
      <c r="O47" s="288"/>
      <c r="P47" s="14"/>
      <c r="Q47" s="14"/>
      <c r="R47" s="308" t="s">
        <v>162</v>
      </c>
      <c r="S47" s="287"/>
      <c r="T47" s="290"/>
      <c r="U47" s="47"/>
      <c r="V47" s="56" t="s">
        <v>162</v>
      </c>
      <c r="W47" s="64">
        <f>'58C SFY 17-18 Persons Count'!AO43</f>
        <v>1.03E-2</v>
      </c>
      <c r="X47" s="60">
        <f t="shared" si="30"/>
        <v>1279</v>
      </c>
      <c r="Y47" s="60">
        <f t="shared" si="32"/>
        <v>1141</v>
      </c>
      <c r="Z47" s="809">
        <f t="shared" si="32"/>
        <v>10</v>
      </c>
      <c r="AA47" s="60">
        <f t="shared" si="30"/>
        <v>1194</v>
      </c>
      <c r="AB47" s="60">
        <f t="shared" si="30"/>
        <v>140</v>
      </c>
      <c r="AC47" s="60">
        <f t="shared" si="30"/>
        <v>0</v>
      </c>
      <c r="AD47" s="60">
        <f t="shared" si="30"/>
        <v>3</v>
      </c>
      <c r="AE47" s="60">
        <f t="shared" si="30"/>
        <v>5</v>
      </c>
      <c r="AF47" s="60">
        <f t="shared" si="17"/>
        <v>3967</v>
      </c>
      <c r="AG47" s="279">
        <f t="shared" si="5"/>
        <v>7739</v>
      </c>
      <c r="AH47" s="47"/>
      <c r="AI47" s="51"/>
      <c r="AJ47" s="715" t="s">
        <v>162</v>
      </c>
      <c r="AK47" s="61">
        <v>2.3599999999999999E-2</v>
      </c>
      <c r="AL47" s="65">
        <f>ROUND(AL$6*AK47,0)</f>
        <v>13531</v>
      </c>
      <c r="AM47" s="65">
        <f>ROUND(AM$6*AK47,0)</f>
        <v>208</v>
      </c>
      <c r="AN47" s="65">
        <f>ROUND(AN$6*AK47,0)</f>
        <v>2112</v>
      </c>
      <c r="AO47" s="50">
        <f>SUM(AL47:AN47)</f>
        <v>15851</v>
      </c>
      <c r="AP47" s="14"/>
      <c r="AQ47" s="715" t="s">
        <v>162</v>
      </c>
      <c r="AR47" s="913">
        <f>SUMIF('4th Q CalWIN M&amp;O (County)'!$A$4:$A$82,'4th Q Co Share Calculations'!AQ47,'4th Q CalWIN M&amp;O (County)'!$J$4:$J$82)</f>
        <v>5532</v>
      </c>
      <c r="AS47" s="65">
        <f t="shared" ref="AS47:AU50" si="36">ROUND($AR47*AS$5,0)</f>
        <v>4722</v>
      </c>
      <c r="AT47" s="65">
        <f t="shared" si="36"/>
        <v>72</v>
      </c>
      <c r="AU47" s="65">
        <f t="shared" si="36"/>
        <v>737</v>
      </c>
      <c r="AV47" s="50">
        <f>SUM(AS47:AU47)</f>
        <v>5531</v>
      </c>
      <c r="AW47" s="14"/>
      <c r="AX47" s="715" t="s">
        <v>162</v>
      </c>
      <c r="AY47" s="61">
        <v>2.3599999999999999E-2</v>
      </c>
      <c r="AZ47" s="65">
        <f>ROUND(AZ$6*AY47,0)</f>
        <v>591</v>
      </c>
      <c r="BA47" s="65">
        <f>ROUND(BA$6*AY47,0)</f>
        <v>9</v>
      </c>
      <c r="BB47" s="65">
        <f>ROUND(BB$6*AY47,0)</f>
        <v>92</v>
      </c>
      <c r="BC47" s="50">
        <f>SUM(AZ47:BB47)</f>
        <v>692</v>
      </c>
      <c r="BD47" s="14"/>
      <c r="BE47" s="715" t="s">
        <v>162</v>
      </c>
      <c r="BF47" s="61">
        <v>1.52E-2</v>
      </c>
      <c r="BG47" s="65">
        <f>ROUND(BF47*BG$6,0)</f>
        <v>596</v>
      </c>
      <c r="BH47" s="47"/>
      <c r="BI47" s="285">
        <f t="shared" si="6"/>
        <v>1279</v>
      </c>
      <c r="BJ47" s="285">
        <f t="shared" si="7"/>
        <v>20581</v>
      </c>
      <c r="BK47" s="285">
        <f t="shared" si="8"/>
        <v>10</v>
      </c>
      <c r="BL47" s="285">
        <f t="shared" si="9"/>
        <v>1194</v>
      </c>
      <c r="BM47" s="285">
        <f t="shared" si="10"/>
        <v>429</v>
      </c>
      <c r="BN47" s="285">
        <f t="shared" si="11"/>
        <v>0</v>
      </c>
      <c r="BO47" s="285">
        <f t="shared" si="12"/>
        <v>3</v>
      </c>
      <c r="BP47" s="285">
        <f t="shared" si="13"/>
        <v>5</v>
      </c>
      <c r="BQ47" s="285">
        <f t="shared" si="14"/>
        <v>6908</v>
      </c>
      <c r="BR47" s="66">
        <f t="shared" si="15"/>
        <v>30409</v>
      </c>
      <c r="BS47" s="14">
        <f t="shared" si="16"/>
        <v>0</v>
      </c>
      <c r="BT47" s="9"/>
    </row>
    <row r="48" spans="1:72">
      <c r="A48" s="300" t="s">
        <v>161</v>
      </c>
      <c r="B48" s="291"/>
      <c r="C48" s="288"/>
      <c r="D48" s="295"/>
      <c r="E48" s="293"/>
      <c r="F48" s="288"/>
      <c r="G48" s="294"/>
      <c r="H48" s="193"/>
      <c r="I48" s="14"/>
      <c r="J48" s="300" t="s">
        <v>161</v>
      </c>
      <c r="K48" s="291"/>
      <c r="L48" s="288"/>
      <c r="M48" s="288"/>
      <c r="N48" s="288"/>
      <c r="O48" s="288"/>
      <c r="P48" s="14"/>
      <c r="Q48" s="14"/>
      <c r="R48" s="299" t="s">
        <v>161</v>
      </c>
      <c r="S48" s="287"/>
      <c r="T48" s="290"/>
      <c r="U48" s="47"/>
      <c r="V48" s="58" t="s">
        <v>161</v>
      </c>
      <c r="W48" s="64">
        <f>'58C SFY 17-18 Persons Count'!AO44</f>
        <v>1.12E-2</v>
      </c>
      <c r="X48" s="60">
        <f t="shared" si="30"/>
        <v>1390</v>
      </c>
      <c r="Y48" s="60">
        <f t="shared" si="32"/>
        <v>1241</v>
      </c>
      <c r="Z48" s="809">
        <f t="shared" si="32"/>
        <v>11</v>
      </c>
      <c r="AA48" s="60">
        <f t="shared" si="30"/>
        <v>1298</v>
      </c>
      <c r="AB48" s="60">
        <f t="shared" si="30"/>
        <v>152</v>
      </c>
      <c r="AC48" s="60">
        <f t="shared" si="30"/>
        <v>0</v>
      </c>
      <c r="AD48" s="60">
        <f t="shared" si="30"/>
        <v>4</v>
      </c>
      <c r="AE48" s="60">
        <f t="shared" si="30"/>
        <v>5</v>
      </c>
      <c r="AF48" s="60">
        <f t="shared" si="17"/>
        <v>4313</v>
      </c>
      <c r="AG48" s="279">
        <f t="shared" si="5"/>
        <v>8414</v>
      </c>
      <c r="AH48" s="47"/>
      <c r="AI48" s="51"/>
      <c r="AJ48" s="274" t="s">
        <v>161</v>
      </c>
      <c r="AK48" s="61">
        <v>2.4199999999999999E-2</v>
      </c>
      <c r="AL48" s="65">
        <f>ROUND(AL$6*AK48,0)</f>
        <v>13875</v>
      </c>
      <c r="AM48" s="65">
        <f>ROUND(AM$6*AK48,0)</f>
        <v>213</v>
      </c>
      <c r="AN48" s="65">
        <f>ROUND(AN$6*AK48,0)</f>
        <v>2166</v>
      </c>
      <c r="AO48" s="50">
        <f>SUM(AL48:AN48)</f>
        <v>16254</v>
      </c>
      <c r="AP48" s="14"/>
      <c r="AQ48" s="274" t="s">
        <v>161</v>
      </c>
      <c r="AR48" s="914">
        <f>SUMIF('4th Q CalWIN M&amp;O (County)'!$A$4:$A$82,'4th Q Co Share Calculations'!AQ48,'4th Q CalWIN M&amp;O (County)'!$J$4:$J$82)+2</f>
        <v>16122</v>
      </c>
      <c r="AS48" s="65">
        <f t="shared" si="36"/>
        <v>13763</v>
      </c>
      <c r="AT48" s="65">
        <f t="shared" si="36"/>
        <v>211</v>
      </c>
      <c r="AU48" s="65">
        <f t="shared" si="36"/>
        <v>2148</v>
      </c>
      <c r="AV48" s="50">
        <f>SUM(AS48:AU48)</f>
        <v>16122</v>
      </c>
      <c r="AW48" s="14"/>
      <c r="AX48" s="274" t="s">
        <v>161</v>
      </c>
      <c r="AY48" s="61">
        <v>2.4199999999999999E-2</v>
      </c>
      <c r="AZ48" s="65">
        <f>ROUND(AZ$6*AY48,0)</f>
        <v>607</v>
      </c>
      <c r="BA48" s="65">
        <f>ROUND(BA$6*AY48,0)</f>
        <v>9</v>
      </c>
      <c r="BB48" s="65">
        <f>ROUND(BB$6*AY48,0)</f>
        <v>95</v>
      </c>
      <c r="BC48" s="50">
        <f>SUM(AZ48:BB48)</f>
        <v>711</v>
      </c>
      <c r="BD48" s="14"/>
      <c r="BE48" s="274" t="s">
        <v>161</v>
      </c>
      <c r="BF48" s="61">
        <v>2.4E-2</v>
      </c>
      <c r="BG48" s="65">
        <f>ROUND(BF48*BG$6,0)</f>
        <v>941</v>
      </c>
      <c r="BH48" s="47"/>
      <c r="BI48" s="285">
        <f t="shared" si="6"/>
        <v>1390</v>
      </c>
      <c r="BJ48" s="285">
        <f t="shared" si="7"/>
        <v>30427</v>
      </c>
      <c r="BK48" s="285">
        <f t="shared" si="8"/>
        <v>11</v>
      </c>
      <c r="BL48" s="285">
        <f t="shared" si="9"/>
        <v>1298</v>
      </c>
      <c r="BM48" s="285">
        <f t="shared" si="10"/>
        <v>585</v>
      </c>
      <c r="BN48" s="285">
        <f t="shared" si="11"/>
        <v>0</v>
      </c>
      <c r="BO48" s="285">
        <f t="shared" si="12"/>
        <v>4</v>
      </c>
      <c r="BP48" s="285">
        <f t="shared" si="13"/>
        <v>5</v>
      </c>
      <c r="BQ48" s="285">
        <f t="shared" si="14"/>
        <v>8722</v>
      </c>
      <c r="BR48" s="66">
        <f t="shared" si="15"/>
        <v>42442</v>
      </c>
      <c r="BS48" s="14">
        <f t="shared" si="16"/>
        <v>0</v>
      </c>
      <c r="BT48" s="9"/>
    </row>
    <row r="49" spans="1:72">
      <c r="A49" s="300" t="s">
        <v>160</v>
      </c>
      <c r="B49" s="291"/>
      <c r="C49" s="288"/>
      <c r="D49" s="295"/>
      <c r="E49" s="293"/>
      <c r="F49" s="288"/>
      <c r="G49" s="294"/>
      <c r="H49" s="193"/>
      <c r="I49" s="14"/>
      <c r="J49" s="300" t="s">
        <v>160</v>
      </c>
      <c r="K49" s="291"/>
      <c r="L49" s="288"/>
      <c r="M49" s="288"/>
      <c r="N49" s="288"/>
      <c r="O49" s="288"/>
      <c r="P49" s="14"/>
      <c r="Q49" s="14"/>
      <c r="R49" s="299" t="s">
        <v>160</v>
      </c>
      <c r="S49" s="287"/>
      <c r="T49" s="290"/>
      <c r="U49" s="47"/>
      <c r="V49" s="58" t="s">
        <v>160</v>
      </c>
      <c r="W49" s="64">
        <f>'58C SFY 17-18 Persons Count'!AO45</f>
        <v>2.92E-2</v>
      </c>
      <c r="X49" s="60">
        <f t="shared" si="30"/>
        <v>3625</v>
      </c>
      <c r="Y49" s="60">
        <f t="shared" si="32"/>
        <v>3236</v>
      </c>
      <c r="Z49" s="809">
        <f t="shared" si="32"/>
        <v>29</v>
      </c>
      <c r="AA49" s="60">
        <f t="shared" si="30"/>
        <v>3385</v>
      </c>
      <c r="AB49" s="60">
        <f t="shared" si="30"/>
        <v>397</v>
      </c>
      <c r="AC49" s="60">
        <f t="shared" si="30"/>
        <v>1</v>
      </c>
      <c r="AD49" s="809">
        <f>ROUND(AD$6*$W49,0)</f>
        <v>10</v>
      </c>
      <c r="AE49" s="60">
        <f t="shared" si="30"/>
        <v>14</v>
      </c>
      <c r="AF49" s="60">
        <f t="shared" si="17"/>
        <v>11245</v>
      </c>
      <c r="AG49" s="279">
        <f t="shared" si="5"/>
        <v>21942</v>
      </c>
      <c r="AH49" s="47"/>
      <c r="AI49" s="51"/>
      <c r="AJ49" s="274" t="s">
        <v>160</v>
      </c>
      <c r="AK49" s="61">
        <v>8.0600000000000005E-2</v>
      </c>
      <c r="AL49" s="65">
        <f>ROUND(AL$6*AK49,0)</f>
        <v>46211</v>
      </c>
      <c r="AM49" s="65">
        <f>ROUND(AM$6*AK49,0)</f>
        <v>709</v>
      </c>
      <c r="AN49" s="65">
        <f>ROUND(AN$6*AK49,0)</f>
        <v>7214</v>
      </c>
      <c r="AO49" s="50">
        <f>SUM(AL49:AN49)</f>
        <v>54134</v>
      </c>
      <c r="AP49" s="14"/>
      <c r="AQ49" s="274" t="s">
        <v>160</v>
      </c>
      <c r="AR49" s="914">
        <f>SUMIF('4th Q CalWIN M&amp;O (County)'!$A$4:$A$82,'4th Q Co Share Calculations'!AQ49,'4th Q CalWIN M&amp;O (County)'!$J$4:$J$82)+2</f>
        <v>49886</v>
      </c>
      <c r="AS49" s="65">
        <f t="shared" si="36"/>
        <v>42585</v>
      </c>
      <c r="AT49" s="65">
        <f t="shared" si="36"/>
        <v>653</v>
      </c>
      <c r="AU49" s="65">
        <f t="shared" si="36"/>
        <v>6648</v>
      </c>
      <c r="AV49" s="50">
        <f>SUM(AS49:AU49)</f>
        <v>49886</v>
      </c>
      <c r="AW49" s="14"/>
      <c r="AX49" s="274" t="s">
        <v>160</v>
      </c>
      <c r="AY49" s="61">
        <v>8.0600000000000005E-2</v>
      </c>
      <c r="AZ49" s="65">
        <f>ROUND(AZ$6*AY49,0)</f>
        <v>2020</v>
      </c>
      <c r="BA49" s="914">
        <f>ROUND(BA$6*AY49,0)-1</f>
        <v>30</v>
      </c>
      <c r="BB49" s="65">
        <f>ROUND(BB$6*AY49,0)</f>
        <v>315</v>
      </c>
      <c r="BC49" s="50">
        <f>SUM(AZ49:BB49)</f>
        <v>2365</v>
      </c>
      <c r="BD49" s="14"/>
      <c r="BE49" s="274" t="s">
        <v>160</v>
      </c>
      <c r="BF49" s="61">
        <v>5.3600000000000002E-2</v>
      </c>
      <c r="BG49" s="65">
        <f>ROUND(BF49*BG$6,0)</f>
        <v>2101</v>
      </c>
      <c r="BH49" s="47"/>
      <c r="BI49" s="285">
        <f t="shared" si="6"/>
        <v>3625</v>
      </c>
      <c r="BJ49" s="285">
        <f t="shared" si="7"/>
        <v>96153</v>
      </c>
      <c r="BK49" s="285">
        <f t="shared" si="8"/>
        <v>29</v>
      </c>
      <c r="BL49" s="285">
        <f t="shared" si="9"/>
        <v>3385</v>
      </c>
      <c r="BM49" s="285">
        <f t="shared" si="10"/>
        <v>1789</v>
      </c>
      <c r="BN49" s="285">
        <f t="shared" si="11"/>
        <v>1</v>
      </c>
      <c r="BO49" s="285">
        <f t="shared" si="12"/>
        <v>10</v>
      </c>
      <c r="BP49" s="285">
        <f t="shared" si="13"/>
        <v>14</v>
      </c>
      <c r="BQ49" s="285">
        <f t="shared" si="14"/>
        <v>25422</v>
      </c>
      <c r="BR49" s="66">
        <f t="shared" si="15"/>
        <v>130428</v>
      </c>
      <c r="BS49" s="14">
        <f t="shared" si="16"/>
        <v>0</v>
      </c>
      <c r="BT49" s="9"/>
    </row>
    <row r="50" spans="1:72">
      <c r="A50" s="300" t="s">
        <v>159</v>
      </c>
      <c r="B50" s="291"/>
      <c r="C50" s="288"/>
      <c r="D50" s="295"/>
      <c r="E50" s="293"/>
      <c r="F50" s="288"/>
      <c r="G50" s="294"/>
      <c r="H50" s="193"/>
      <c r="I50" s="14"/>
      <c r="J50" s="300" t="s">
        <v>159</v>
      </c>
      <c r="K50" s="291"/>
      <c r="L50" s="288"/>
      <c r="M50" s="288"/>
      <c r="N50" s="288"/>
      <c r="O50" s="288"/>
      <c r="P50" s="14"/>
      <c r="Q50" s="14"/>
      <c r="R50" s="299" t="s">
        <v>159</v>
      </c>
      <c r="S50" s="287"/>
      <c r="T50" s="290"/>
      <c r="U50" s="47"/>
      <c r="V50" s="58" t="s">
        <v>159</v>
      </c>
      <c r="W50" s="64">
        <f>'58C SFY 17-18 Persons Count'!AO46</f>
        <v>6.1000000000000004E-3</v>
      </c>
      <c r="X50" s="60">
        <f t="shared" si="30"/>
        <v>757</v>
      </c>
      <c r="Y50" s="60">
        <f t="shared" si="32"/>
        <v>676</v>
      </c>
      <c r="Z50" s="809">
        <f t="shared" si="32"/>
        <v>6</v>
      </c>
      <c r="AA50" s="60">
        <f t="shared" si="30"/>
        <v>707</v>
      </c>
      <c r="AB50" s="60">
        <f t="shared" si="30"/>
        <v>83</v>
      </c>
      <c r="AC50" s="60">
        <f t="shared" si="30"/>
        <v>0</v>
      </c>
      <c r="AD50" s="60">
        <f t="shared" si="30"/>
        <v>2</v>
      </c>
      <c r="AE50" s="60">
        <f t="shared" si="30"/>
        <v>3</v>
      </c>
      <c r="AF50" s="60">
        <f t="shared" si="17"/>
        <v>2349</v>
      </c>
      <c r="AG50" s="279">
        <f t="shared" si="5"/>
        <v>4583</v>
      </c>
      <c r="AH50" s="47"/>
      <c r="AI50" s="51"/>
      <c r="AJ50" s="274" t="s">
        <v>159</v>
      </c>
      <c r="AK50" s="61">
        <v>1.3599999999999999E-2</v>
      </c>
      <c r="AL50" s="65">
        <f>ROUND(AL$6*AK50,0)</f>
        <v>7797</v>
      </c>
      <c r="AM50" s="65">
        <f>ROUND(AM$6*AK50,0)</f>
        <v>120</v>
      </c>
      <c r="AN50" s="65">
        <f>ROUND(AN$6*AK50,0)</f>
        <v>1217</v>
      </c>
      <c r="AO50" s="50">
        <f>SUM(AL50:AN50)</f>
        <v>9134</v>
      </c>
      <c r="AP50" s="14"/>
      <c r="AQ50" s="274" t="s">
        <v>159</v>
      </c>
      <c r="AR50" s="913">
        <f>SUMIF('4th Q CalWIN M&amp;O (County)'!$A$4:$A$82,'4th Q Co Share Calculations'!AQ50,'4th Q CalWIN M&amp;O (County)'!$J$4:$J$82)</f>
        <v>10639</v>
      </c>
      <c r="AS50" s="65">
        <f t="shared" si="36"/>
        <v>9082</v>
      </c>
      <c r="AT50" s="65">
        <f t="shared" si="36"/>
        <v>139</v>
      </c>
      <c r="AU50" s="65">
        <f t="shared" si="36"/>
        <v>1418</v>
      </c>
      <c r="AV50" s="50">
        <f>SUM(AS50:AU50)</f>
        <v>10639</v>
      </c>
      <c r="AW50" s="14"/>
      <c r="AX50" s="274" t="s">
        <v>159</v>
      </c>
      <c r="AY50" s="61">
        <v>1.3599999999999999E-2</v>
      </c>
      <c r="AZ50" s="65">
        <f>ROUND(AZ$6*AY50,0)</f>
        <v>341</v>
      </c>
      <c r="BA50" s="65">
        <f>ROUND(BA$6*AY50,0)</f>
        <v>5</v>
      </c>
      <c r="BB50" s="65">
        <f>ROUND(BB$6*AY50,0)</f>
        <v>53</v>
      </c>
      <c r="BC50" s="50">
        <f>SUM(AZ50:BB50)</f>
        <v>399</v>
      </c>
      <c r="BD50" s="14"/>
      <c r="BE50" s="274" t="s">
        <v>159</v>
      </c>
      <c r="BF50" s="61">
        <v>1.61E-2</v>
      </c>
      <c r="BG50" s="65">
        <f>ROUND(BF50*BG$6,0)</f>
        <v>631</v>
      </c>
      <c r="BH50" s="47"/>
      <c r="BI50" s="285">
        <f t="shared" si="6"/>
        <v>757</v>
      </c>
      <c r="BJ50" s="285">
        <f t="shared" si="7"/>
        <v>18527</v>
      </c>
      <c r="BK50" s="285">
        <f t="shared" si="8"/>
        <v>6</v>
      </c>
      <c r="BL50" s="285">
        <f t="shared" si="9"/>
        <v>707</v>
      </c>
      <c r="BM50" s="285">
        <f t="shared" si="10"/>
        <v>347</v>
      </c>
      <c r="BN50" s="285">
        <f t="shared" si="11"/>
        <v>0</v>
      </c>
      <c r="BO50" s="285">
        <f t="shared" si="12"/>
        <v>2</v>
      </c>
      <c r="BP50" s="285">
        <f t="shared" si="13"/>
        <v>3</v>
      </c>
      <c r="BQ50" s="285">
        <f t="shared" si="14"/>
        <v>5037</v>
      </c>
      <c r="BR50" s="66">
        <f t="shared" si="15"/>
        <v>25386</v>
      </c>
      <c r="BS50" s="14">
        <f t="shared" si="16"/>
        <v>0</v>
      </c>
      <c r="BT50" s="9"/>
    </row>
    <row r="51" spans="1:72">
      <c r="A51" s="261" t="s">
        <v>9</v>
      </c>
      <c r="B51" s="61">
        <f>'58C SFY 17-18 Persons Count'!AC47</f>
        <v>1.55E-2</v>
      </c>
      <c r="C51" s="21">
        <f t="shared" si="24"/>
        <v>16360</v>
      </c>
      <c r="D51" s="21">
        <f t="shared" si="25"/>
        <v>333</v>
      </c>
      <c r="E51" s="63">
        <f>'58C SFY 17-18 Persons Count'!AE47</f>
        <v>5.8200000000000002E-2</v>
      </c>
      <c r="F51" s="21">
        <f>ROUND(F$6*$E51,0)</f>
        <v>1582</v>
      </c>
      <c r="G51" s="62">
        <f>SUM(C51:D51,F51)</f>
        <v>18275</v>
      </c>
      <c r="H51" s="193"/>
      <c r="I51" s="14"/>
      <c r="J51" s="292" t="s">
        <v>9</v>
      </c>
      <c r="K51" s="291"/>
      <c r="L51" s="288"/>
      <c r="M51" s="288"/>
      <c r="N51" s="288"/>
      <c r="O51" s="288"/>
      <c r="P51" s="14"/>
      <c r="Q51" s="14"/>
      <c r="R51" s="58" t="s">
        <v>9</v>
      </c>
      <c r="S51" s="64">
        <f>'58C SFY 17-18 Persons Count'!AL47</f>
        <v>9.4999999999999998E-3</v>
      </c>
      <c r="T51" s="60">
        <f>ROUND(T$6*$S51,0)</f>
        <v>1677</v>
      </c>
      <c r="U51" s="47"/>
      <c r="V51" s="58" t="s">
        <v>9</v>
      </c>
      <c r="W51" s="64">
        <f>'58C SFY 17-18 Persons Count'!AO47</f>
        <v>4.7000000000000002E-3</v>
      </c>
      <c r="X51" s="60">
        <f t="shared" si="30"/>
        <v>583</v>
      </c>
      <c r="Y51" s="60">
        <f t="shared" si="32"/>
        <v>521</v>
      </c>
      <c r="Z51" s="809">
        <f t="shared" si="32"/>
        <v>5</v>
      </c>
      <c r="AA51" s="60">
        <f t="shared" si="30"/>
        <v>545</v>
      </c>
      <c r="AB51" s="60">
        <f t="shared" si="30"/>
        <v>64</v>
      </c>
      <c r="AC51" s="60">
        <f t="shared" si="30"/>
        <v>0</v>
      </c>
      <c r="AD51" s="60">
        <f t="shared" si="30"/>
        <v>2</v>
      </c>
      <c r="AE51" s="60">
        <f t="shared" si="30"/>
        <v>2</v>
      </c>
      <c r="AF51" s="60">
        <f t="shared" si="17"/>
        <v>1810</v>
      </c>
      <c r="AG51" s="279">
        <f t="shared" si="5"/>
        <v>3532</v>
      </c>
      <c r="AH51" s="47"/>
      <c r="AI51" s="51"/>
      <c r="AJ51" s="292" t="s">
        <v>9</v>
      </c>
      <c r="AK51" s="291"/>
      <c r="AL51" s="288"/>
      <c r="AM51" s="288"/>
      <c r="AN51" s="288"/>
      <c r="AO51" s="288"/>
      <c r="AP51" s="14"/>
      <c r="AQ51" s="292" t="s">
        <v>9</v>
      </c>
      <c r="AR51" s="884"/>
      <c r="AS51" s="292"/>
      <c r="AT51" s="292"/>
      <c r="AU51" s="292"/>
      <c r="AV51" s="288"/>
      <c r="AW51" s="14"/>
      <c r="AX51" s="292" t="s">
        <v>9</v>
      </c>
      <c r="AY51" s="291"/>
      <c r="AZ51" s="288"/>
      <c r="BA51" s="288"/>
      <c r="BB51" s="288"/>
      <c r="BC51" s="288"/>
      <c r="BD51" s="14"/>
      <c r="BE51" s="292" t="s">
        <v>9</v>
      </c>
      <c r="BF51" s="291"/>
      <c r="BG51" s="288"/>
      <c r="BH51" s="47"/>
      <c r="BI51" s="285">
        <f t="shared" si="6"/>
        <v>583</v>
      </c>
      <c r="BJ51" s="285">
        <f t="shared" si="7"/>
        <v>18558</v>
      </c>
      <c r="BK51" s="285">
        <f t="shared" si="8"/>
        <v>5</v>
      </c>
      <c r="BL51" s="285">
        <f t="shared" si="9"/>
        <v>545</v>
      </c>
      <c r="BM51" s="285">
        <f t="shared" si="10"/>
        <v>397</v>
      </c>
      <c r="BN51" s="285">
        <f t="shared" si="11"/>
        <v>0</v>
      </c>
      <c r="BO51" s="285">
        <f t="shared" si="12"/>
        <v>2</v>
      </c>
      <c r="BP51" s="285">
        <f t="shared" si="13"/>
        <v>2</v>
      </c>
      <c r="BQ51" s="285">
        <f t="shared" si="14"/>
        <v>3392</v>
      </c>
      <c r="BR51" s="66">
        <f t="shared" si="15"/>
        <v>23484</v>
      </c>
      <c r="BS51" s="14">
        <f t="shared" si="16"/>
        <v>0</v>
      </c>
      <c r="BT51" s="9"/>
    </row>
    <row r="52" spans="1:72">
      <c r="A52" s="261" t="s">
        <v>8</v>
      </c>
      <c r="B52" s="61">
        <f>'58C SFY 17-18 Persons Count'!AC48</f>
        <v>2.0000000000000001E-4</v>
      </c>
      <c r="C52" s="21">
        <f t="shared" si="24"/>
        <v>211</v>
      </c>
      <c r="D52" s="21">
        <f t="shared" si="25"/>
        <v>4</v>
      </c>
      <c r="E52" s="63">
        <f>'58C SFY 17-18 Persons Count'!AE48</f>
        <v>5.9999999999999995E-4</v>
      </c>
      <c r="F52" s="21">
        <f>ROUND(F$6*$E52,0)</f>
        <v>16</v>
      </c>
      <c r="G52" s="62">
        <f>SUM(C52:D52,F52)</f>
        <v>231</v>
      </c>
      <c r="H52" s="193"/>
      <c r="I52" s="14"/>
      <c r="J52" s="292" t="s">
        <v>8</v>
      </c>
      <c r="K52" s="291"/>
      <c r="L52" s="288"/>
      <c r="M52" s="288"/>
      <c r="N52" s="288"/>
      <c r="O52" s="288"/>
      <c r="P52" s="14"/>
      <c r="Q52" s="14"/>
      <c r="R52" s="58" t="s">
        <v>8</v>
      </c>
      <c r="S52" s="64">
        <f>'58C SFY 17-18 Persons Count'!AL48</f>
        <v>1E-4</v>
      </c>
      <c r="T52" s="60">
        <f>ROUND(T$6*$S52,0)</f>
        <v>18</v>
      </c>
      <c r="U52" s="47"/>
      <c r="V52" s="58" t="s">
        <v>8</v>
      </c>
      <c r="W52" s="64">
        <f>'58C SFY 17-18 Persons Count'!AO48</f>
        <v>1E-4</v>
      </c>
      <c r="X52" s="60">
        <f t="shared" si="30"/>
        <v>12</v>
      </c>
      <c r="Y52" s="60">
        <f t="shared" si="32"/>
        <v>11</v>
      </c>
      <c r="Z52" s="809">
        <f t="shared" si="32"/>
        <v>0</v>
      </c>
      <c r="AA52" s="60">
        <f t="shared" si="30"/>
        <v>12</v>
      </c>
      <c r="AB52" s="60">
        <f t="shared" si="30"/>
        <v>1</v>
      </c>
      <c r="AC52" s="60">
        <f t="shared" si="30"/>
        <v>0</v>
      </c>
      <c r="AD52" s="60">
        <f t="shared" si="30"/>
        <v>0</v>
      </c>
      <c r="AE52" s="60">
        <f t="shared" si="30"/>
        <v>0</v>
      </c>
      <c r="AF52" s="60">
        <f t="shared" si="17"/>
        <v>39</v>
      </c>
      <c r="AG52" s="279">
        <f t="shared" si="5"/>
        <v>75</v>
      </c>
      <c r="AH52" s="47"/>
      <c r="AI52" s="51"/>
      <c r="AJ52" s="292" t="s">
        <v>8</v>
      </c>
      <c r="AK52" s="291"/>
      <c r="AL52" s="288"/>
      <c r="AM52" s="288"/>
      <c r="AN52" s="288"/>
      <c r="AO52" s="288"/>
      <c r="AP52" s="14"/>
      <c r="AQ52" s="292" t="s">
        <v>8</v>
      </c>
      <c r="AR52" s="884"/>
      <c r="AS52" s="292"/>
      <c r="AT52" s="292"/>
      <c r="AU52" s="292"/>
      <c r="AV52" s="288"/>
      <c r="AW52" s="14"/>
      <c r="AX52" s="292" t="s">
        <v>8</v>
      </c>
      <c r="AY52" s="291"/>
      <c r="AZ52" s="288"/>
      <c r="BA52" s="288"/>
      <c r="BB52" s="288"/>
      <c r="BC52" s="288"/>
      <c r="BD52" s="14"/>
      <c r="BE52" s="292" t="s">
        <v>8</v>
      </c>
      <c r="BF52" s="291"/>
      <c r="BG52" s="288"/>
      <c r="BH52" s="47"/>
      <c r="BI52" s="285">
        <f t="shared" si="6"/>
        <v>12</v>
      </c>
      <c r="BJ52" s="285">
        <f t="shared" si="7"/>
        <v>240</v>
      </c>
      <c r="BK52" s="285">
        <f t="shared" si="8"/>
        <v>0</v>
      </c>
      <c r="BL52" s="285">
        <f t="shared" si="9"/>
        <v>12</v>
      </c>
      <c r="BM52" s="285">
        <f t="shared" si="10"/>
        <v>5</v>
      </c>
      <c r="BN52" s="285">
        <f t="shared" si="11"/>
        <v>0</v>
      </c>
      <c r="BO52" s="285">
        <f t="shared" si="12"/>
        <v>0</v>
      </c>
      <c r="BP52" s="285">
        <f t="shared" si="13"/>
        <v>0</v>
      </c>
      <c r="BQ52" s="285">
        <f t="shared" si="14"/>
        <v>55</v>
      </c>
      <c r="BR52" s="66">
        <f t="shared" si="15"/>
        <v>324</v>
      </c>
      <c r="BS52" s="14">
        <f t="shared" si="16"/>
        <v>0</v>
      </c>
      <c r="BT52" s="9"/>
    </row>
    <row r="53" spans="1:72">
      <c r="A53" s="261" t="s">
        <v>7</v>
      </c>
      <c r="B53" s="61">
        <f>'58C SFY 17-18 Persons Count'!AC49</f>
        <v>4.5999999999999999E-3</v>
      </c>
      <c r="C53" s="21">
        <f t="shared" si="24"/>
        <v>4855</v>
      </c>
      <c r="D53" s="21">
        <f t="shared" si="25"/>
        <v>99</v>
      </c>
      <c r="E53" s="63">
        <f>'58C SFY 17-18 Persons Count'!AE49</f>
        <v>7.3000000000000001E-3</v>
      </c>
      <c r="F53" s="21">
        <f>ROUND(F$6*$E53,0)</f>
        <v>198</v>
      </c>
      <c r="G53" s="62">
        <f>SUM(C53:D53,F53)</f>
        <v>5152</v>
      </c>
      <c r="H53" s="193"/>
      <c r="I53" s="14"/>
      <c r="J53" s="292" t="s">
        <v>7</v>
      </c>
      <c r="K53" s="291"/>
      <c r="L53" s="288"/>
      <c r="M53" s="288"/>
      <c r="N53" s="288"/>
      <c r="O53" s="288"/>
      <c r="P53" s="14"/>
      <c r="Q53" s="14"/>
      <c r="R53" s="58" t="s">
        <v>7</v>
      </c>
      <c r="S53" s="64">
        <f>'58C SFY 17-18 Persons Count'!AL49</f>
        <v>2.5999999999999999E-3</v>
      </c>
      <c r="T53" s="60">
        <f>ROUND(T$6*$S53,0)</f>
        <v>459</v>
      </c>
      <c r="U53" s="47"/>
      <c r="V53" s="58" t="s">
        <v>7</v>
      </c>
      <c r="W53" s="64">
        <f>'58C SFY 17-18 Persons Count'!AO49</f>
        <v>1.4E-3</v>
      </c>
      <c r="X53" s="60">
        <f t="shared" si="30"/>
        <v>174</v>
      </c>
      <c r="Y53" s="60">
        <f t="shared" si="32"/>
        <v>155</v>
      </c>
      <c r="Z53" s="809">
        <f t="shared" si="32"/>
        <v>1</v>
      </c>
      <c r="AA53" s="60">
        <f t="shared" si="30"/>
        <v>162</v>
      </c>
      <c r="AB53" s="60">
        <f t="shared" si="30"/>
        <v>19</v>
      </c>
      <c r="AC53" s="60">
        <f t="shared" si="30"/>
        <v>0</v>
      </c>
      <c r="AD53" s="60">
        <f t="shared" si="30"/>
        <v>0</v>
      </c>
      <c r="AE53" s="60">
        <f t="shared" si="30"/>
        <v>1</v>
      </c>
      <c r="AF53" s="60">
        <f t="shared" si="17"/>
        <v>539</v>
      </c>
      <c r="AG53" s="279">
        <f t="shared" si="5"/>
        <v>1051</v>
      </c>
      <c r="AH53" s="47"/>
      <c r="AI53" s="51"/>
      <c r="AJ53" s="292" t="s">
        <v>7</v>
      </c>
      <c r="AK53" s="291"/>
      <c r="AL53" s="288"/>
      <c r="AM53" s="288"/>
      <c r="AN53" s="288"/>
      <c r="AO53" s="288"/>
      <c r="AP53" s="14"/>
      <c r="AQ53" s="292" t="s">
        <v>7</v>
      </c>
      <c r="AR53" s="884"/>
      <c r="AS53" s="292"/>
      <c r="AT53" s="292"/>
      <c r="AU53" s="292"/>
      <c r="AV53" s="288"/>
      <c r="AW53" s="14"/>
      <c r="AX53" s="292" t="s">
        <v>7</v>
      </c>
      <c r="AY53" s="291"/>
      <c r="AZ53" s="288"/>
      <c r="BA53" s="288"/>
      <c r="BB53" s="288"/>
      <c r="BC53" s="288"/>
      <c r="BD53" s="14"/>
      <c r="BE53" s="292" t="s">
        <v>7</v>
      </c>
      <c r="BF53" s="291"/>
      <c r="BG53" s="288"/>
      <c r="BH53" s="47"/>
      <c r="BI53" s="285">
        <f t="shared" si="6"/>
        <v>174</v>
      </c>
      <c r="BJ53" s="285">
        <f t="shared" si="7"/>
        <v>5469</v>
      </c>
      <c r="BK53" s="285">
        <f t="shared" si="8"/>
        <v>1</v>
      </c>
      <c r="BL53" s="285">
        <f t="shared" si="9"/>
        <v>162</v>
      </c>
      <c r="BM53" s="285">
        <f t="shared" si="10"/>
        <v>118</v>
      </c>
      <c r="BN53" s="285">
        <f t="shared" si="11"/>
        <v>0</v>
      </c>
      <c r="BO53" s="285">
        <f t="shared" si="12"/>
        <v>0</v>
      </c>
      <c r="BP53" s="285">
        <f t="shared" si="13"/>
        <v>1</v>
      </c>
      <c r="BQ53" s="285">
        <f t="shared" si="14"/>
        <v>737</v>
      </c>
      <c r="BR53" s="66">
        <f t="shared" si="15"/>
        <v>6662</v>
      </c>
      <c r="BS53" s="14">
        <f t="shared" si="16"/>
        <v>0</v>
      </c>
      <c r="BT53" s="9"/>
    </row>
    <row r="54" spans="1:72">
      <c r="A54" s="300" t="s">
        <v>158</v>
      </c>
      <c r="B54" s="291"/>
      <c r="C54" s="288"/>
      <c r="D54" s="288"/>
      <c r="E54" s="293"/>
      <c r="F54" s="288"/>
      <c r="G54" s="294"/>
      <c r="H54" s="193"/>
      <c r="I54" s="14"/>
      <c r="J54" s="300" t="s">
        <v>158</v>
      </c>
      <c r="K54" s="291"/>
      <c r="L54" s="288"/>
      <c r="M54" s="288"/>
      <c r="N54" s="288"/>
      <c r="O54" s="288"/>
      <c r="P54" s="14"/>
      <c r="Q54" s="14"/>
      <c r="R54" s="299" t="s">
        <v>158</v>
      </c>
      <c r="S54" s="287"/>
      <c r="T54" s="290"/>
      <c r="U54" s="47"/>
      <c r="V54" s="58" t="s">
        <v>158</v>
      </c>
      <c r="W54" s="64">
        <f>'58C SFY 17-18 Persons Count'!AO50</f>
        <v>9.1000000000000004E-3</v>
      </c>
      <c r="X54" s="60">
        <f t="shared" si="30"/>
        <v>1130</v>
      </c>
      <c r="Y54" s="60">
        <f t="shared" si="32"/>
        <v>1008</v>
      </c>
      <c r="Z54" s="397">
        <f>ROUNDUP(Z$6*$W54,0)</f>
        <v>10</v>
      </c>
      <c r="AA54" s="60">
        <f t="shared" si="30"/>
        <v>1055</v>
      </c>
      <c r="AB54" s="60">
        <f t="shared" si="30"/>
        <v>124</v>
      </c>
      <c r="AC54" s="60">
        <f t="shared" si="30"/>
        <v>0</v>
      </c>
      <c r="AD54" s="60">
        <f t="shared" si="30"/>
        <v>3</v>
      </c>
      <c r="AE54" s="60">
        <f t="shared" si="30"/>
        <v>4</v>
      </c>
      <c r="AF54" s="60">
        <f t="shared" si="17"/>
        <v>3504</v>
      </c>
      <c r="AG54" s="279">
        <f t="shared" si="5"/>
        <v>6838</v>
      </c>
      <c r="AH54" s="47"/>
      <c r="AI54" s="51"/>
      <c r="AJ54" s="274" t="s">
        <v>158</v>
      </c>
      <c r="AK54" s="61">
        <v>2.58E-2</v>
      </c>
      <c r="AL54" s="65">
        <f>ROUND(AL$6*AK54,0)</f>
        <v>14792</v>
      </c>
      <c r="AM54" s="65">
        <f>ROUND(AM$6*AK54,0)</f>
        <v>227</v>
      </c>
      <c r="AN54" s="65">
        <f>ROUND(AN$6*AK54,0)</f>
        <v>2309</v>
      </c>
      <c r="AO54" s="50">
        <f>SUM(AL54:AN54)</f>
        <v>17328</v>
      </c>
      <c r="AP54" s="14"/>
      <c r="AQ54" s="274" t="s">
        <v>158</v>
      </c>
      <c r="AR54" s="914">
        <f>SUMIF('4th Q CalWIN M&amp;O (County)'!$A$4:$A$82,'4th Q Co Share Calculations'!AQ54,'4th Q CalWIN M&amp;O (County)'!$J$4:$J$82)+2</f>
        <v>10038</v>
      </c>
      <c r="AS54" s="65">
        <f t="shared" ref="AS54:AU55" si="37">ROUND($AR54*AS$5,0)</f>
        <v>8569</v>
      </c>
      <c r="AT54" s="65">
        <f t="shared" si="37"/>
        <v>131</v>
      </c>
      <c r="AU54" s="65">
        <f t="shared" si="37"/>
        <v>1338</v>
      </c>
      <c r="AV54" s="50">
        <f>SUM(AS54:AU54)</f>
        <v>10038</v>
      </c>
      <c r="AW54" s="14"/>
      <c r="AX54" s="274" t="s">
        <v>158</v>
      </c>
      <c r="AY54" s="61">
        <v>2.58E-2</v>
      </c>
      <c r="AZ54" s="65">
        <f>ROUND(AZ$6*AY54,0)</f>
        <v>647</v>
      </c>
      <c r="BA54" s="65">
        <f>ROUND(BA$6*AY54,0)</f>
        <v>10</v>
      </c>
      <c r="BB54" s="65">
        <f>ROUND(BB$6*AY54,0)</f>
        <v>101</v>
      </c>
      <c r="BC54" s="50">
        <f>SUM(AZ54:BB54)</f>
        <v>758</v>
      </c>
      <c r="BD54" s="14"/>
      <c r="BE54" s="274" t="s">
        <v>158</v>
      </c>
      <c r="BF54" s="61">
        <v>2.41E-2</v>
      </c>
      <c r="BG54" s="65">
        <f>ROUND(BF54*BG$6,0)</f>
        <v>945</v>
      </c>
      <c r="BH54" s="47"/>
      <c r="BI54" s="285">
        <f t="shared" si="6"/>
        <v>1130</v>
      </c>
      <c r="BJ54" s="285">
        <f t="shared" si="7"/>
        <v>25961</v>
      </c>
      <c r="BK54" s="285">
        <f t="shared" si="8"/>
        <v>10</v>
      </c>
      <c r="BL54" s="285">
        <f t="shared" si="9"/>
        <v>1055</v>
      </c>
      <c r="BM54" s="285">
        <f t="shared" si="10"/>
        <v>492</v>
      </c>
      <c r="BN54" s="285">
        <f t="shared" si="11"/>
        <v>0</v>
      </c>
      <c r="BO54" s="285">
        <f t="shared" si="12"/>
        <v>3</v>
      </c>
      <c r="BP54" s="285">
        <f t="shared" si="13"/>
        <v>4</v>
      </c>
      <c r="BQ54" s="285">
        <f t="shared" si="14"/>
        <v>7252</v>
      </c>
      <c r="BR54" s="66">
        <f t="shared" si="15"/>
        <v>35907</v>
      </c>
      <c r="BS54" s="14">
        <f t="shared" si="16"/>
        <v>0</v>
      </c>
      <c r="BT54" s="9"/>
    </row>
    <row r="55" spans="1:72">
      <c r="A55" s="300" t="s">
        <v>157</v>
      </c>
      <c r="B55" s="291"/>
      <c r="C55" s="288"/>
      <c r="D55" s="288"/>
      <c r="E55" s="293"/>
      <c r="F55" s="288"/>
      <c r="G55" s="294"/>
      <c r="H55" s="193"/>
      <c r="I55" s="14"/>
      <c r="J55" s="300" t="s">
        <v>157</v>
      </c>
      <c r="K55" s="291"/>
      <c r="L55" s="288"/>
      <c r="M55" s="288"/>
      <c r="N55" s="288"/>
      <c r="O55" s="288"/>
      <c r="P55" s="14"/>
      <c r="Q55" s="14"/>
      <c r="R55" s="299" t="s">
        <v>157</v>
      </c>
      <c r="S55" s="287"/>
      <c r="T55" s="290"/>
      <c r="U55" s="47"/>
      <c r="V55" s="58" t="s">
        <v>157</v>
      </c>
      <c r="W55" s="64">
        <f>'58C SFY 17-18 Persons Count'!AO51</f>
        <v>9.1999999999999998E-3</v>
      </c>
      <c r="X55" s="60">
        <f t="shared" ref="X55:AE64" si="38">ROUND(X$6*$W55,0)</f>
        <v>1142</v>
      </c>
      <c r="Y55" s="60">
        <f t="shared" si="32"/>
        <v>1020</v>
      </c>
      <c r="Z55" s="809">
        <f t="shared" si="32"/>
        <v>9</v>
      </c>
      <c r="AA55" s="60">
        <f t="shared" si="38"/>
        <v>1066</v>
      </c>
      <c r="AB55" s="60">
        <f t="shared" si="38"/>
        <v>125</v>
      </c>
      <c r="AC55" s="60">
        <f t="shared" si="38"/>
        <v>0</v>
      </c>
      <c r="AD55" s="60">
        <f t="shared" si="38"/>
        <v>3</v>
      </c>
      <c r="AE55" s="397">
        <f>ROUNDUP(AE$6*$W55,0)</f>
        <v>5</v>
      </c>
      <c r="AF55" s="60">
        <f t="shared" si="17"/>
        <v>3543</v>
      </c>
      <c r="AG55" s="279">
        <f t="shared" si="5"/>
        <v>6913</v>
      </c>
      <c r="AH55" s="47"/>
      <c r="AI55" s="51"/>
      <c r="AJ55" s="274" t="s">
        <v>157</v>
      </c>
      <c r="AK55" s="61">
        <v>2.12E-2</v>
      </c>
      <c r="AL55" s="65">
        <f>ROUND(AL$6*AK55,0)</f>
        <v>12155</v>
      </c>
      <c r="AM55" s="65">
        <f>ROUND(AM$6*AK55,0)</f>
        <v>186</v>
      </c>
      <c r="AN55" s="65">
        <f>ROUND(AN$6*AK55,0)</f>
        <v>1897</v>
      </c>
      <c r="AO55" s="50">
        <f>SUM(AL55:AN55)</f>
        <v>14238</v>
      </c>
      <c r="AP55" s="14"/>
      <c r="AQ55" s="274" t="s">
        <v>157</v>
      </c>
      <c r="AR55" s="914">
        <f>SUMIF('4th Q CalWIN M&amp;O (County)'!$A$4:$A$82,'4th Q Co Share Calculations'!AQ55,'4th Q CalWIN M&amp;O (County)'!$J$4:$J$82)+1</f>
        <v>7614</v>
      </c>
      <c r="AS55" s="65">
        <f t="shared" si="37"/>
        <v>6500</v>
      </c>
      <c r="AT55" s="915">
        <f>ROUND($AR55*AT$5,0)+1</f>
        <v>101</v>
      </c>
      <c r="AU55" s="65">
        <f t="shared" si="37"/>
        <v>1015</v>
      </c>
      <c r="AV55" s="50">
        <f>SUM(AS55:AU55)</f>
        <v>7616</v>
      </c>
      <c r="AW55" s="14"/>
      <c r="AX55" s="274" t="s">
        <v>157</v>
      </c>
      <c r="AY55" s="61">
        <v>2.12E-2</v>
      </c>
      <c r="AZ55" s="65">
        <f>ROUND(AZ$6*AY55,0)</f>
        <v>531</v>
      </c>
      <c r="BA55" s="65">
        <f>ROUND(BA$6*AY55,0)</f>
        <v>8</v>
      </c>
      <c r="BB55" s="65">
        <f>ROUND(BB$6*AY55,0)</f>
        <v>83</v>
      </c>
      <c r="BC55" s="50">
        <f>SUM(AZ55:BB55)</f>
        <v>622</v>
      </c>
      <c r="BD55" s="14"/>
      <c r="BE55" s="274" t="s">
        <v>157</v>
      </c>
      <c r="BF55" s="61">
        <v>1.83E-2</v>
      </c>
      <c r="BG55" s="65">
        <f>ROUND(BF55*BG$6,0)</f>
        <v>717</v>
      </c>
      <c r="BH55" s="47"/>
      <c r="BI55" s="285">
        <f t="shared" si="6"/>
        <v>1142</v>
      </c>
      <c r="BJ55" s="285">
        <f t="shared" si="7"/>
        <v>20923</v>
      </c>
      <c r="BK55" s="285">
        <f t="shared" si="8"/>
        <v>9</v>
      </c>
      <c r="BL55" s="285">
        <f t="shared" si="9"/>
        <v>1066</v>
      </c>
      <c r="BM55" s="285">
        <f t="shared" si="10"/>
        <v>420</v>
      </c>
      <c r="BN55" s="285">
        <f t="shared" si="11"/>
        <v>0</v>
      </c>
      <c r="BO55" s="285">
        <f t="shared" si="12"/>
        <v>3</v>
      </c>
      <c r="BP55" s="285">
        <f t="shared" si="13"/>
        <v>5</v>
      </c>
      <c r="BQ55" s="285">
        <f t="shared" si="14"/>
        <v>6538</v>
      </c>
      <c r="BR55" s="66">
        <f t="shared" si="15"/>
        <v>30106</v>
      </c>
      <c r="BS55" s="14">
        <f t="shared" si="16"/>
        <v>0</v>
      </c>
      <c r="BT55" s="9"/>
    </row>
    <row r="56" spans="1:72">
      <c r="A56" s="261" t="s">
        <v>6</v>
      </c>
      <c r="B56" s="61">
        <f>'58C SFY 17-18 Persons Count'!AC52</f>
        <v>6.25E-2</v>
      </c>
      <c r="C56" s="21">
        <f t="shared" si="24"/>
        <v>65966</v>
      </c>
      <c r="D56" s="21">
        <f>ROUNDUP(D$6*$B56,0)</f>
        <v>1344</v>
      </c>
      <c r="E56" s="63">
        <f>'58C SFY 17-18 Persons Count'!AE52</f>
        <v>3.1600000000000003E-2</v>
      </c>
      <c r="F56" s="21">
        <f>ROUND(F$6*$E56,0)</f>
        <v>859</v>
      </c>
      <c r="G56" s="62">
        <f>SUM(C56:D56,F56)</f>
        <v>68169</v>
      </c>
      <c r="H56" s="193"/>
      <c r="I56" s="14"/>
      <c r="J56" s="292" t="s">
        <v>6</v>
      </c>
      <c r="K56" s="291"/>
      <c r="L56" s="288"/>
      <c r="M56" s="288"/>
      <c r="N56" s="288"/>
      <c r="O56" s="288"/>
      <c r="P56" s="14"/>
      <c r="Q56" s="14"/>
      <c r="R56" s="58" t="s">
        <v>6</v>
      </c>
      <c r="S56" s="64">
        <f>'58C SFY 17-18 Persons Count'!AL52</f>
        <v>3.3000000000000002E-2</v>
      </c>
      <c r="T56" s="60">
        <f>ROUND(T$6*$S56,0)</f>
        <v>5826</v>
      </c>
      <c r="U56" s="47"/>
      <c r="V56" s="58" t="s">
        <v>6</v>
      </c>
      <c r="W56" s="64">
        <f>'58C SFY 17-18 Persons Count'!AO52</f>
        <v>1.89E-2</v>
      </c>
      <c r="X56" s="809">
        <f t="shared" si="38"/>
        <v>2346</v>
      </c>
      <c r="Y56" s="60">
        <f t="shared" si="32"/>
        <v>2094</v>
      </c>
      <c r="Z56" s="809">
        <f t="shared" si="32"/>
        <v>19</v>
      </c>
      <c r="AA56" s="809">
        <f t="shared" si="38"/>
        <v>2191</v>
      </c>
      <c r="AB56" s="809">
        <f t="shared" si="38"/>
        <v>257</v>
      </c>
      <c r="AC56" s="809">
        <f t="shared" si="38"/>
        <v>1</v>
      </c>
      <c r="AD56" s="397">
        <f>ROUNDUP(AD$6*$W56,0)</f>
        <v>7</v>
      </c>
      <c r="AE56" s="809">
        <f t="shared" si="38"/>
        <v>9</v>
      </c>
      <c r="AF56" s="397">
        <f>ROUNDDOWN(AF$6*$W56,0)</f>
        <v>7278</v>
      </c>
      <c r="AG56" s="279">
        <f t="shared" si="5"/>
        <v>14202</v>
      </c>
      <c r="AH56" s="47"/>
      <c r="AI56" s="51"/>
      <c r="AJ56" s="292" t="s">
        <v>6</v>
      </c>
      <c r="AK56" s="291"/>
      <c r="AL56" s="288"/>
      <c r="AM56" s="288"/>
      <c r="AN56" s="288"/>
      <c r="AO56" s="288"/>
      <c r="AP56" s="14"/>
      <c r="AQ56" s="292" t="s">
        <v>6</v>
      </c>
      <c r="AR56" s="884"/>
      <c r="AS56" s="292"/>
      <c r="AT56" s="292"/>
      <c r="AU56" s="292"/>
      <c r="AV56" s="288"/>
      <c r="AW56" s="14"/>
      <c r="AX56" s="292" t="s">
        <v>6</v>
      </c>
      <c r="AY56" s="291"/>
      <c r="AZ56" s="288"/>
      <c r="BA56" s="288"/>
      <c r="BB56" s="288"/>
      <c r="BC56" s="288"/>
      <c r="BD56" s="14"/>
      <c r="BE56" s="292" t="s">
        <v>6</v>
      </c>
      <c r="BF56" s="291"/>
      <c r="BG56" s="288"/>
      <c r="BH56" s="47"/>
      <c r="BI56" s="285">
        <f t="shared" si="6"/>
        <v>2346</v>
      </c>
      <c r="BJ56" s="285">
        <f t="shared" si="7"/>
        <v>73886</v>
      </c>
      <c r="BK56" s="285">
        <f t="shared" si="8"/>
        <v>19</v>
      </c>
      <c r="BL56" s="285">
        <f t="shared" si="9"/>
        <v>2191</v>
      </c>
      <c r="BM56" s="285">
        <f t="shared" si="10"/>
        <v>1601</v>
      </c>
      <c r="BN56" s="285">
        <f t="shared" si="11"/>
        <v>1</v>
      </c>
      <c r="BO56" s="285">
        <f t="shared" si="12"/>
        <v>7</v>
      </c>
      <c r="BP56" s="285">
        <f t="shared" si="13"/>
        <v>9</v>
      </c>
      <c r="BQ56" s="285">
        <f t="shared" si="14"/>
        <v>8137</v>
      </c>
      <c r="BR56" s="66">
        <f t="shared" si="15"/>
        <v>88197</v>
      </c>
      <c r="BS56" s="14">
        <f t="shared" si="16"/>
        <v>0</v>
      </c>
      <c r="BT56" s="9"/>
    </row>
    <row r="57" spans="1:72">
      <c r="A57" s="261" t="s">
        <v>5</v>
      </c>
      <c r="B57" s="61">
        <f>'58C SFY 17-18 Persons Count'!AC53</f>
        <v>1.0200000000000001E-2</v>
      </c>
      <c r="C57" s="261">
        <f>ROUND(C$6*$B57,0)</f>
        <v>10766</v>
      </c>
      <c r="D57" s="738">
        <f t="shared" si="25"/>
        <v>219</v>
      </c>
      <c r="E57" s="63">
        <f>'58C SFY 17-18 Persons Count'!AE53</f>
        <v>2.3999999999999998E-3</v>
      </c>
      <c r="F57" s="21">
        <f>ROUND(F$6*$E57,0)</f>
        <v>65</v>
      </c>
      <c r="G57" s="62">
        <f>SUM(C57:D57,F57)</f>
        <v>11050</v>
      </c>
      <c r="H57" s="193"/>
      <c r="I57" s="14"/>
      <c r="J57" s="292" t="s">
        <v>5</v>
      </c>
      <c r="K57" s="291"/>
      <c r="L57" s="288"/>
      <c r="M57" s="288"/>
      <c r="N57" s="288"/>
      <c r="O57" s="288"/>
      <c r="P57" s="14"/>
      <c r="Q57" s="14"/>
      <c r="R57" s="58" t="s">
        <v>5</v>
      </c>
      <c r="S57" s="64">
        <f>'58C SFY 17-18 Persons Count'!AL53</f>
        <v>5.0000000000000001E-3</v>
      </c>
      <c r="T57" s="60">
        <f>ROUND(T$6*$S57,0)</f>
        <v>883</v>
      </c>
      <c r="U57" s="47"/>
      <c r="V57" s="58" t="s">
        <v>5</v>
      </c>
      <c r="W57" s="64">
        <f>'58C SFY 17-18 Persons Count'!AO53</f>
        <v>3.0999999999999999E-3</v>
      </c>
      <c r="X57" s="809">
        <f t="shared" si="38"/>
        <v>385</v>
      </c>
      <c r="Y57" s="60">
        <f t="shared" si="32"/>
        <v>344</v>
      </c>
      <c r="Z57" s="809">
        <f t="shared" si="32"/>
        <v>3</v>
      </c>
      <c r="AA57" s="809">
        <f t="shared" si="38"/>
        <v>359</v>
      </c>
      <c r="AB57" s="809">
        <f t="shared" si="38"/>
        <v>42</v>
      </c>
      <c r="AC57" s="809">
        <f t="shared" si="38"/>
        <v>0</v>
      </c>
      <c r="AD57" s="809">
        <f t="shared" si="38"/>
        <v>1</v>
      </c>
      <c r="AE57" s="809">
        <f t="shared" si="38"/>
        <v>1</v>
      </c>
      <c r="AF57" s="809">
        <f t="shared" si="17"/>
        <v>1194</v>
      </c>
      <c r="AG57" s="279">
        <f t="shared" si="5"/>
        <v>2329</v>
      </c>
      <c r="AH57" s="47"/>
      <c r="AI57" s="51"/>
      <c r="AJ57" s="292" t="s">
        <v>5</v>
      </c>
      <c r="AK57" s="291"/>
      <c r="AL57" s="288"/>
      <c r="AM57" s="288"/>
      <c r="AN57" s="288"/>
      <c r="AO57" s="288"/>
      <c r="AP57" s="14"/>
      <c r="AQ57" s="292" t="s">
        <v>5</v>
      </c>
      <c r="AR57" s="884"/>
      <c r="AS57" s="292"/>
      <c r="AT57" s="292"/>
      <c r="AU57" s="292"/>
      <c r="AV57" s="288"/>
      <c r="AW57" s="14"/>
      <c r="AX57" s="292" t="s">
        <v>5</v>
      </c>
      <c r="AY57" s="291"/>
      <c r="AZ57" s="288"/>
      <c r="BA57" s="288"/>
      <c r="BB57" s="288"/>
      <c r="BC57" s="288"/>
      <c r="BD57" s="14"/>
      <c r="BE57" s="292" t="s">
        <v>5</v>
      </c>
      <c r="BF57" s="291"/>
      <c r="BG57" s="288"/>
      <c r="BH57" s="47"/>
      <c r="BI57" s="285">
        <f t="shared" si="6"/>
        <v>385</v>
      </c>
      <c r="BJ57" s="285">
        <f t="shared" si="7"/>
        <v>11993</v>
      </c>
      <c r="BK57" s="285">
        <f t="shared" si="8"/>
        <v>3</v>
      </c>
      <c r="BL57" s="285">
        <f t="shared" si="9"/>
        <v>359</v>
      </c>
      <c r="BM57" s="285">
        <f t="shared" si="10"/>
        <v>261</v>
      </c>
      <c r="BN57" s="285">
        <f t="shared" si="11"/>
        <v>0</v>
      </c>
      <c r="BO57" s="285">
        <f t="shared" si="12"/>
        <v>1</v>
      </c>
      <c r="BP57" s="285">
        <f t="shared" si="13"/>
        <v>1</v>
      </c>
      <c r="BQ57" s="285">
        <f t="shared" si="14"/>
        <v>1259</v>
      </c>
      <c r="BR57" s="66">
        <f t="shared" si="15"/>
        <v>14262</v>
      </c>
      <c r="BS57" s="14">
        <f t="shared" si="16"/>
        <v>0</v>
      </c>
      <c r="BT57" s="9"/>
    </row>
    <row r="58" spans="1:72">
      <c r="A58" s="261" t="s">
        <v>4</v>
      </c>
      <c r="B58" s="61">
        <f>'58C SFY 17-18 Persons Count'!AC54</f>
        <v>6.7999999999999996E-3</v>
      </c>
      <c r="C58" s="261">
        <f t="shared" si="24"/>
        <v>7177</v>
      </c>
      <c r="D58" s="21">
        <f t="shared" si="25"/>
        <v>146</v>
      </c>
      <c r="E58" s="63">
        <f>'58C SFY 17-18 Persons Count'!AE54</f>
        <v>5.1000000000000004E-3</v>
      </c>
      <c r="F58" s="21">
        <f>ROUND(F$6*$E58,0)</f>
        <v>139</v>
      </c>
      <c r="G58" s="62">
        <f>SUM(C58:D58,F58)</f>
        <v>7462</v>
      </c>
      <c r="H58" s="193"/>
      <c r="I58" s="14"/>
      <c r="J58" s="292" t="s">
        <v>4</v>
      </c>
      <c r="K58" s="291"/>
      <c r="L58" s="288"/>
      <c r="M58" s="288"/>
      <c r="N58" s="288"/>
      <c r="O58" s="288"/>
      <c r="P58" s="14"/>
      <c r="Q58" s="14"/>
      <c r="R58" s="58" t="s">
        <v>4</v>
      </c>
      <c r="S58" s="64">
        <f>'58C SFY 17-18 Persons Count'!AL54</f>
        <v>3.7000000000000002E-3</v>
      </c>
      <c r="T58" s="60">
        <f>ROUND(T$6*$S58,0)</f>
        <v>653</v>
      </c>
      <c r="U58" s="47"/>
      <c r="V58" s="58" t="s">
        <v>4</v>
      </c>
      <c r="W58" s="64">
        <f>'58C SFY 17-18 Persons Count'!AO54</f>
        <v>2E-3</v>
      </c>
      <c r="X58" s="809">
        <f t="shared" si="38"/>
        <v>248</v>
      </c>
      <c r="Y58" s="60">
        <f t="shared" si="32"/>
        <v>222</v>
      </c>
      <c r="Z58" s="809">
        <f t="shared" si="32"/>
        <v>2</v>
      </c>
      <c r="AA58" s="809">
        <f t="shared" si="38"/>
        <v>232</v>
      </c>
      <c r="AB58" s="809">
        <f t="shared" si="38"/>
        <v>27</v>
      </c>
      <c r="AC58" s="809">
        <f t="shared" si="38"/>
        <v>0</v>
      </c>
      <c r="AD58" s="809">
        <f t="shared" si="38"/>
        <v>1</v>
      </c>
      <c r="AE58" s="809">
        <f t="shared" si="38"/>
        <v>1</v>
      </c>
      <c r="AF58" s="809">
        <f t="shared" si="17"/>
        <v>770</v>
      </c>
      <c r="AG58" s="279">
        <f t="shared" si="5"/>
        <v>1503</v>
      </c>
      <c r="AH58" s="47"/>
      <c r="AI58" s="51"/>
      <c r="AJ58" s="292" t="s">
        <v>4</v>
      </c>
      <c r="AK58" s="291"/>
      <c r="AL58" s="288"/>
      <c r="AM58" s="288"/>
      <c r="AN58" s="288"/>
      <c r="AO58" s="288"/>
      <c r="AP58" s="14"/>
      <c r="AQ58" s="292" t="s">
        <v>4</v>
      </c>
      <c r="AR58" s="884"/>
      <c r="AS58" s="292"/>
      <c r="AT58" s="292"/>
      <c r="AU58" s="292"/>
      <c r="AV58" s="288"/>
      <c r="AW58" s="14"/>
      <c r="AX58" s="292" t="s">
        <v>4</v>
      </c>
      <c r="AY58" s="291"/>
      <c r="AZ58" s="288"/>
      <c r="BA58" s="288"/>
      <c r="BB58" s="288"/>
      <c r="BC58" s="288"/>
      <c r="BD58" s="14"/>
      <c r="BE58" s="292" t="s">
        <v>4</v>
      </c>
      <c r="BF58" s="291"/>
      <c r="BG58" s="288"/>
      <c r="BH58" s="47"/>
      <c r="BI58" s="285">
        <f t="shared" si="6"/>
        <v>248</v>
      </c>
      <c r="BJ58" s="285">
        <f t="shared" si="7"/>
        <v>8052</v>
      </c>
      <c r="BK58" s="285">
        <f t="shared" si="8"/>
        <v>2</v>
      </c>
      <c r="BL58" s="285">
        <f t="shared" si="9"/>
        <v>232</v>
      </c>
      <c r="BM58" s="285">
        <f t="shared" si="10"/>
        <v>173</v>
      </c>
      <c r="BN58" s="285">
        <f t="shared" si="11"/>
        <v>0</v>
      </c>
      <c r="BO58" s="285">
        <f t="shared" si="12"/>
        <v>1</v>
      </c>
      <c r="BP58" s="285">
        <f t="shared" si="13"/>
        <v>1</v>
      </c>
      <c r="BQ58" s="285">
        <f t="shared" si="14"/>
        <v>909</v>
      </c>
      <c r="BR58" s="66">
        <f t="shared" si="15"/>
        <v>9618</v>
      </c>
      <c r="BS58" s="14">
        <f t="shared" si="16"/>
        <v>0</v>
      </c>
      <c r="BT58" s="9"/>
    </row>
    <row r="59" spans="1:72">
      <c r="A59" s="261" t="s">
        <v>3</v>
      </c>
      <c r="B59" s="61">
        <f>'58C SFY 17-18 Persons Count'!AC55</f>
        <v>1.1999999999999999E-3</v>
      </c>
      <c r="C59" s="21">
        <f t="shared" si="24"/>
        <v>1267</v>
      </c>
      <c r="D59" s="21">
        <f t="shared" si="25"/>
        <v>26</v>
      </c>
      <c r="E59" s="63">
        <f>'58C SFY 17-18 Persons Count'!AE55</f>
        <v>1.6000000000000001E-3</v>
      </c>
      <c r="F59" s="21">
        <f>ROUND(F$6*$E59,0)</f>
        <v>43</v>
      </c>
      <c r="G59" s="62">
        <f>SUM(C59:D59,F59)</f>
        <v>1336</v>
      </c>
      <c r="H59" s="193"/>
      <c r="I59" s="14"/>
      <c r="J59" s="292" t="s">
        <v>3</v>
      </c>
      <c r="K59" s="291"/>
      <c r="L59" s="288"/>
      <c r="M59" s="288"/>
      <c r="N59" s="288"/>
      <c r="O59" s="288"/>
      <c r="P59" s="14"/>
      <c r="Q59" s="14"/>
      <c r="R59" s="58" t="s">
        <v>3</v>
      </c>
      <c r="S59" s="64">
        <f>'58C SFY 17-18 Persons Count'!AL55</f>
        <v>6.9999999999999999E-4</v>
      </c>
      <c r="T59" s="60">
        <f>ROUND(T$6*$S59,0)</f>
        <v>124</v>
      </c>
      <c r="U59" s="47"/>
      <c r="V59" s="58" t="s">
        <v>3</v>
      </c>
      <c r="W59" s="64">
        <f>'58C SFY 17-18 Persons Count'!AO55</f>
        <v>4.0000000000000002E-4</v>
      </c>
      <c r="X59" s="809">
        <f t="shared" si="38"/>
        <v>50</v>
      </c>
      <c r="Y59" s="397">
        <f>ROUNDUP(Y$6*$W59,0)</f>
        <v>45</v>
      </c>
      <c r="Z59" s="809">
        <f t="shared" si="32"/>
        <v>0</v>
      </c>
      <c r="AA59" s="809">
        <f t="shared" si="38"/>
        <v>46</v>
      </c>
      <c r="AB59" s="809">
        <f t="shared" si="38"/>
        <v>5</v>
      </c>
      <c r="AC59" s="809">
        <f t="shared" si="38"/>
        <v>0</v>
      </c>
      <c r="AD59" s="809">
        <f t="shared" si="38"/>
        <v>0</v>
      </c>
      <c r="AE59" s="809">
        <f t="shared" si="38"/>
        <v>0</v>
      </c>
      <c r="AF59" s="397">
        <f>ROUNDDOWN(AF$6*$W59,0)</f>
        <v>154</v>
      </c>
      <c r="AG59" s="279">
        <f t="shared" si="5"/>
        <v>300</v>
      </c>
      <c r="AH59" s="47"/>
      <c r="AI59" s="51"/>
      <c r="AJ59" s="292" t="s">
        <v>3</v>
      </c>
      <c r="AK59" s="291"/>
      <c r="AL59" s="288"/>
      <c r="AM59" s="288"/>
      <c r="AN59" s="288"/>
      <c r="AO59" s="288"/>
      <c r="AP59" s="14"/>
      <c r="AQ59" s="292" t="s">
        <v>3</v>
      </c>
      <c r="AR59" s="884"/>
      <c r="AS59" s="292"/>
      <c r="AT59" s="292"/>
      <c r="AU59" s="292"/>
      <c r="AV59" s="288"/>
      <c r="AW59" s="14"/>
      <c r="AX59" s="292" t="s">
        <v>3</v>
      </c>
      <c r="AY59" s="291"/>
      <c r="AZ59" s="288"/>
      <c r="BA59" s="288"/>
      <c r="BB59" s="288"/>
      <c r="BC59" s="50"/>
      <c r="BD59" s="14"/>
      <c r="BE59" s="292" t="s">
        <v>3</v>
      </c>
      <c r="BF59" s="291"/>
      <c r="BG59" s="288"/>
      <c r="BH59" s="47"/>
      <c r="BI59" s="285">
        <f t="shared" si="6"/>
        <v>50</v>
      </c>
      <c r="BJ59" s="285">
        <f t="shared" si="7"/>
        <v>1436</v>
      </c>
      <c r="BK59" s="285">
        <f t="shared" si="8"/>
        <v>0</v>
      </c>
      <c r="BL59" s="285">
        <f t="shared" si="9"/>
        <v>46</v>
      </c>
      <c r="BM59" s="285">
        <f t="shared" si="10"/>
        <v>31</v>
      </c>
      <c r="BN59" s="285">
        <f t="shared" si="11"/>
        <v>0</v>
      </c>
      <c r="BO59" s="285">
        <f t="shared" si="12"/>
        <v>0</v>
      </c>
      <c r="BP59" s="285">
        <f t="shared" si="13"/>
        <v>0</v>
      </c>
      <c r="BQ59" s="285">
        <f t="shared" si="14"/>
        <v>197</v>
      </c>
      <c r="BR59" s="66">
        <f t="shared" si="15"/>
        <v>1760</v>
      </c>
      <c r="BS59" s="14">
        <f t="shared" si="16"/>
        <v>0</v>
      </c>
      <c r="BT59" s="9"/>
    </row>
    <row r="60" spans="1:72">
      <c r="A60" s="300" t="s">
        <v>156</v>
      </c>
      <c r="B60" s="291"/>
      <c r="C60" s="288"/>
      <c r="D60" s="288"/>
      <c r="E60" s="293"/>
      <c r="F60" s="288"/>
      <c r="G60" s="294"/>
      <c r="H60" s="193"/>
      <c r="I60" s="14"/>
      <c r="J60" s="300" t="s">
        <v>156</v>
      </c>
      <c r="K60" s="291"/>
      <c r="L60" s="288"/>
      <c r="M60" s="288"/>
      <c r="N60" s="288"/>
      <c r="O60" s="288"/>
      <c r="P60" s="14"/>
      <c r="Q60" s="14"/>
      <c r="R60" s="299" t="s">
        <v>156</v>
      </c>
      <c r="S60" s="287"/>
      <c r="T60" s="290"/>
      <c r="U60" s="47"/>
      <c r="V60" s="58" t="s">
        <v>156</v>
      </c>
      <c r="W60" s="64">
        <f>'58C SFY 17-18 Persons Count'!AO56</f>
        <v>2.1899999999999999E-2</v>
      </c>
      <c r="X60" s="809">
        <f t="shared" si="38"/>
        <v>2719</v>
      </c>
      <c r="Y60" s="60">
        <f t="shared" si="32"/>
        <v>2427</v>
      </c>
      <c r="Z60" s="809">
        <f t="shared" si="32"/>
        <v>22</v>
      </c>
      <c r="AA60" s="809">
        <f t="shared" si="38"/>
        <v>2538</v>
      </c>
      <c r="AB60" s="809">
        <f t="shared" si="38"/>
        <v>298</v>
      </c>
      <c r="AC60" s="809">
        <f t="shared" si="38"/>
        <v>1</v>
      </c>
      <c r="AD60" s="397">
        <f>ROUNDUP(AD$6*$W60,0)</f>
        <v>8</v>
      </c>
      <c r="AE60" s="809">
        <f t="shared" si="38"/>
        <v>11</v>
      </c>
      <c r="AF60" s="809">
        <f>ROUND(AF$6*$W60,0)</f>
        <v>8434</v>
      </c>
      <c r="AG60" s="279">
        <f t="shared" si="5"/>
        <v>16458</v>
      </c>
      <c r="AH60" s="47"/>
      <c r="AI60" s="51"/>
      <c r="AJ60" s="274" t="s">
        <v>156</v>
      </c>
      <c r="AK60" s="61">
        <v>5.3699999999999998E-2</v>
      </c>
      <c r="AL60" s="65">
        <f>ROUND(AL$6*AK60,0)</f>
        <v>30788</v>
      </c>
      <c r="AM60" s="65">
        <f>ROUND(AM$6*AK60,0)</f>
        <v>472</v>
      </c>
      <c r="AN60" s="65">
        <f>ROUND(AN$6*AK60,0)</f>
        <v>4806</v>
      </c>
      <c r="AO60" s="50">
        <f>SUM(AL60:AN60)</f>
        <v>36066</v>
      </c>
      <c r="AP60" s="14"/>
      <c r="AQ60" s="274" t="s">
        <v>156</v>
      </c>
      <c r="AR60" s="913">
        <f>SUMIF('4th Q CalWIN M&amp;O (County)'!$A$4:$A$82,'4th Q Co Share Calculations'!AQ60,'4th Q CalWIN M&amp;O (County)'!$J$4:$J$82)</f>
        <v>2621</v>
      </c>
      <c r="AS60" s="65">
        <f>ROUND($AR60*AS$5,0)</f>
        <v>2237</v>
      </c>
      <c r="AT60" s="65">
        <f>ROUND($AR60*AT$5,0)</f>
        <v>34</v>
      </c>
      <c r="AU60" s="915">
        <f>ROUND($AR60*AU$5,0)-1</f>
        <v>348</v>
      </c>
      <c r="AV60" s="50">
        <f>SUM(AS60:AU60)</f>
        <v>2619</v>
      </c>
      <c r="AW60" s="14"/>
      <c r="AX60" s="274" t="s">
        <v>156</v>
      </c>
      <c r="AY60" s="61">
        <v>5.3699999999999998E-2</v>
      </c>
      <c r="AZ60" s="65">
        <f>ROUND(AZ$6*AY60,0)</f>
        <v>1346</v>
      </c>
      <c r="BA60" s="65">
        <f>ROUND(BA$6*AY60,0)</f>
        <v>21</v>
      </c>
      <c r="BB60" s="65">
        <f>ROUND(BB$6*AY60,0)</f>
        <v>210</v>
      </c>
      <c r="BC60" s="50">
        <f>SUM(AZ60:BB60)</f>
        <v>1577</v>
      </c>
      <c r="BD60" s="14"/>
      <c r="BE60" s="274" t="s">
        <v>156</v>
      </c>
      <c r="BF60" s="61">
        <v>7.2999999999999995E-2</v>
      </c>
      <c r="BG60" s="65">
        <f>ROUND(BF60*BG$6,0)</f>
        <v>2861</v>
      </c>
      <c r="BH60" s="47"/>
      <c r="BI60" s="285">
        <f t="shared" si="6"/>
        <v>2719</v>
      </c>
      <c r="BJ60" s="285">
        <f t="shared" si="7"/>
        <v>39659</v>
      </c>
      <c r="BK60" s="285">
        <f t="shared" si="8"/>
        <v>22</v>
      </c>
      <c r="BL60" s="285">
        <f t="shared" si="9"/>
        <v>2538</v>
      </c>
      <c r="BM60" s="285">
        <f t="shared" si="10"/>
        <v>825</v>
      </c>
      <c r="BN60" s="285">
        <f t="shared" si="11"/>
        <v>1</v>
      </c>
      <c r="BO60" s="285">
        <f t="shared" si="12"/>
        <v>8</v>
      </c>
      <c r="BP60" s="285">
        <f t="shared" si="13"/>
        <v>11</v>
      </c>
      <c r="BQ60" s="285">
        <f t="shared" si="14"/>
        <v>13798</v>
      </c>
      <c r="BR60" s="66">
        <f t="shared" si="15"/>
        <v>59581</v>
      </c>
      <c r="BS60" s="14">
        <f t="shared" si="16"/>
        <v>0</v>
      </c>
      <c r="BT60" s="9"/>
    </row>
    <row r="61" spans="1:72">
      <c r="A61" s="261" t="s">
        <v>2</v>
      </c>
      <c r="B61" s="61">
        <f>'58C SFY 17-18 Persons Count'!AC57</f>
        <v>3.3999999999999998E-3</v>
      </c>
      <c r="C61" s="21">
        <f t="shared" si="24"/>
        <v>3589</v>
      </c>
      <c r="D61" s="21">
        <f t="shared" si="25"/>
        <v>73</v>
      </c>
      <c r="E61" s="63">
        <f>'58C SFY 17-18 Persons Count'!AE57</f>
        <v>8.0000000000000004E-4</v>
      </c>
      <c r="F61" s="21">
        <f>ROUND(F$6*$E61,0)</f>
        <v>22</v>
      </c>
      <c r="G61" s="62">
        <f>SUM(C61:D61,F61)</f>
        <v>3684</v>
      </c>
      <c r="H61" s="193"/>
      <c r="I61" s="14"/>
      <c r="J61" s="292" t="s">
        <v>2</v>
      </c>
      <c r="K61" s="291"/>
      <c r="L61" s="288"/>
      <c r="M61" s="288"/>
      <c r="N61" s="288"/>
      <c r="O61" s="288"/>
      <c r="P61" s="14"/>
      <c r="Q61" s="14"/>
      <c r="R61" s="58" t="s">
        <v>2</v>
      </c>
      <c r="S61" s="64">
        <f>'58C SFY 17-18 Persons Count'!AL57</f>
        <v>2E-3</v>
      </c>
      <c r="T61" s="60">
        <f>ROUND(T$6*$S61,0)</f>
        <v>353</v>
      </c>
      <c r="U61" s="47"/>
      <c r="V61" s="58" t="s">
        <v>2</v>
      </c>
      <c r="W61" s="64">
        <f>'58C SFY 17-18 Persons Count'!AO57</f>
        <v>1E-3</v>
      </c>
      <c r="X61" s="60">
        <f t="shared" si="38"/>
        <v>124</v>
      </c>
      <c r="Y61" s="60">
        <f t="shared" si="38"/>
        <v>111</v>
      </c>
      <c r="Z61" s="809">
        <f t="shared" si="38"/>
        <v>1</v>
      </c>
      <c r="AA61" s="60">
        <f t="shared" si="38"/>
        <v>116</v>
      </c>
      <c r="AB61" s="60">
        <f t="shared" si="38"/>
        <v>14</v>
      </c>
      <c r="AC61" s="60">
        <f t="shared" si="38"/>
        <v>0</v>
      </c>
      <c r="AD61" s="60">
        <f t="shared" si="38"/>
        <v>0</v>
      </c>
      <c r="AE61" s="60">
        <f t="shared" si="38"/>
        <v>0</v>
      </c>
      <c r="AF61" s="60">
        <f t="shared" si="17"/>
        <v>385</v>
      </c>
      <c r="AG61" s="279">
        <f t="shared" si="5"/>
        <v>751</v>
      </c>
      <c r="AH61" s="47"/>
      <c r="AI61" s="51"/>
      <c r="AJ61" s="292" t="s">
        <v>2</v>
      </c>
      <c r="AK61" s="291"/>
      <c r="AL61" s="288"/>
      <c r="AM61" s="288"/>
      <c r="AN61" s="288"/>
      <c r="AO61" s="288"/>
      <c r="AP61" s="14"/>
      <c r="AQ61" s="292" t="s">
        <v>2</v>
      </c>
      <c r="AR61" s="884"/>
      <c r="AS61" s="292"/>
      <c r="AT61" s="292"/>
      <c r="AU61" s="292"/>
      <c r="AV61" s="288"/>
      <c r="AW61" s="14"/>
      <c r="AX61" s="292" t="s">
        <v>2</v>
      </c>
      <c r="AY61" s="291"/>
      <c r="AZ61" s="288"/>
      <c r="BA61" s="288"/>
      <c r="BB61" s="288"/>
      <c r="BC61" s="288"/>
      <c r="BD61" s="14"/>
      <c r="BE61" s="292" t="s">
        <v>2</v>
      </c>
      <c r="BF61" s="291"/>
      <c r="BG61" s="288"/>
      <c r="BH61" s="47"/>
      <c r="BI61" s="285">
        <f t="shared" si="6"/>
        <v>124</v>
      </c>
      <c r="BJ61" s="285">
        <f t="shared" si="7"/>
        <v>4053</v>
      </c>
      <c r="BK61" s="285">
        <f t="shared" si="8"/>
        <v>1</v>
      </c>
      <c r="BL61" s="285">
        <f t="shared" si="9"/>
        <v>116</v>
      </c>
      <c r="BM61" s="285">
        <f t="shared" si="10"/>
        <v>87</v>
      </c>
      <c r="BN61" s="285">
        <f t="shared" si="11"/>
        <v>0</v>
      </c>
      <c r="BO61" s="285">
        <f t="shared" si="12"/>
        <v>0</v>
      </c>
      <c r="BP61" s="285">
        <f t="shared" si="13"/>
        <v>0</v>
      </c>
      <c r="BQ61" s="285">
        <f t="shared" si="14"/>
        <v>407</v>
      </c>
      <c r="BR61" s="66">
        <f t="shared" si="15"/>
        <v>4788</v>
      </c>
      <c r="BS61" s="14">
        <f t="shared" si="16"/>
        <v>0</v>
      </c>
      <c r="BT61" s="9"/>
    </row>
    <row r="62" spans="1:72">
      <c r="A62" s="300" t="s">
        <v>155</v>
      </c>
      <c r="B62" s="291"/>
      <c r="C62" s="288"/>
      <c r="D62" s="288"/>
      <c r="E62" s="293"/>
      <c r="F62" s="288"/>
      <c r="G62" s="294"/>
      <c r="H62" s="193"/>
      <c r="I62" s="14"/>
      <c r="J62" s="300" t="s">
        <v>155</v>
      </c>
      <c r="K62" s="291"/>
      <c r="L62" s="288"/>
      <c r="M62" s="288"/>
      <c r="N62" s="288"/>
      <c r="O62" s="288"/>
      <c r="P62" s="14"/>
      <c r="Q62" s="14"/>
      <c r="R62" s="299" t="s">
        <v>155</v>
      </c>
      <c r="S62" s="287"/>
      <c r="T62" s="290"/>
      <c r="U62" s="47"/>
      <c r="V62" s="58" t="s">
        <v>155</v>
      </c>
      <c r="W62" s="64">
        <f>'58C SFY 17-18 Persons Count'!AO58</f>
        <v>1.78E-2</v>
      </c>
      <c r="X62" s="280">
        <f t="shared" si="38"/>
        <v>2210</v>
      </c>
      <c r="Y62" s="809">
        <f>ROUND(Y$6*$W62,0)</f>
        <v>1973</v>
      </c>
      <c r="Z62" s="809">
        <f t="shared" si="38"/>
        <v>18</v>
      </c>
      <c r="AA62" s="280">
        <f t="shared" si="38"/>
        <v>2063</v>
      </c>
      <c r="AB62" s="280">
        <f t="shared" si="38"/>
        <v>242</v>
      </c>
      <c r="AC62" s="280">
        <f t="shared" si="38"/>
        <v>1</v>
      </c>
      <c r="AD62" s="280">
        <f t="shared" si="38"/>
        <v>6</v>
      </c>
      <c r="AE62" s="280">
        <f t="shared" si="38"/>
        <v>9</v>
      </c>
      <c r="AF62" s="397">
        <f>ROUNDDOWN(AF$6*$W62,0)</f>
        <v>6854</v>
      </c>
      <c r="AG62" s="279">
        <f t="shared" si="5"/>
        <v>13376</v>
      </c>
      <c r="AH62" s="47"/>
      <c r="AI62" s="51"/>
      <c r="AJ62" s="274" t="s">
        <v>155</v>
      </c>
      <c r="AK62" s="61">
        <v>4.1300000000000003E-2</v>
      </c>
      <c r="AL62" s="65">
        <f>ROUND(AL$6*AK62,0)</f>
        <v>23679</v>
      </c>
      <c r="AM62" s="65">
        <f>ROUND(AM$6*AK62,0)</f>
        <v>363</v>
      </c>
      <c r="AN62" s="65">
        <f>ROUND(AN$6*AK62,0)</f>
        <v>3696</v>
      </c>
      <c r="AO62" s="50">
        <f>SUM(AL62:AN62)</f>
        <v>27738</v>
      </c>
      <c r="AP62" s="566"/>
      <c r="AQ62" s="274" t="s">
        <v>155</v>
      </c>
      <c r="AR62" s="914">
        <f>SUMIF('4th Q CalWIN M&amp;O (County)'!$A$4:$A$82,'4th Q Co Share Calculations'!AQ62,'4th Q CalWIN M&amp;O (County)'!$J$4:$J$82)+1</f>
        <v>14662</v>
      </c>
      <c r="AS62" s="915">
        <f>ROUND($AR62*AS$5,0)+1</f>
        <v>12517</v>
      </c>
      <c r="AT62" s="65">
        <f t="shared" ref="AS62:AU63" si="39">ROUND($AR62*AT$5,0)</f>
        <v>192</v>
      </c>
      <c r="AU62" s="65">
        <f t="shared" si="39"/>
        <v>1954</v>
      </c>
      <c r="AV62" s="50">
        <f>SUM(AS62:AU62)</f>
        <v>14663</v>
      </c>
      <c r="AW62" s="14"/>
      <c r="AX62" s="274" t="s">
        <v>155</v>
      </c>
      <c r="AY62" s="61">
        <v>4.1300000000000003E-2</v>
      </c>
      <c r="AZ62" s="65">
        <f>ROUND(AZ$6*AY62,0)</f>
        <v>1035</v>
      </c>
      <c r="BA62" s="65">
        <f>ROUND(BA$6*AY62,0)</f>
        <v>16</v>
      </c>
      <c r="BB62" s="65">
        <f>ROUND(BB$6*AY62,0)</f>
        <v>162</v>
      </c>
      <c r="BC62" s="50">
        <f>SUM(AZ62:BB62)</f>
        <v>1213</v>
      </c>
      <c r="BD62" s="14"/>
      <c r="BE62" s="274" t="s">
        <v>155</v>
      </c>
      <c r="BF62" s="61">
        <v>4.2299999999999997E-2</v>
      </c>
      <c r="BG62" s="65">
        <f>ROUNDDOWN(BF62*BG$6,0)</f>
        <v>1657</v>
      </c>
      <c r="BH62" s="47"/>
      <c r="BI62" s="285">
        <f t="shared" si="6"/>
        <v>2210</v>
      </c>
      <c r="BJ62" s="285">
        <f t="shared" si="7"/>
        <v>40861</v>
      </c>
      <c r="BK62" s="285">
        <f t="shared" si="8"/>
        <v>18</v>
      </c>
      <c r="BL62" s="285">
        <f t="shared" si="9"/>
        <v>2063</v>
      </c>
      <c r="BM62" s="285">
        <f t="shared" si="10"/>
        <v>813</v>
      </c>
      <c r="BN62" s="285">
        <f t="shared" si="11"/>
        <v>1</v>
      </c>
      <c r="BO62" s="285">
        <f t="shared" si="12"/>
        <v>6</v>
      </c>
      <c r="BP62" s="285">
        <f t="shared" si="13"/>
        <v>9</v>
      </c>
      <c r="BQ62" s="285">
        <f t="shared" si="14"/>
        <v>12666</v>
      </c>
      <c r="BR62" s="66">
        <f t="shared" si="15"/>
        <v>58647</v>
      </c>
      <c r="BS62" s="14">
        <f t="shared" si="16"/>
        <v>0</v>
      </c>
      <c r="BT62" s="9"/>
    </row>
    <row r="63" spans="1:72">
      <c r="A63" s="300" t="s">
        <v>154</v>
      </c>
      <c r="B63" s="291"/>
      <c r="C63" s="288"/>
      <c r="D63" s="288"/>
      <c r="E63" s="293"/>
      <c r="F63" s="288"/>
      <c r="G63" s="294"/>
      <c r="H63" s="193"/>
      <c r="I63" s="14"/>
      <c r="J63" s="300" t="s">
        <v>154</v>
      </c>
      <c r="K63" s="291"/>
      <c r="L63" s="288"/>
      <c r="M63" s="288"/>
      <c r="N63" s="288"/>
      <c r="O63" s="288"/>
      <c r="P63" s="14"/>
      <c r="Q63" s="14"/>
      <c r="R63" s="299" t="s">
        <v>154</v>
      </c>
      <c r="S63" s="287"/>
      <c r="T63" s="290"/>
      <c r="U63" s="47"/>
      <c r="V63" s="58" t="s">
        <v>154</v>
      </c>
      <c r="W63" s="64">
        <f>'58C SFY 17-18 Persons Count'!AO59</f>
        <v>4.4999999999999997E-3</v>
      </c>
      <c r="X63" s="60">
        <f t="shared" si="38"/>
        <v>559</v>
      </c>
      <c r="Y63" s="60">
        <f t="shared" si="38"/>
        <v>499</v>
      </c>
      <c r="Z63" s="809">
        <f t="shared" si="38"/>
        <v>4</v>
      </c>
      <c r="AA63" s="60">
        <f t="shared" si="38"/>
        <v>522</v>
      </c>
      <c r="AB63" s="60">
        <f t="shared" si="38"/>
        <v>61</v>
      </c>
      <c r="AC63" s="60">
        <f t="shared" si="38"/>
        <v>0</v>
      </c>
      <c r="AD63" s="60">
        <f t="shared" si="38"/>
        <v>1</v>
      </c>
      <c r="AE63" s="397">
        <f>ROUNDUP(AE$6*$W63,0)</f>
        <v>3</v>
      </c>
      <c r="AF63" s="60">
        <f t="shared" si="17"/>
        <v>1733</v>
      </c>
      <c r="AG63" s="279">
        <f t="shared" si="5"/>
        <v>3382</v>
      </c>
      <c r="AH63" s="47"/>
      <c r="AI63" s="51"/>
      <c r="AJ63" s="274" t="s">
        <v>154</v>
      </c>
      <c r="AK63" s="61">
        <v>1.18E-2</v>
      </c>
      <c r="AL63" s="65">
        <f>ROUND(AL$6*AK63,0)</f>
        <v>6765</v>
      </c>
      <c r="AM63" s="65">
        <f>ROUND(AM$6*AK63,0)</f>
        <v>104</v>
      </c>
      <c r="AN63" s="65">
        <f>ROUND(AN$6*AK63,0)</f>
        <v>1056</v>
      </c>
      <c r="AO63" s="50">
        <f>SUM(AL63:AN63)</f>
        <v>7925</v>
      </c>
      <c r="AP63" s="566"/>
      <c r="AQ63" s="274" t="s">
        <v>154</v>
      </c>
      <c r="AR63" s="913">
        <f>SUMIF('4th Q CalWIN M&amp;O (County)'!$A$4:$A$82,'4th Q Co Share Calculations'!AQ63,'4th Q CalWIN M&amp;O (County)'!$J$4:$J$82)</f>
        <v>5956</v>
      </c>
      <c r="AS63" s="65">
        <f t="shared" si="39"/>
        <v>5084</v>
      </c>
      <c r="AT63" s="65">
        <f t="shared" si="39"/>
        <v>78</v>
      </c>
      <c r="AU63" s="65">
        <f t="shared" si="39"/>
        <v>794</v>
      </c>
      <c r="AV63" s="50">
        <f>SUM(AS63:AU63)</f>
        <v>5956</v>
      </c>
      <c r="AW63" s="14"/>
      <c r="AX63" s="274" t="s">
        <v>154</v>
      </c>
      <c r="AY63" s="61">
        <v>1.18E-2</v>
      </c>
      <c r="AZ63" s="65">
        <f>ROUND(AZ$6*AY63,0)</f>
        <v>296</v>
      </c>
      <c r="BA63" s="65">
        <f>ROUND(BA$6*AY63,0)</f>
        <v>5</v>
      </c>
      <c r="BB63" s="65">
        <f>ROUND(BB$6*AY63,0)</f>
        <v>46</v>
      </c>
      <c r="BC63" s="50">
        <f>SUM(AZ63:BB63)</f>
        <v>347</v>
      </c>
      <c r="BD63" s="14"/>
      <c r="BE63" s="274" t="s">
        <v>154</v>
      </c>
      <c r="BF63" s="61">
        <v>1.14E-2</v>
      </c>
      <c r="BG63" s="65">
        <f>ROUND(BF63*BG$6,0)</f>
        <v>447</v>
      </c>
      <c r="BH63" s="47"/>
      <c r="BI63" s="285">
        <f t="shared" si="6"/>
        <v>559</v>
      </c>
      <c r="BJ63" s="285">
        <f t="shared" si="7"/>
        <v>13091</v>
      </c>
      <c r="BK63" s="285">
        <f t="shared" si="8"/>
        <v>4</v>
      </c>
      <c r="BL63" s="285">
        <f t="shared" si="9"/>
        <v>522</v>
      </c>
      <c r="BM63" s="285">
        <f t="shared" si="10"/>
        <v>248</v>
      </c>
      <c r="BN63" s="285">
        <f t="shared" si="11"/>
        <v>0</v>
      </c>
      <c r="BO63" s="285">
        <f t="shared" si="12"/>
        <v>1</v>
      </c>
      <c r="BP63" s="285">
        <f t="shared" si="13"/>
        <v>3</v>
      </c>
      <c r="BQ63" s="285">
        <f t="shared" si="14"/>
        <v>3629</v>
      </c>
      <c r="BR63" s="66">
        <f t="shared" si="15"/>
        <v>18057</v>
      </c>
      <c r="BS63" s="14">
        <f t="shared" si="16"/>
        <v>0</v>
      </c>
      <c r="BT63" s="9"/>
    </row>
    <row r="64" spans="1:72">
      <c r="A64" s="21" t="s">
        <v>1</v>
      </c>
      <c r="B64" s="61">
        <f>'58C SFY 17-18 Persons Count'!AC60</f>
        <v>8.3999999999999995E-3</v>
      </c>
      <c r="C64" s="19">
        <f t="shared" si="24"/>
        <v>8866</v>
      </c>
      <c r="D64" s="261">
        <f>ROUNDDOWN(D$6*$B64,0)</f>
        <v>180</v>
      </c>
      <c r="E64" s="63">
        <f>'58C SFY 17-18 Persons Count'!AE60</f>
        <v>4.3E-3</v>
      </c>
      <c r="F64" s="19">
        <f>ROUND(F$6*$E64,0)</f>
        <v>117</v>
      </c>
      <c r="G64" s="294">
        <f>SUM(C64:D64,F64)</f>
        <v>9163</v>
      </c>
      <c r="H64" s="193"/>
      <c r="I64" s="14"/>
      <c r="J64" s="292" t="s">
        <v>1</v>
      </c>
      <c r="K64" s="291"/>
      <c r="L64" s="288"/>
      <c r="M64" s="288"/>
      <c r="N64" s="288"/>
      <c r="O64" s="288"/>
      <c r="P64" s="14"/>
      <c r="Q64" s="14"/>
      <c r="R64" s="58" t="s">
        <v>1</v>
      </c>
      <c r="S64" s="64">
        <f>'58C SFY 17-18 Persons Count'!AL60</f>
        <v>5.3E-3</v>
      </c>
      <c r="T64" s="397">
        <f>ROUNDDOWN(T$6*$S64,0)</f>
        <v>935</v>
      </c>
      <c r="U64" s="47"/>
      <c r="V64" s="58" t="s">
        <v>1</v>
      </c>
      <c r="W64" s="64">
        <f>'58C SFY 17-18 Persons Count'!AO60</f>
        <v>2.5999999999999999E-3</v>
      </c>
      <c r="X64" s="60">
        <f t="shared" si="38"/>
        <v>323</v>
      </c>
      <c r="Y64" s="60">
        <f t="shared" si="38"/>
        <v>288</v>
      </c>
      <c r="Z64" s="809">
        <f t="shared" si="38"/>
        <v>3</v>
      </c>
      <c r="AA64" s="60">
        <f t="shared" si="38"/>
        <v>301</v>
      </c>
      <c r="AB64" s="60">
        <f t="shared" si="38"/>
        <v>35</v>
      </c>
      <c r="AC64" s="60">
        <f t="shared" si="38"/>
        <v>0</v>
      </c>
      <c r="AD64" s="60">
        <f t="shared" si="38"/>
        <v>1</v>
      </c>
      <c r="AE64" s="60">
        <f t="shared" si="38"/>
        <v>1</v>
      </c>
      <c r="AF64" s="809">
        <f>ROUND(AF$6*$W64,0)</f>
        <v>1001</v>
      </c>
      <c r="AG64" s="279">
        <f t="shared" si="5"/>
        <v>1953</v>
      </c>
      <c r="AH64" s="47"/>
      <c r="AI64" s="51"/>
      <c r="AJ64" s="292" t="s">
        <v>1</v>
      </c>
      <c r="AK64" s="291"/>
      <c r="AL64" s="288"/>
      <c r="AM64" s="288"/>
      <c r="AN64" s="288"/>
      <c r="AO64" s="288"/>
      <c r="AP64" s="14"/>
      <c r="AQ64" s="292" t="s">
        <v>1</v>
      </c>
      <c r="AR64" s="884"/>
      <c r="AS64" s="288"/>
      <c r="AT64" s="288"/>
      <c r="AU64" s="288"/>
      <c r="AV64" s="288"/>
      <c r="AW64" s="14"/>
      <c r="AX64" s="292" t="s">
        <v>1</v>
      </c>
      <c r="AY64" s="291"/>
      <c r="AZ64" s="288"/>
      <c r="BA64" s="288"/>
      <c r="BB64" s="288"/>
      <c r="BC64" s="288"/>
      <c r="BD64" s="14"/>
      <c r="BE64" s="292" t="s">
        <v>1</v>
      </c>
      <c r="BF64" s="291"/>
      <c r="BG64" s="288"/>
      <c r="BH64" s="47"/>
      <c r="BI64" s="285">
        <f t="shared" si="6"/>
        <v>323</v>
      </c>
      <c r="BJ64" s="285">
        <f t="shared" si="7"/>
        <v>10089</v>
      </c>
      <c r="BK64" s="285">
        <f t="shared" si="8"/>
        <v>3</v>
      </c>
      <c r="BL64" s="285">
        <f t="shared" si="9"/>
        <v>301</v>
      </c>
      <c r="BM64" s="285">
        <f t="shared" si="10"/>
        <v>215</v>
      </c>
      <c r="BN64" s="285">
        <f t="shared" si="11"/>
        <v>0</v>
      </c>
      <c r="BO64" s="285">
        <f t="shared" si="12"/>
        <v>1</v>
      </c>
      <c r="BP64" s="285">
        <f t="shared" si="13"/>
        <v>1</v>
      </c>
      <c r="BQ64" s="285">
        <f t="shared" si="14"/>
        <v>1118</v>
      </c>
      <c r="BR64" s="66">
        <f t="shared" si="15"/>
        <v>12051</v>
      </c>
      <c r="BS64" s="14">
        <f t="shared" si="16"/>
        <v>0</v>
      </c>
      <c r="BT64" s="9"/>
    </row>
    <row r="65" spans="1:74">
      <c r="A65" s="53" t="s">
        <v>0</v>
      </c>
      <c r="B65" s="57">
        <f t="shared" ref="B65:G65" si="40">SUM(B8:B64)</f>
        <v>1.0000000000000002</v>
      </c>
      <c r="C65" s="50">
        <f t="shared" si="40"/>
        <v>1055458</v>
      </c>
      <c r="D65" s="50">
        <f t="shared" si="40"/>
        <v>21494</v>
      </c>
      <c r="E65" s="54">
        <f t="shared" si="40"/>
        <v>1</v>
      </c>
      <c r="F65" s="50">
        <f t="shared" si="40"/>
        <v>27177</v>
      </c>
      <c r="G65" s="50">
        <f t="shared" si="40"/>
        <v>1104129</v>
      </c>
      <c r="H65" s="259"/>
      <c r="I65" s="14"/>
      <c r="J65" s="50" t="s">
        <v>0</v>
      </c>
      <c r="K65" s="57">
        <v>0.99999999999999989</v>
      </c>
      <c r="L65" s="50">
        <f ca="1">SUM(L8:L64)</f>
        <v>710129</v>
      </c>
      <c r="M65" s="50">
        <f ca="1">SUM(M8:M64)</f>
        <v>13234</v>
      </c>
      <c r="N65" s="50">
        <f ca="1">SUM(N8:N64)</f>
        <v>389002</v>
      </c>
      <c r="O65" s="50">
        <f ca="1">SUM(O8:O64)</f>
        <v>1112365</v>
      </c>
      <c r="P65" s="14"/>
      <c r="Q65" s="14"/>
      <c r="R65" s="56" t="s">
        <v>0</v>
      </c>
      <c r="S65" s="55">
        <f>SUM(S7:S64)</f>
        <v>1</v>
      </c>
      <c r="T65" s="52">
        <f>SUM(T7:T64)</f>
        <v>176540</v>
      </c>
      <c r="U65" s="47"/>
      <c r="V65" s="16" t="s">
        <v>0</v>
      </c>
      <c r="W65" s="282">
        <f>SUM(W7:W64)</f>
        <v>0.99999999999999978</v>
      </c>
      <c r="X65" s="62">
        <f t="shared" ref="X65:AE65" si="41">SUM(X7:X64)</f>
        <v>124147</v>
      </c>
      <c r="Y65" s="62">
        <f t="shared" si="41"/>
        <v>110816</v>
      </c>
      <c r="Z65" s="62">
        <f t="shared" si="41"/>
        <v>997</v>
      </c>
      <c r="AA65" s="62">
        <f t="shared" si="41"/>
        <v>115912</v>
      </c>
      <c r="AB65" s="62">
        <f t="shared" si="41"/>
        <v>13589</v>
      </c>
      <c r="AC65" s="62">
        <f t="shared" si="41"/>
        <v>37</v>
      </c>
      <c r="AD65" s="62">
        <f t="shared" si="41"/>
        <v>332</v>
      </c>
      <c r="AE65" s="62">
        <f t="shared" si="41"/>
        <v>480</v>
      </c>
      <c r="AF65" s="62">
        <f>SUM(AF7:AF64)</f>
        <v>385102</v>
      </c>
      <c r="AG65" s="62">
        <f>SUM(AG7:AG64)</f>
        <v>751412</v>
      </c>
      <c r="AH65" s="47"/>
      <c r="AI65" s="51"/>
      <c r="AJ65" s="50" t="s">
        <v>0</v>
      </c>
      <c r="AK65" s="282">
        <v>0.99999999999999989</v>
      </c>
      <c r="AL65" s="50">
        <f>SUM(AL7:AL64)</f>
        <v>573332</v>
      </c>
      <c r="AM65" s="50">
        <f>SUM(AM7:AM64)</f>
        <v>8796</v>
      </c>
      <c r="AN65" s="50">
        <f>SUM(AN7:AN64)</f>
        <v>89499</v>
      </c>
      <c r="AO65" s="50">
        <f>SUM(AO7:AO64)</f>
        <v>671627</v>
      </c>
      <c r="AP65" s="14"/>
      <c r="AQ65" s="50" t="s">
        <v>0</v>
      </c>
      <c r="AR65" s="50">
        <f>SUM(AR7:AR64)</f>
        <v>352508</v>
      </c>
      <c r="AS65" s="50">
        <f>SUM(AS7:AS64)</f>
        <v>300918</v>
      </c>
      <c r="AT65" s="50">
        <f>SUM(AT7:AT64)</f>
        <v>4616</v>
      </c>
      <c r="AU65" s="50">
        <f>SUM(AU7:AU64)</f>
        <v>46974</v>
      </c>
      <c r="AV65" s="50">
        <f>SUM(AV7:AV64)</f>
        <v>352508</v>
      </c>
      <c r="AW65" s="566"/>
      <c r="AX65" s="50" t="s">
        <v>0</v>
      </c>
      <c r="AY65" s="282">
        <v>0.99999999999999989</v>
      </c>
      <c r="AZ65" s="50">
        <f>SUM(AZ7:AZ64)</f>
        <v>25063</v>
      </c>
      <c r="BA65" s="50">
        <f t="shared" ref="BA65:BC65" si="42">SUM(BA7:BA64)</f>
        <v>385</v>
      </c>
      <c r="BB65" s="50">
        <f t="shared" si="42"/>
        <v>3912</v>
      </c>
      <c r="BC65" s="50">
        <f t="shared" si="42"/>
        <v>29360</v>
      </c>
      <c r="BD65" s="14"/>
      <c r="BE65" s="50" t="s">
        <v>0</v>
      </c>
      <c r="BF65" s="282">
        <v>0.99999999999999989</v>
      </c>
      <c r="BG65" s="50">
        <f>SUM(BG7:BG64)</f>
        <v>39192</v>
      </c>
      <c r="BH65" s="47"/>
      <c r="BI65" s="715">
        <f>SUM(BI7:BI64)</f>
        <v>124147</v>
      </c>
      <c r="BJ65" s="715">
        <f ca="1">SUM(BJ7:BJ64)</f>
        <v>2991448</v>
      </c>
      <c r="BK65" s="715">
        <f t="shared" ref="BK65:BR65" si="43">SUM(BK7:BK64)</f>
        <v>997</v>
      </c>
      <c r="BL65" s="715">
        <f t="shared" si="43"/>
        <v>115912</v>
      </c>
      <c r="BM65" s="715">
        <f t="shared" ca="1" si="43"/>
        <v>62114</v>
      </c>
      <c r="BN65" s="715">
        <f t="shared" si="43"/>
        <v>37</v>
      </c>
      <c r="BO65" s="715">
        <f t="shared" si="43"/>
        <v>332</v>
      </c>
      <c r="BP65" s="715">
        <f t="shared" si="43"/>
        <v>480</v>
      </c>
      <c r="BQ65" s="715">
        <f t="shared" ca="1" si="43"/>
        <v>941666</v>
      </c>
      <c r="BR65" s="50">
        <f t="shared" ca="1" si="43"/>
        <v>4237133</v>
      </c>
      <c r="BS65" s="14">
        <f t="shared" ca="1" si="16"/>
        <v>0</v>
      </c>
    </row>
    <row r="66" spans="1:74" ht="12" customHeight="1">
      <c r="B66" s="49"/>
      <c r="C66" s="14">
        <f>C65-C6</f>
        <v>0</v>
      </c>
      <c r="D66" s="14">
        <f t="shared" ref="D66:G66" si="44">D65-D6</f>
        <v>0</v>
      </c>
      <c r="E66" s="14"/>
      <c r="F66" s="14">
        <f t="shared" si="44"/>
        <v>0</v>
      </c>
      <c r="G66" s="14">
        <f t="shared" si="44"/>
        <v>0</v>
      </c>
      <c r="H66" s="566"/>
      <c r="I66" s="38"/>
      <c r="J66" s="38"/>
      <c r="K66" s="49"/>
      <c r="L66" s="14">
        <f t="shared" ref="L66:O66" ca="1" si="45">L65-L6</f>
        <v>0</v>
      </c>
      <c r="M66" s="14">
        <f t="shared" ca="1" si="45"/>
        <v>0</v>
      </c>
      <c r="N66" s="14">
        <f t="shared" ca="1" si="45"/>
        <v>0</v>
      </c>
      <c r="O66" s="14">
        <f t="shared" ca="1" si="45"/>
        <v>0</v>
      </c>
      <c r="P66" s="39"/>
      <c r="Q66" s="39"/>
      <c r="S66" s="48"/>
      <c r="T66" s="14">
        <f t="shared" ref="T66" si="46">T65-T6</f>
        <v>0</v>
      </c>
      <c r="U66" s="47"/>
      <c r="X66" s="566">
        <f t="shared" ref="X66:AE66" si="47">X65-X6</f>
        <v>0</v>
      </c>
      <c r="Y66" s="566">
        <f t="shared" si="47"/>
        <v>0</v>
      </c>
      <c r="Z66" s="566">
        <f t="shared" si="47"/>
        <v>0</v>
      </c>
      <c r="AA66" s="566">
        <f t="shared" si="47"/>
        <v>0</v>
      </c>
      <c r="AB66" s="566">
        <f t="shared" si="47"/>
        <v>0</v>
      </c>
      <c r="AC66" s="566">
        <f t="shared" si="47"/>
        <v>0</v>
      </c>
      <c r="AD66" s="566">
        <f t="shared" si="47"/>
        <v>0</v>
      </c>
      <c r="AE66" s="566">
        <f t="shared" si="47"/>
        <v>0</v>
      </c>
      <c r="AF66" s="566">
        <f t="shared" ref="AF66:AG66" si="48">AF65-AF6</f>
        <v>0</v>
      </c>
      <c r="AG66" s="566">
        <f t="shared" si="48"/>
        <v>0</v>
      </c>
      <c r="AH66" s="97"/>
      <c r="AI66" s="14"/>
      <c r="AJ66" s="38"/>
      <c r="AK66" s="49"/>
      <c r="AL66" s="14">
        <f>AL65-AL6</f>
        <v>0</v>
      </c>
      <c r="AM66" s="14">
        <f>AM65-AM6</f>
        <v>0</v>
      </c>
      <c r="AN66" s="14">
        <f>AN65-AN6</f>
        <v>0</v>
      </c>
      <c r="AO66" s="14">
        <f>AO65-AO6</f>
        <v>0</v>
      </c>
      <c r="AP66" s="39"/>
      <c r="AQ66" s="38"/>
      <c r="AR66" s="566">
        <v>0</v>
      </c>
      <c r="AS66" s="566">
        <f>AS65-AS6</f>
        <v>0</v>
      </c>
      <c r="AT66" s="566">
        <f>AT65-AT6</f>
        <v>0</v>
      </c>
      <c r="AU66" s="566">
        <f>AU65-AU6</f>
        <v>0</v>
      </c>
      <c r="AV66" s="566">
        <f>AV65-AV6</f>
        <v>0</v>
      </c>
      <c r="AW66" s="39"/>
      <c r="AX66" s="38"/>
      <c r="AY66" s="49"/>
      <c r="AZ66" s="14">
        <f>AZ65-AZ6</f>
        <v>0</v>
      </c>
      <c r="BA66" s="14">
        <f>BA65-BA6</f>
        <v>0</v>
      </c>
      <c r="BB66" s="14">
        <f>BB65-BB6</f>
        <v>0</v>
      </c>
      <c r="BC66" s="14">
        <f>BC65-BC6</f>
        <v>0</v>
      </c>
      <c r="BD66" s="39"/>
      <c r="BF66" s="48"/>
      <c r="BG66" s="14">
        <f>BG65-BG6</f>
        <v>0</v>
      </c>
      <c r="BH66" s="47"/>
      <c r="BI66" s="14">
        <f>BI65-BI6</f>
        <v>0</v>
      </c>
      <c r="BJ66" s="14">
        <f ca="1">BJ65-BJ6</f>
        <v>0</v>
      </c>
      <c r="BK66" s="14">
        <f t="shared" ref="BK66:BR66" si="49">BK65-BK6</f>
        <v>0</v>
      </c>
      <c r="BL66" s="14">
        <f t="shared" si="49"/>
        <v>0</v>
      </c>
      <c r="BM66" s="14">
        <f t="shared" ca="1" si="49"/>
        <v>0</v>
      </c>
      <c r="BN66" s="14">
        <f t="shared" si="49"/>
        <v>0</v>
      </c>
      <c r="BO66" s="14">
        <f t="shared" si="49"/>
        <v>0</v>
      </c>
      <c r="BP66" s="14">
        <f t="shared" si="49"/>
        <v>0</v>
      </c>
      <c r="BQ66" s="14">
        <f t="shared" ca="1" si="49"/>
        <v>0</v>
      </c>
      <c r="BR66" s="14">
        <f t="shared" ca="1" si="49"/>
        <v>0</v>
      </c>
      <c r="BS66" s="14"/>
    </row>
    <row r="67" spans="1:74" s="328" customFormat="1" ht="12.5" hidden="1">
      <c r="B67" s="329"/>
      <c r="C67" s="329">
        <f>C65-C6</f>
        <v>0</v>
      </c>
      <c r="D67" s="329">
        <f>D65-D6</f>
        <v>0</v>
      </c>
      <c r="E67" s="329"/>
      <c r="F67" s="329">
        <f>F65-F6</f>
        <v>0</v>
      </c>
      <c r="G67" s="329">
        <f>G65-G6</f>
        <v>0</v>
      </c>
      <c r="H67" s="329"/>
      <c r="I67" s="330"/>
      <c r="J67" s="330"/>
      <c r="K67" s="330"/>
      <c r="L67" s="329">
        <f ca="1">L65-L6</f>
        <v>0</v>
      </c>
      <c r="M67" s="329">
        <f ca="1">M65-M6</f>
        <v>0</v>
      </c>
      <c r="N67" s="329">
        <f ca="1">N65-N6</f>
        <v>0</v>
      </c>
      <c r="O67" s="329">
        <f ca="1">O65-O6</f>
        <v>0</v>
      </c>
      <c r="P67" s="331"/>
      <c r="Q67" s="331"/>
      <c r="T67" s="329">
        <f>T65-T6</f>
        <v>0</v>
      </c>
      <c r="U67" s="330"/>
      <c r="AH67" s="330"/>
      <c r="AI67" s="329"/>
      <c r="AJ67" s="330"/>
      <c r="AK67" s="330"/>
      <c r="AL67" s="329">
        <f>AL65-AL6</f>
        <v>0</v>
      </c>
      <c r="AM67" s="329">
        <f>AM65-AM6</f>
        <v>0</v>
      </c>
      <c r="AN67" s="329">
        <f>AN65-AN6</f>
        <v>0</v>
      </c>
      <c r="AO67" s="329">
        <f>AO65-AO6</f>
        <v>0</v>
      </c>
      <c r="AP67" s="331"/>
      <c r="AQ67" s="330"/>
      <c r="AR67" s="330"/>
      <c r="AS67" s="329">
        <f>AS65-AS6</f>
        <v>0</v>
      </c>
      <c r="AT67" s="329">
        <f>AT65-AT6</f>
        <v>0</v>
      </c>
      <c r="AU67" s="329">
        <f>AU65-AU6</f>
        <v>0</v>
      </c>
      <c r="AV67" s="329">
        <f>AV65-AV6</f>
        <v>0</v>
      </c>
      <c r="AW67" s="331"/>
      <c r="AX67" s="330"/>
      <c r="AY67" s="330"/>
      <c r="AZ67" s="329" t="e">
        <f>AZ65-#REF!</f>
        <v>#REF!</v>
      </c>
      <c r="BA67" s="329" t="e">
        <f>BA65-#REF!</f>
        <v>#REF!</v>
      </c>
      <c r="BB67" s="329" t="e">
        <f>BB65-#REF!</f>
        <v>#REF!</v>
      </c>
      <c r="BC67" s="329">
        <f>BC65-BC6</f>
        <v>0</v>
      </c>
      <c r="BD67" s="331"/>
      <c r="BG67" s="329">
        <f>BG65-BG6</f>
        <v>0</v>
      </c>
      <c r="BH67" s="330"/>
      <c r="BI67" s="329"/>
      <c r="BJ67" s="329">
        <f ca="1">BJ65-BJ6</f>
        <v>0</v>
      </c>
      <c r="BK67" s="329"/>
      <c r="BL67" s="329"/>
      <c r="BM67" s="329"/>
      <c r="BN67" s="329"/>
      <c r="BO67" s="329"/>
      <c r="BP67" s="329"/>
      <c r="BQ67" s="329"/>
      <c r="BR67" s="329">
        <f ca="1">BR65-BR6</f>
        <v>0</v>
      </c>
      <c r="BS67" s="332"/>
      <c r="BT67" s="332"/>
      <c r="BU67" s="332"/>
      <c r="BV67" s="332"/>
    </row>
    <row r="68" spans="1:74">
      <c r="A68" s="43"/>
      <c r="B68" s="258" t="s">
        <v>46</v>
      </c>
      <c r="C68" s="42"/>
      <c r="D68" s="42"/>
      <c r="E68" s="42"/>
      <c r="F68" s="42"/>
      <c r="G68" s="42"/>
      <c r="H68" s="42"/>
      <c r="I68" s="44"/>
      <c r="J68" s="44"/>
      <c r="K68" s="44"/>
      <c r="L68" s="44"/>
      <c r="M68" s="44"/>
      <c r="N68" s="44"/>
      <c r="O68" s="42"/>
      <c r="P68" s="45"/>
      <c r="Q68" s="45"/>
      <c r="T68" s="281"/>
      <c r="U68" s="44"/>
      <c r="AH68" s="44"/>
      <c r="AI68" s="42"/>
      <c r="AJ68" s="44"/>
      <c r="AK68" s="44"/>
      <c r="AL68" s="44"/>
      <c r="AM68" s="44"/>
      <c r="AN68" s="44"/>
      <c r="AO68" s="42"/>
      <c r="AP68" s="45"/>
      <c r="AQ68" s="44"/>
      <c r="AR68" s="259"/>
      <c r="AS68" s="259"/>
      <c r="AT68" s="259"/>
      <c r="AU68" s="259"/>
      <c r="AV68" s="259"/>
      <c r="AW68" s="45"/>
      <c r="AX68" s="44"/>
      <c r="AY68" s="44"/>
      <c r="AZ68" s="44"/>
      <c r="BA68" s="44"/>
      <c r="BB68" s="44"/>
      <c r="BC68" s="42"/>
      <c r="BD68" s="45"/>
      <c r="BG68" s="281"/>
      <c r="BH68" s="44"/>
      <c r="BI68" s="40"/>
      <c r="BJ68" s="40"/>
      <c r="BK68" s="40"/>
      <c r="BL68" s="40"/>
      <c r="BM68" s="40"/>
      <c r="BN68" s="40"/>
      <c r="BO68" s="40"/>
      <c r="BP68" s="40"/>
      <c r="BQ68" s="40"/>
      <c r="BR68" s="35"/>
    </row>
    <row r="69" spans="1:74" ht="12.5">
      <c r="A69" s="41"/>
      <c r="C69" s="9"/>
      <c r="D69" s="9"/>
      <c r="E69" s="9"/>
      <c r="F69" s="9"/>
      <c r="G69" s="9"/>
      <c r="H69" s="9"/>
      <c r="I69" s="32"/>
      <c r="J69" s="32"/>
      <c r="K69" s="32"/>
      <c r="L69" s="32"/>
      <c r="M69" s="32"/>
      <c r="N69" s="32"/>
      <c r="O69" s="9"/>
      <c r="P69" s="33"/>
      <c r="Q69" s="33"/>
      <c r="U69" s="32"/>
      <c r="AH69" s="32"/>
      <c r="AI69" s="9"/>
      <c r="AJ69" s="32"/>
      <c r="AK69" s="32"/>
      <c r="AL69" s="32"/>
      <c r="AM69" s="32"/>
      <c r="AN69" s="32"/>
      <c r="AO69" s="9"/>
      <c r="AP69" s="33"/>
      <c r="AQ69" s="32"/>
      <c r="AR69" s="32"/>
      <c r="AS69" s="32"/>
      <c r="AT69" s="32"/>
      <c r="AU69" s="32"/>
      <c r="AV69" s="9"/>
      <c r="AW69" s="33"/>
      <c r="AX69" s="32"/>
      <c r="AY69" s="32"/>
      <c r="AZ69" s="32"/>
      <c r="BA69" s="32"/>
      <c r="BB69" s="32"/>
      <c r="BC69" s="9"/>
      <c r="BD69" s="33"/>
      <c r="BH69" s="32"/>
      <c r="BI69" s="40"/>
      <c r="BJ69" s="40"/>
      <c r="BK69" s="40"/>
      <c r="BL69" s="40"/>
      <c r="BM69" s="40"/>
      <c r="BN69" s="40"/>
      <c r="BO69" s="40"/>
      <c r="BP69" s="40"/>
      <c r="BQ69" s="40"/>
      <c r="BR69" s="9"/>
    </row>
    <row r="70" spans="1:74">
      <c r="B70" s="37"/>
      <c r="C70" s="36"/>
      <c r="D70" s="36"/>
      <c r="E70" s="36"/>
      <c r="F70" s="36"/>
      <c r="G70" s="36"/>
      <c r="H70" s="36"/>
      <c r="I70" s="38"/>
      <c r="J70" s="38"/>
      <c r="K70" s="38"/>
      <c r="L70" s="38"/>
      <c r="M70" s="38"/>
      <c r="N70" s="38"/>
      <c r="O70" s="36"/>
      <c r="P70" s="39"/>
      <c r="Q70" s="39"/>
      <c r="U70" s="38"/>
      <c r="AH70" s="38"/>
      <c r="AI70" s="36"/>
      <c r="AJ70" s="38"/>
      <c r="AK70" s="38"/>
      <c r="AL70" s="38"/>
      <c r="AM70" s="38"/>
      <c r="AN70" s="38"/>
      <c r="AO70" s="36"/>
      <c r="AP70" s="39"/>
      <c r="AQ70" s="38"/>
      <c r="AR70" s="38"/>
      <c r="AS70" s="38"/>
      <c r="AT70" s="38"/>
      <c r="AU70" s="38"/>
      <c r="AV70" s="36"/>
      <c r="AW70" s="39"/>
      <c r="AX70" s="38"/>
      <c r="AY70" s="38"/>
      <c r="AZ70" s="38"/>
      <c r="BA70" s="38"/>
      <c r="BB70" s="38"/>
      <c r="BC70" s="36"/>
      <c r="BD70" s="39"/>
      <c r="BH70" s="38"/>
      <c r="BI70" s="9"/>
      <c r="BJ70" s="9"/>
      <c r="BK70" s="9"/>
      <c r="BL70" s="9"/>
      <c r="BM70" s="9"/>
      <c r="BN70" s="9"/>
      <c r="BO70" s="9"/>
      <c r="BP70" s="9"/>
      <c r="BQ70" s="9"/>
      <c r="BR70" s="9"/>
    </row>
    <row r="71" spans="1:74">
      <c r="A71" s="11"/>
      <c r="C71" s="9"/>
      <c r="D71" s="9"/>
      <c r="E71" s="9"/>
      <c r="F71" s="9"/>
      <c r="G71" s="9"/>
      <c r="H71" s="9"/>
      <c r="I71" s="32"/>
      <c r="J71" s="32"/>
      <c r="K71" s="32"/>
      <c r="L71" s="32"/>
      <c r="M71" s="32"/>
      <c r="N71" s="32"/>
      <c r="O71" s="9"/>
      <c r="P71" s="33"/>
      <c r="Q71" s="33"/>
      <c r="U71" s="32"/>
      <c r="AH71" s="32"/>
      <c r="AI71" s="9"/>
      <c r="AJ71" s="32"/>
      <c r="AK71" s="32"/>
      <c r="AL71" s="32"/>
      <c r="AM71" s="32"/>
      <c r="AN71" s="32"/>
      <c r="AO71" s="9"/>
      <c r="AP71" s="33"/>
      <c r="AQ71" s="32"/>
      <c r="AR71" s="32"/>
      <c r="AS71" s="32"/>
      <c r="AT71" s="32"/>
      <c r="AU71" s="32"/>
      <c r="AV71" s="9"/>
      <c r="AW71" s="33"/>
      <c r="AX71" s="32"/>
      <c r="AY71" s="32"/>
      <c r="AZ71" s="32"/>
      <c r="BA71" s="32"/>
      <c r="BB71" s="32"/>
      <c r="BC71" s="9"/>
      <c r="BD71" s="33"/>
      <c r="BH71" s="32"/>
      <c r="BI71" s="35"/>
      <c r="BJ71" s="35"/>
      <c r="BK71" s="35"/>
      <c r="BL71" s="35"/>
      <c r="BM71" s="35"/>
      <c r="BN71" s="35"/>
      <c r="BO71" s="35"/>
      <c r="BP71" s="35"/>
      <c r="BQ71" s="35"/>
      <c r="BR71" s="35"/>
    </row>
    <row r="72" spans="1:74" ht="12.5">
      <c r="A72" s="10"/>
      <c r="B72" s="10"/>
      <c r="C72" s="9"/>
      <c r="D72" s="9"/>
      <c r="E72" s="9"/>
      <c r="F72" s="9"/>
      <c r="G72" s="9"/>
      <c r="H72" s="9"/>
      <c r="I72" s="32"/>
      <c r="J72" s="32"/>
      <c r="K72" s="32"/>
      <c r="L72" s="32"/>
      <c r="M72" s="32"/>
      <c r="N72" s="32"/>
      <c r="O72" s="9"/>
      <c r="P72" s="33"/>
      <c r="Q72" s="33"/>
      <c r="U72" s="32"/>
      <c r="AH72" s="32"/>
      <c r="AI72" s="9"/>
      <c r="AJ72" s="32"/>
      <c r="AK72" s="32"/>
      <c r="AL72" s="32"/>
      <c r="AM72" s="32"/>
      <c r="AN72" s="32"/>
      <c r="AO72" s="9"/>
      <c r="AP72" s="33"/>
      <c r="AQ72" s="32"/>
      <c r="AR72" s="32"/>
      <c r="AS72" s="32"/>
      <c r="AT72" s="32"/>
      <c r="AU72" s="32"/>
      <c r="AV72" s="9"/>
      <c r="AW72" s="33"/>
      <c r="AX72" s="32"/>
      <c r="AY72" s="32"/>
      <c r="AZ72" s="32"/>
      <c r="BA72" s="32"/>
      <c r="BB72" s="32"/>
      <c r="BC72" s="9"/>
      <c r="BD72" s="33"/>
      <c r="BH72" s="32"/>
      <c r="BI72" s="12"/>
      <c r="BJ72" s="12"/>
      <c r="BK72" s="12"/>
      <c r="BL72" s="12"/>
      <c r="BM72" s="12"/>
      <c r="BN72" s="12"/>
      <c r="BO72" s="12"/>
      <c r="BP72" s="12"/>
      <c r="BQ72" s="12"/>
      <c r="BR72" s="34"/>
    </row>
    <row r="73" spans="1:74" ht="12.5">
      <c r="A73" s="10"/>
      <c r="B73" s="10"/>
      <c r="C73" s="9"/>
      <c r="D73" s="9"/>
      <c r="E73" s="9"/>
      <c r="F73" s="9"/>
      <c r="G73" s="9"/>
      <c r="H73" s="9"/>
      <c r="I73" s="32"/>
      <c r="J73" s="32"/>
      <c r="K73" s="32"/>
      <c r="L73" s="32"/>
      <c r="M73" s="32"/>
      <c r="N73" s="32"/>
      <c r="O73" s="9"/>
      <c r="P73" s="33"/>
      <c r="Q73" s="33"/>
      <c r="U73" s="32"/>
      <c r="AH73" s="32"/>
      <c r="AI73" s="9"/>
      <c r="AJ73" s="32"/>
      <c r="AK73" s="32"/>
      <c r="AL73" s="32"/>
      <c r="AM73" s="32"/>
      <c r="AN73" s="32"/>
      <c r="AO73" s="9"/>
      <c r="AP73" s="33"/>
      <c r="AQ73" s="32"/>
      <c r="AR73" s="32"/>
      <c r="AS73" s="32"/>
      <c r="AT73" s="32"/>
      <c r="AU73" s="32"/>
      <c r="AV73" s="9"/>
      <c r="AW73" s="33"/>
      <c r="AX73" s="32"/>
      <c r="AY73" s="32"/>
      <c r="AZ73" s="32"/>
      <c r="BA73" s="32"/>
      <c r="BB73" s="32"/>
      <c r="BC73" s="9"/>
      <c r="BD73" s="33"/>
      <c r="BH73" s="32"/>
    </row>
    <row r="74" spans="1:74" ht="12.5">
      <c r="A74" s="10"/>
      <c r="B74" s="10"/>
      <c r="C74" s="9"/>
      <c r="D74" s="9"/>
      <c r="E74" s="9"/>
      <c r="F74" s="9"/>
      <c r="G74" s="9"/>
      <c r="H74" s="9"/>
      <c r="I74" s="32"/>
      <c r="J74" s="32"/>
      <c r="K74" s="32"/>
      <c r="L74" s="32"/>
      <c r="M74" s="32"/>
      <c r="N74" s="32"/>
      <c r="O74" s="9"/>
      <c r="P74" s="33"/>
      <c r="Q74" s="33"/>
      <c r="U74" s="32"/>
      <c r="AH74" s="32"/>
      <c r="AI74" s="9"/>
      <c r="AJ74" s="32"/>
      <c r="AK74" s="32"/>
      <c r="AL74" s="32"/>
      <c r="AM74" s="32"/>
      <c r="AN74" s="32"/>
      <c r="AO74" s="9"/>
      <c r="AP74" s="33"/>
      <c r="AQ74" s="32"/>
      <c r="AR74" s="32"/>
      <c r="AS74" s="32"/>
      <c r="AT74" s="32"/>
      <c r="AU74" s="32"/>
      <c r="AV74" s="9"/>
      <c r="AW74" s="33"/>
      <c r="AX74" s="32"/>
      <c r="AY74" s="32"/>
      <c r="AZ74" s="32"/>
      <c r="BA74" s="32"/>
      <c r="BB74" s="32"/>
      <c r="BC74" s="9"/>
      <c r="BD74" s="33"/>
      <c r="BH74" s="32"/>
    </row>
    <row r="75" spans="1:74">
      <c r="C75" s="8"/>
      <c r="D75" s="8"/>
      <c r="E75" s="8"/>
      <c r="F75" s="8"/>
      <c r="G75" s="8"/>
      <c r="H75" s="8"/>
      <c r="I75" s="30"/>
      <c r="J75" s="30"/>
      <c r="K75" s="30"/>
      <c r="L75" s="30"/>
      <c r="M75" s="30"/>
      <c r="N75" s="30"/>
      <c r="O75" s="8"/>
      <c r="P75" s="31"/>
      <c r="Q75" s="31"/>
      <c r="U75" s="30"/>
      <c r="AH75" s="30"/>
      <c r="AI75" s="8"/>
      <c r="AJ75" s="30"/>
      <c r="AK75" s="30"/>
      <c r="AL75" s="30"/>
      <c r="AM75" s="30"/>
      <c r="AN75" s="30"/>
      <c r="AO75" s="8"/>
      <c r="AP75" s="31"/>
      <c r="AQ75" s="30"/>
      <c r="AR75" s="30"/>
      <c r="AS75" s="30"/>
      <c r="AT75" s="30"/>
      <c r="AU75" s="30"/>
      <c r="AV75" s="8"/>
      <c r="AW75" s="31"/>
      <c r="AX75" s="30"/>
      <c r="AY75" s="30"/>
      <c r="AZ75" s="30"/>
      <c r="BA75" s="30"/>
      <c r="BB75" s="30"/>
      <c r="BC75" s="8"/>
      <c r="BD75" s="31"/>
      <c r="BH75" s="30"/>
    </row>
  </sheetData>
  <mergeCells count="34">
    <mergeCell ref="AJ1:AO1"/>
    <mergeCell ref="R4:R6"/>
    <mergeCell ref="S4:S6"/>
    <mergeCell ref="W4:W6"/>
    <mergeCell ref="BE1:BG1"/>
    <mergeCell ref="BE3:BG3"/>
    <mergeCell ref="BE4:BE6"/>
    <mergeCell ref="BF4:BF6"/>
    <mergeCell ref="AQ1:AV1"/>
    <mergeCell ref="AQ3:AV3"/>
    <mergeCell ref="AQ4:AQ6"/>
    <mergeCell ref="AR4:AR6"/>
    <mergeCell ref="AX1:BC1"/>
    <mergeCell ref="AX4:AX6"/>
    <mergeCell ref="AY4:AY6"/>
    <mergeCell ref="A4:A6"/>
    <mergeCell ref="B4:B6"/>
    <mergeCell ref="E4:E6"/>
    <mergeCell ref="J4:J6"/>
    <mergeCell ref="BI3:BR3"/>
    <mergeCell ref="V4:V6"/>
    <mergeCell ref="K4:K6"/>
    <mergeCell ref="AJ3:AO3"/>
    <mergeCell ref="AJ4:AJ6"/>
    <mergeCell ref="AK4:AK6"/>
    <mergeCell ref="AX3:BC3"/>
    <mergeCell ref="A1:G1"/>
    <mergeCell ref="J1:O1"/>
    <mergeCell ref="R1:T1"/>
    <mergeCell ref="V3:AF3"/>
    <mergeCell ref="V1:AF1"/>
    <mergeCell ref="A3:G3"/>
    <mergeCell ref="J3:O3"/>
    <mergeCell ref="R3:T3"/>
  </mergeCells>
  <conditionalFormatting sqref="AI6:AI67 B67:H67 P6:Q65 U6:U66 I6:I65 L66:O67 T66:T67 X66:AG66 AP8:AP65 AS67:AV67 BH6:BH66 BD8:BD65 AW8:AW65 BI66:BR67 C66:H66 AH6:AH66 BS6:BS66 AL66:AO67 AR66:AV66 AZ66:BC67 BG66:BG67">
    <cfRule type="cellIs" dxfId="33" priority="187" operator="lessThan">
      <formula>0</formula>
    </cfRule>
    <cfRule type="cellIs" dxfId="32" priority="188" operator="greaterThan">
      <formula>0</formula>
    </cfRule>
  </conditionalFormatting>
  <printOptions horizontalCentered="1"/>
  <pageMargins left="0.7" right="0.7" top="0.75" bottom="0.75" header="0.3" footer="0.3"/>
  <pageSetup scale="70" fitToWidth="6" orientation="portrait" r:id="rId1"/>
  <headerFooter>
    <oddHeader>&amp;C&amp;"Arial,Bold"&amp;12QUARTERLY COUNTY SHARE SUMMARY</oddHeader>
    <oddFooter>&amp;Cpage &amp;P of &amp;N</oddFooter>
  </headerFooter>
  <colBreaks count="6" manualBreakCount="6">
    <brk id="8" max="64" man="1"/>
    <brk id="15" max="64" man="1"/>
    <brk id="34" max="64" man="1"/>
    <brk id="41" max="64" man="1"/>
    <brk id="48" max="64" man="1"/>
    <brk id="55" max="64" man="1"/>
  </colBreaks>
  <ignoredErrors>
    <ignoredError sqref="BJ65:BM66"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S49"/>
  <sheetViews>
    <sheetView showGridLines="0" zoomScaleNormal="100" zoomScaleSheetLayoutView="112" workbookViewId="0">
      <pane xSplit="2" ySplit="3" topLeftCell="C4" activePane="bottomRight" state="frozen"/>
      <selection activeCell="R32" sqref="R32"/>
      <selection pane="topRight" activeCell="R32" sqref="R32"/>
      <selection pane="bottomLeft" activeCell="R32" sqref="R32"/>
      <selection pane="bottomRight" sqref="A1:K1"/>
    </sheetView>
  </sheetViews>
  <sheetFormatPr defaultColWidth="9.1796875" defaultRowHeight="12.5"/>
  <cols>
    <col min="1" max="1" width="19.453125" style="68" customWidth="1"/>
    <col min="2" max="2" width="14.81640625" style="68" customWidth="1"/>
    <col min="3" max="3" width="9.1796875" style="68"/>
    <col min="4" max="4" width="11.54296875" style="68" bestFit="1" customWidth="1"/>
    <col min="5" max="5" width="13.453125" style="68" customWidth="1"/>
    <col min="6" max="6" width="12.453125" style="68" bestFit="1" customWidth="1"/>
    <col min="7" max="7" width="13.54296875" style="68" customWidth="1"/>
    <col min="8" max="8" width="11.54296875" style="68" customWidth="1"/>
    <col min="9" max="9" width="12.453125" style="68" bestFit="1" customWidth="1"/>
    <col min="10" max="10" width="11.54296875" style="68" customWidth="1"/>
    <col min="11" max="11" width="13" style="68" customWidth="1"/>
    <col min="12" max="12" width="11.26953125" style="87" customWidth="1"/>
    <col min="13" max="16" width="11.54296875" style="68" customWidth="1"/>
    <col min="17" max="16384" width="9.1796875" style="68"/>
  </cols>
  <sheetData>
    <row r="1" spans="1:19" ht="14">
      <c r="A1" s="949" t="s">
        <v>302</v>
      </c>
      <c r="B1" s="949"/>
      <c r="C1" s="949"/>
      <c r="D1" s="949"/>
      <c r="E1" s="949"/>
      <c r="F1" s="949"/>
      <c r="G1" s="949"/>
      <c r="H1" s="949"/>
      <c r="I1" s="949"/>
      <c r="J1" s="949"/>
      <c r="K1" s="949"/>
      <c r="L1" s="142"/>
    </row>
    <row r="2" spans="1:19" ht="12.65" customHeight="1"/>
    <row r="3" spans="1:19" ht="52.75" customHeight="1">
      <c r="A3" s="24" t="s">
        <v>44</v>
      </c>
      <c r="B3" s="24" t="s">
        <v>68</v>
      </c>
      <c r="C3" s="24" t="s">
        <v>67</v>
      </c>
      <c r="D3" s="24" t="s">
        <v>66</v>
      </c>
      <c r="E3" s="24" t="s">
        <v>151</v>
      </c>
      <c r="F3" s="24" t="s">
        <v>48</v>
      </c>
      <c r="G3" s="24" t="s">
        <v>65</v>
      </c>
      <c r="H3" s="24" t="s">
        <v>64</v>
      </c>
      <c r="I3" s="24" t="s">
        <v>63</v>
      </c>
      <c r="J3" s="141" t="s">
        <v>62</v>
      </c>
      <c r="K3" s="141" t="s">
        <v>72</v>
      </c>
      <c r="L3" s="100"/>
      <c r="M3" s="140" t="s">
        <v>43</v>
      </c>
      <c r="N3" s="24" t="s">
        <v>42</v>
      </c>
      <c r="O3" s="24" t="s">
        <v>138</v>
      </c>
      <c r="P3" s="24" t="s">
        <v>60</v>
      </c>
    </row>
    <row r="4" spans="1:19" s="98" customFormat="1">
      <c r="A4" s="137" t="s">
        <v>38</v>
      </c>
      <c r="B4" s="114">
        <v>43941</v>
      </c>
      <c r="C4" s="136">
        <v>0</v>
      </c>
      <c r="D4" s="113">
        <v>43971</v>
      </c>
      <c r="E4" s="112">
        <f>'4th Q C-IV M&amp;O '!E4</f>
        <v>21735</v>
      </c>
      <c r="F4" s="112">
        <f>'4th Q C-IV M&amp;O '!F4</f>
        <v>21735</v>
      </c>
      <c r="G4" s="112">
        <f>'4th Q C-IV M&amp;O '!G4</f>
        <v>11353</v>
      </c>
      <c r="H4" s="112">
        <f>'4th Q C-IV M&amp;O '!H4</f>
        <v>2271</v>
      </c>
      <c r="I4" s="112">
        <f>'4th Q C-IV M&amp;O '!I4</f>
        <v>7141</v>
      </c>
      <c r="J4" s="112">
        <f>'4th Q C-IV M&amp;O '!J4</f>
        <v>970</v>
      </c>
      <c r="K4" s="19">
        <f>'4th Q C-IV M&amp;O '!K4</f>
        <v>0</v>
      </c>
      <c r="L4" s="139"/>
      <c r="M4" s="19">
        <f>'4th Q C-IV M&amp;O '!M4</f>
        <v>928</v>
      </c>
      <c r="N4" s="112">
        <f>'4th Q C-IV M&amp;O '!N4</f>
        <v>18</v>
      </c>
      <c r="O4" s="112">
        <f>'4th Q C-IV M&amp;O '!O4</f>
        <v>24</v>
      </c>
      <c r="P4" s="112">
        <f>'4th Q C-IV M&amp;O '!P4</f>
        <v>970</v>
      </c>
      <c r="Q4" s="103"/>
    </row>
    <row r="5" spans="1:19" s="98" customFormat="1">
      <c r="A5" s="22" t="s">
        <v>25</v>
      </c>
      <c r="B5" s="114">
        <v>43941</v>
      </c>
      <c r="C5" s="129">
        <v>0</v>
      </c>
      <c r="D5" s="113">
        <v>43971</v>
      </c>
      <c r="E5" s="19">
        <f>'4th Q LRS M&amp;O'!E4</f>
        <v>992721</v>
      </c>
      <c r="F5" s="19">
        <f>'4th Q LRS M&amp;O'!F4</f>
        <v>992721</v>
      </c>
      <c r="G5" s="19">
        <f>'4th Q LRS M&amp;O'!G4</f>
        <v>676960</v>
      </c>
      <c r="H5" s="19">
        <f>'4th Q LRS M&amp;O'!H4</f>
        <v>90512</v>
      </c>
      <c r="I5" s="19">
        <f>'4th Q LRS M&amp;O'!I4</f>
        <v>170178</v>
      </c>
      <c r="J5" s="19">
        <f>'4th Q LRS M&amp;O'!J4</f>
        <v>55071</v>
      </c>
      <c r="K5" s="19">
        <f>'4th Q LRS M&amp;O'!K4</f>
        <v>0</v>
      </c>
      <c r="L5" s="100"/>
      <c r="M5" s="19">
        <f>'4th Q LRS M&amp;O'!L4</f>
        <v>35157</v>
      </c>
      <c r="N5" s="19">
        <f>'4th Q LRS M&amp;O'!M4</f>
        <v>655</v>
      </c>
      <c r="O5" s="19">
        <f>'4th Q LRS M&amp;O'!N4</f>
        <v>19259</v>
      </c>
      <c r="P5" s="19">
        <f>'4th Q LRS M&amp;O'!O4</f>
        <v>55071</v>
      </c>
      <c r="Q5" s="103"/>
    </row>
    <row r="6" spans="1:19" s="98" customFormat="1" ht="13.5" customHeight="1">
      <c r="A6" s="22" t="s">
        <v>20</v>
      </c>
      <c r="B6" s="114">
        <v>43941</v>
      </c>
      <c r="C6" s="129">
        <v>0</v>
      </c>
      <c r="D6" s="113">
        <v>43971</v>
      </c>
      <c r="E6" s="19">
        <f>'4th Q C-IV M&amp;O '!E5+'4th Q C-IV Covered CA'!E4</f>
        <v>34968</v>
      </c>
      <c r="F6" s="19">
        <f>'4th Q C-IV M&amp;O '!F5+'4th Q C-IV Covered CA'!F4</f>
        <v>34968</v>
      </c>
      <c r="G6" s="19">
        <f>'4th Q C-IV M&amp;O '!G5+'4th Q C-IV Covered CA'!G4</f>
        <v>20918</v>
      </c>
      <c r="H6" s="19">
        <f>'4th Q C-IV M&amp;O '!H5+'4th Q C-IV Covered CA'!H4</f>
        <v>2436</v>
      </c>
      <c r="I6" s="19">
        <f>'4th Q C-IV M&amp;O '!I5+'4th Q C-IV Covered CA'!I4</f>
        <v>10573</v>
      </c>
      <c r="J6" s="19">
        <f>'4th Q C-IV M&amp;O '!J5+'4th Q C-IV Covered CA'!J4</f>
        <v>1041</v>
      </c>
      <c r="K6" s="19">
        <f>'4th Q C-IV M&amp;O '!K5+'4th Q C-IV Covered CA'!K4</f>
        <v>0</v>
      </c>
      <c r="L6" s="139"/>
      <c r="M6" s="19">
        <f>'4th Q C-IV M&amp;O '!M5+'4th Q C-IV Covered CA'!M4</f>
        <v>995</v>
      </c>
      <c r="N6" s="19">
        <f>'4th Q C-IV M&amp;O '!N5+'4th Q C-IV Covered CA'!N4</f>
        <v>20</v>
      </c>
      <c r="O6" s="19">
        <f>'4th Q C-IV M&amp;O '!O5+'4th Q C-IV Covered CA'!O4</f>
        <v>26</v>
      </c>
      <c r="P6" s="19">
        <f>'4th Q C-IV M&amp;O '!P5+'4th Q C-IV Covered CA'!P4</f>
        <v>1041</v>
      </c>
      <c r="Q6" s="103"/>
    </row>
    <row r="7" spans="1:19" s="98" customFormat="1">
      <c r="A7" s="22" t="s">
        <v>13</v>
      </c>
      <c r="B7" s="114">
        <v>43941</v>
      </c>
      <c r="C7" s="129">
        <v>0</v>
      </c>
      <c r="D7" s="113">
        <v>43971</v>
      </c>
      <c r="E7" s="19">
        <f>'4th Q C-IV M&amp;O '!E6</f>
        <v>42857</v>
      </c>
      <c r="F7" s="19">
        <f>'4th Q C-IV M&amp;O '!F6</f>
        <v>42857</v>
      </c>
      <c r="G7" s="19">
        <f>'4th Q C-IV M&amp;O '!G6</f>
        <v>22386</v>
      </c>
      <c r="H7" s="19">
        <f>'4th Q C-IV M&amp;O '!H6</f>
        <v>4476</v>
      </c>
      <c r="I7" s="19">
        <f>'4th Q C-IV M&amp;O '!I6</f>
        <v>14081</v>
      </c>
      <c r="J7" s="19">
        <f>'4th Q C-IV M&amp;O '!J6</f>
        <v>1914</v>
      </c>
      <c r="K7" s="19">
        <f>'4th Q C-IV M&amp;O '!K6</f>
        <v>0</v>
      </c>
      <c r="L7" s="139"/>
      <c r="M7" s="19">
        <f>'4th Q C-IV M&amp;O '!M6</f>
        <v>1830</v>
      </c>
      <c r="N7" s="19">
        <f>'4th Q C-IV M&amp;O '!N6</f>
        <v>37</v>
      </c>
      <c r="O7" s="19">
        <f>'4th Q C-IV M&amp;O '!O6</f>
        <v>47</v>
      </c>
      <c r="P7" s="19">
        <f>'4th Q C-IV M&amp;O '!P6</f>
        <v>1914</v>
      </c>
      <c r="Q7" s="103"/>
    </row>
    <row r="8" spans="1:19" s="98" customFormat="1">
      <c r="A8" s="22" t="s">
        <v>11</v>
      </c>
      <c r="B8" s="114">
        <v>43941</v>
      </c>
      <c r="C8" s="129">
        <v>0</v>
      </c>
      <c r="D8" s="113">
        <v>43971</v>
      </c>
      <c r="E8" s="19">
        <f>'4th Q C-IV M&amp;O '!E7+'4th Q C-IV CalHEERS '!E4+'4th Q C-IV CalHEERS '!E5+'4th Q C-IV Covered CA'!E5+'4th Q LRS M&amp;O'!E5+'4th Q LRS CalHEERS'!E4+'4th Q LRS CalHEERS'!E5</f>
        <v>11081791</v>
      </c>
      <c r="F8" s="19">
        <f>'4th Q C-IV M&amp;O '!F7+'4th Q C-IV CalHEERS '!F4+'4th Q C-IV CalHEERS '!F5+'4th Q C-IV Covered CA'!F5+'4th Q LRS M&amp;O'!F5+'4th Q LRS CalHEERS'!F4+'4th Q LRS CalHEERS'!F5</f>
        <v>11081791</v>
      </c>
      <c r="G8" s="19">
        <f>'4th Q C-IV M&amp;O '!G7+'4th Q C-IV CalHEERS '!G4+'4th Q C-IV CalHEERS '!G5+'4th Q C-IV Covered CA'!G5+'4th Q LRS M&amp;O'!G5+'4th Q LRS CalHEERS'!G4+'4th Q LRS CalHEERS'!G5</f>
        <v>6591015</v>
      </c>
      <c r="H8" s="19">
        <f>'4th Q C-IV M&amp;O '!H7+'4th Q C-IV CalHEERS '!H4+'4th Q C-IV CalHEERS '!H5+'4th Q C-IV Covered CA'!H5+'4th Q LRS M&amp;O'!H5+'4th Q LRS CalHEERS'!H4+'4th Q LRS CalHEERS'!H5</f>
        <v>1021858</v>
      </c>
      <c r="I8" s="19">
        <f>'4th Q C-IV M&amp;O '!I7+'4th Q C-IV CalHEERS '!I4+'4th Q C-IV CalHEERS '!I5+'4th Q C-IV Covered CA'!I5+'4th Q LRS M&amp;O'!I5+'4th Q LRS CalHEERS'!I4+'4th Q LRS CalHEERS'!I5</f>
        <v>3010811</v>
      </c>
      <c r="J8" s="19">
        <f>'4th Q C-IV M&amp;O '!J7+'4th Q C-IV CalHEERS '!J4+'4th Q C-IV CalHEERS '!J5+'4th Q C-IV Covered CA'!J5+'4th Q LRS M&amp;O'!J5+'4th Q LRS CalHEERS'!J4+'4th Q LRS CalHEERS'!J5</f>
        <v>497542</v>
      </c>
      <c r="K8" s="19">
        <f>'4th Q C-IV M&amp;O '!K7+'4th Q C-IV CalHEERS '!K4+'4th Q C-IV CalHEERS '!K5+'4th Q C-IV Covered CA'!K5+'4th Q LRS M&amp;O'!K5+'4th Q LRS CalHEERS'!K4+'4th Q LRS CalHEERS'!K5</f>
        <v>-39435</v>
      </c>
      <c r="L8" s="139"/>
      <c r="M8" s="19">
        <f>'4th Q C-IV M&amp;O '!M7+'4th Q LRS M&amp;O'!L5</f>
        <v>411186</v>
      </c>
      <c r="N8" s="19">
        <f>'4th Q C-IV M&amp;O '!N7+'4th Q LRS M&amp;O'!M5</f>
        <v>8149</v>
      </c>
      <c r="O8" s="19">
        <f>'4th Q C-IV M&amp;O '!O7+'4th Q LRS M&amp;O'!N5</f>
        <v>78207</v>
      </c>
      <c r="P8" s="19">
        <f>'4th Q C-IV M&amp;O '!P7+'4th Q LRS M&amp;O'!O5</f>
        <v>497542</v>
      </c>
      <c r="Q8" s="103"/>
      <c r="R8" s="103"/>
      <c r="S8" s="103"/>
    </row>
    <row r="9" spans="1:19" s="98" customFormat="1">
      <c r="A9" s="22" t="s">
        <v>11</v>
      </c>
      <c r="B9" s="744">
        <v>43800</v>
      </c>
      <c r="C9" s="847">
        <v>3</v>
      </c>
      <c r="D9" s="114">
        <v>43971</v>
      </c>
      <c r="E9" s="119">
        <f>'4th Q C-IV M&amp;O '!E8</f>
        <v>-2571733</v>
      </c>
      <c r="F9" s="119">
        <f>'4th Q C-IV M&amp;O '!F8</f>
        <v>-2571733</v>
      </c>
      <c r="G9" s="119">
        <f>'4th Q C-IV M&amp;O '!G8</f>
        <v>-1343344</v>
      </c>
      <c r="H9" s="119">
        <f>'4th Q C-IV M&amp;O '!H8</f>
        <v>-268516</v>
      </c>
      <c r="I9" s="119">
        <f>'4th Q C-IV M&amp;O '!I8</f>
        <v>-844943</v>
      </c>
      <c r="J9" s="119">
        <f>'4th Q C-IV M&amp;O '!J8</f>
        <v>-114930</v>
      </c>
      <c r="K9" s="19">
        <f>'4th Q C-IV M&amp;O '!K8</f>
        <v>0</v>
      </c>
      <c r="L9" s="139"/>
      <c r="M9" s="19">
        <f>'4th Q C-IV M&amp;O '!M8</f>
        <v>-109864</v>
      </c>
      <c r="N9" s="119">
        <f>'4th Q C-IV M&amp;O '!N8</f>
        <v>-2237</v>
      </c>
      <c r="O9" s="119">
        <f>'4th Q C-IV M&amp;O '!O8</f>
        <v>-2829</v>
      </c>
      <c r="P9" s="119">
        <f>'4th Q C-IV M&amp;O '!P8</f>
        <v>-114930</v>
      </c>
      <c r="Q9" s="103"/>
      <c r="R9" s="103"/>
      <c r="S9" s="103"/>
    </row>
    <row r="10" spans="1:19" s="98" customFormat="1">
      <c r="A10" s="22" t="s">
        <v>11</v>
      </c>
      <c r="B10" s="744">
        <v>43831</v>
      </c>
      <c r="C10" s="847">
        <v>3</v>
      </c>
      <c r="D10" s="131">
        <v>43971</v>
      </c>
      <c r="E10" s="119">
        <f>'4th Q C-IV M&amp;O '!E9</f>
        <v>-981244</v>
      </c>
      <c r="F10" s="119">
        <f>'4th Q C-IV M&amp;O '!F9</f>
        <v>-981244</v>
      </c>
      <c r="G10" s="119">
        <f>'4th Q C-IV M&amp;O '!G9</f>
        <v>-512553</v>
      </c>
      <c r="H10" s="119">
        <f>'4th Q C-IV M&amp;O '!H9</f>
        <v>-102453</v>
      </c>
      <c r="I10" s="119">
        <f>'4th Q C-IV M&amp;O '!I9</f>
        <v>-322388</v>
      </c>
      <c r="J10" s="119">
        <f>'4th Q C-IV M&amp;O '!J9</f>
        <v>-43850</v>
      </c>
      <c r="K10" s="19">
        <f>'4th Q C-IV M&amp;O '!K9</f>
        <v>0</v>
      </c>
      <c r="L10" s="139"/>
      <c r="M10" s="19">
        <f>'4th Q C-IV M&amp;O '!M9</f>
        <v>-41918</v>
      </c>
      <c r="N10" s="119">
        <f>'4th Q C-IV M&amp;O '!N9</f>
        <v>-853</v>
      </c>
      <c r="O10" s="119">
        <f>'4th Q C-IV M&amp;O '!O9</f>
        <v>-1079</v>
      </c>
      <c r="P10" s="119">
        <f>'4th Q C-IV M&amp;O '!P9</f>
        <v>-43850</v>
      </c>
      <c r="Q10" s="103"/>
      <c r="R10" s="103"/>
      <c r="S10" s="103"/>
    </row>
    <row r="11" spans="1:19" s="98" customFormat="1" ht="13.5" customHeight="1" thickBot="1">
      <c r="A11" s="134" t="s">
        <v>6</v>
      </c>
      <c r="B11" s="121">
        <v>43941</v>
      </c>
      <c r="C11" s="735">
        <v>0</v>
      </c>
      <c r="D11" s="121">
        <v>43971</v>
      </c>
      <c r="E11" s="120">
        <f>'4th Q C-IV M&amp;O '!E10</f>
        <v>26048</v>
      </c>
      <c r="F11" s="120">
        <f>'4th Q C-IV M&amp;O '!F10</f>
        <v>26048</v>
      </c>
      <c r="G11" s="120">
        <f>'4th Q C-IV M&amp;O '!G10</f>
        <v>13605</v>
      </c>
      <c r="H11" s="120">
        <f>'4th Q C-IV M&amp;O '!H10</f>
        <v>2721</v>
      </c>
      <c r="I11" s="120">
        <f>'4th Q C-IV M&amp;O '!I10</f>
        <v>8559</v>
      </c>
      <c r="J11" s="120">
        <f>'4th Q C-IV M&amp;O '!J10</f>
        <v>1163</v>
      </c>
      <c r="K11" s="120">
        <f>'4th Q C-IV M&amp;O '!K10</f>
        <v>0</v>
      </c>
      <c r="L11" s="139"/>
      <c r="M11" s="120">
        <f>'4th Q C-IV M&amp;O '!M10</f>
        <v>1112</v>
      </c>
      <c r="N11" s="120">
        <f>'4th Q C-IV M&amp;O '!N10</f>
        <v>22</v>
      </c>
      <c r="O11" s="120">
        <f>'4th Q C-IV M&amp;O '!O10</f>
        <v>29</v>
      </c>
      <c r="P11" s="120">
        <f>'4th Q C-IV M&amp;O '!P10</f>
        <v>1163</v>
      </c>
      <c r="Q11" s="103"/>
    </row>
    <row r="12" spans="1:19" s="98" customFormat="1">
      <c r="A12" s="137" t="s">
        <v>38</v>
      </c>
      <c r="B12" s="113">
        <v>43971</v>
      </c>
      <c r="C12" s="136">
        <v>0</v>
      </c>
      <c r="D12" s="113">
        <v>44002</v>
      </c>
      <c r="E12" s="135">
        <f>'4th Q C-IV M&amp;O '!E11</f>
        <v>22218</v>
      </c>
      <c r="F12" s="135">
        <f>'4th Q C-IV M&amp;O '!F11</f>
        <v>22218</v>
      </c>
      <c r="G12" s="135">
        <f>'4th Q C-IV M&amp;O '!G11</f>
        <v>11606</v>
      </c>
      <c r="H12" s="135">
        <f>'4th Q C-IV M&amp;O '!H11</f>
        <v>2320</v>
      </c>
      <c r="I12" s="135">
        <f>'4th Q C-IV M&amp;O '!I11</f>
        <v>7300</v>
      </c>
      <c r="J12" s="135">
        <f>'4th Q C-IV M&amp;O '!J11</f>
        <v>992</v>
      </c>
      <c r="K12" s="135">
        <f>'4th Q C-IV M&amp;O '!K11</f>
        <v>0</v>
      </c>
      <c r="L12" s="139"/>
      <c r="M12" s="135">
        <f>'4th Q C-IV M&amp;O '!M11</f>
        <v>949</v>
      </c>
      <c r="N12" s="135">
        <f>'4th Q C-IV M&amp;O '!N11</f>
        <v>19</v>
      </c>
      <c r="O12" s="135">
        <f>'4th Q C-IV M&amp;O '!O11</f>
        <v>24</v>
      </c>
      <c r="P12" s="135">
        <f>'4th Q C-IV M&amp;O '!P11</f>
        <v>992</v>
      </c>
      <c r="Q12" s="103"/>
    </row>
    <row r="13" spans="1:19" s="98" customFormat="1" ht="14.25" customHeight="1">
      <c r="A13" s="22" t="s">
        <v>25</v>
      </c>
      <c r="B13" s="113">
        <v>43971</v>
      </c>
      <c r="C13" s="129">
        <v>0</v>
      </c>
      <c r="D13" s="113">
        <v>44002</v>
      </c>
      <c r="E13" s="19">
        <f>'4th Q LRS M&amp;O'!E6</f>
        <v>943598</v>
      </c>
      <c r="F13" s="19">
        <f>'4th Q LRS M&amp;O'!F6</f>
        <v>943598</v>
      </c>
      <c r="G13" s="19">
        <f>'4th Q LRS M&amp;O'!G6</f>
        <v>643462</v>
      </c>
      <c r="H13" s="19">
        <f>'4th Q LRS M&amp;O'!H6</f>
        <v>86034</v>
      </c>
      <c r="I13" s="19">
        <f>'4th Q LRS M&amp;O'!I6</f>
        <v>161757</v>
      </c>
      <c r="J13" s="19">
        <f>'4th Q LRS M&amp;O'!J6</f>
        <v>52345</v>
      </c>
      <c r="K13" s="19">
        <f>'4th Q LRS M&amp;O'!K6</f>
        <v>0</v>
      </c>
      <c r="L13" s="139"/>
      <c r="M13" s="19">
        <f>'4th Q LRS M&amp;O'!L6</f>
        <v>33417</v>
      </c>
      <c r="N13" s="19">
        <f>'4th Q LRS M&amp;O'!M6</f>
        <v>622</v>
      </c>
      <c r="O13" s="19">
        <f>'4th Q LRS M&amp;O'!N6</f>
        <v>18306</v>
      </c>
      <c r="P13" s="19">
        <f>'4th Q LRS M&amp;O'!O6</f>
        <v>52345</v>
      </c>
      <c r="Q13" s="103"/>
    </row>
    <row r="14" spans="1:19" s="98" customFormat="1" ht="14.25" customHeight="1">
      <c r="A14" s="22" t="s">
        <v>20</v>
      </c>
      <c r="B14" s="113">
        <v>43971</v>
      </c>
      <c r="C14" s="129">
        <v>0</v>
      </c>
      <c r="D14" s="113">
        <v>44002</v>
      </c>
      <c r="E14" s="19">
        <f>'4th Q C-IV M&amp;O '!E12+'4th Q C-IV Covered CA'!E6</f>
        <v>52452</v>
      </c>
      <c r="F14" s="19">
        <f>'4th Q C-IV M&amp;O '!F12+'4th Q C-IV Covered CA'!F6</f>
        <v>52452</v>
      </c>
      <c r="G14" s="19">
        <f>'4th Q C-IV M&amp;O '!G12+'4th Q C-IV Covered CA'!G6</f>
        <v>31379</v>
      </c>
      <c r="H14" s="19">
        <f>'4th Q C-IV M&amp;O '!H12+'4th Q C-IV Covered CA'!H6</f>
        <v>3652</v>
      </c>
      <c r="I14" s="19">
        <f>'4th Q C-IV M&amp;O '!I12+'4th Q C-IV Covered CA'!I6</f>
        <v>15860</v>
      </c>
      <c r="J14" s="19">
        <f>'4th Q C-IV M&amp;O '!J12+'4th Q C-IV Covered CA'!J6</f>
        <v>1561</v>
      </c>
      <c r="K14" s="19">
        <f>'4th Q C-IV M&amp;O '!K12+'4th Q C-IV Covered CA'!K6</f>
        <v>0</v>
      </c>
      <c r="L14" s="139"/>
      <c r="M14" s="19">
        <f>'4th Q C-IV M&amp;O '!M12+'4th Q C-IV Covered CA'!M6</f>
        <v>1493</v>
      </c>
      <c r="N14" s="19">
        <f>'4th Q C-IV M&amp;O '!N12+'4th Q C-IV Covered CA'!N6</f>
        <v>30</v>
      </c>
      <c r="O14" s="19">
        <f>'4th Q C-IV M&amp;O '!O12+'4th Q C-IV Covered CA'!O6</f>
        <v>38</v>
      </c>
      <c r="P14" s="19">
        <f>'4th Q C-IV M&amp;O '!P12+'4th Q C-IV Covered CA'!P6</f>
        <v>1561</v>
      </c>
      <c r="Q14" s="103"/>
    </row>
    <row r="15" spans="1:19" s="98" customFormat="1" ht="14.25" customHeight="1">
      <c r="A15" s="22" t="s">
        <v>20</v>
      </c>
      <c r="B15" s="114">
        <v>43941</v>
      </c>
      <c r="C15" s="563">
        <v>1</v>
      </c>
      <c r="D15" s="113">
        <v>44002</v>
      </c>
      <c r="E15" s="19">
        <f>'4th Q C-IV M&amp;O '!E13</f>
        <v>152</v>
      </c>
      <c r="F15" s="19">
        <f>'4th Q C-IV M&amp;O '!F13</f>
        <v>152</v>
      </c>
      <c r="G15" s="19">
        <f>'4th Q C-IV M&amp;O '!G13</f>
        <v>79</v>
      </c>
      <c r="H15" s="19">
        <f>'4th Q C-IV M&amp;O '!H13</f>
        <v>16</v>
      </c>
      <c r="I15" s="19">
        <f>'4th Q C-IV M&amp;O '!I13</f>
        <v>51</v>
      </c>
      <c r="J15" s="19">
        <f>'4th Q C-IV M&amp;O '!J13</f>
        <v>6</v>
      </c>
      <c r="K15" s="19">
        <f>'4th Q C-IV M&amp;O '!K13</f>
        <v>0</v>
      </c>
      <c r="L15" s="139"/>
      <c r="M15" s="19">
        <f>'4th Q C-IV M&amp;O '!M13</f>
        <v>6</v>
      </c>
      <c r="N15" s="19">
        <f>'4th Q C-IV M&amp;O '!N13</f>
        <v>0</v>
      </c>
      <c r="O15" s="19">
        <f>'4th Q C-IV M&amp;O '!O13</f>
        <v>0</v>
      </c>
      <c r="P15" s="19">
        <f>'4th Q C-IV M&amp;O '!P13</f>
        <v>6</v>
      </c>
      <c r="Q15" s="103"/>
    </row>
    <row r="16" spans="1:19" s="98" customFormat="1" ht="14.25" customHeight="1">
      <c r="A16" s="22" t="s">
        <v>13</v>
      </c>
      <c r="B16" s="113">
        <v>43971</v>
      </c>
      <c r="C16" s="129">
        <v>0</v>
      </c>
      <c r="D16" s="113">
        <v>44002</v>
      </c>
      <c r="E16" s="19">
        <f>'4th Q C-IV M&amp;O '!E14</f>
        <v>43040</v>
      </c>
      <c r="F16" s="19">
        <f>'4th Q C-IV M&amp;O '!F14</f>
        <v>43040</v>
      </c>
      <c r="G16" s="19">
        <f>'4th Q C-IV M&amp;O '!G14</f>
        <v>22482</v>
      </c>
      <c r="H16" s="19">
        <f>'4th Q C-IV M&amp;O '!H14</f>
        <v>4495</v>
      </c>
      <c r="I16" s="19">
        <f>'4th Q C-IV M&amp;O '!I14</f>
        <v>14141</v>
      </c>
      <c r="J16" s="19">
        <f>'4th Q C-IV M&amp;O '!J14</f>
        <v>1922</v>
      </c>
      <c r="K16" s="19">
        <f>'4th Q C-IV M&amp;O '!K14</f>
        <v>0</v>
      </c>
      <c r="L16" s="139"/>
      <c r="M16" s="19">
        <f>'4th Q C-IV M&amp;O '!M14</f>
        <v>1838</v>
      </c>
      <c r="N16" s="19">
        <f>'4th Q C-IV M&amp;O '!N14</f>
        <v>37</v>
      </c>
      <c r="O16" s="19">
        <f>'4th Q C-IV M&amp;O '!O14</f>
        <v>47</v>
      </c>
      <c r="P16" s="19">
        <f>'4th Q C-IV M&amp;O '!P14</f>
        <v>1922</v>
      </c>
      <c r="Q16" s="103"/>
    </row>
    <row r="17" spans="1:17" s="98" customFormat="1" ht="14.25" customHeight="1">
      <c r="A17" s="22" t="s">
        <v>11</v>
      </c>
      <c r="B17" s="113">
        <v>43971</v>
      </c>
      <c r="C17" s="745">
        <v>0</v>
      </c>
      <c r="D17" s="113">
        <v>44002</v>
      </c>
      <c r="E17" s="19">
        <f>'4th Q C-IV M&amp;O '!E15+'4th Q C-IV CalHEERS '!E6+'4th Q C-IV CalHEERS '!E7+'4th Q C-IV Covered CA'!E7+'4th Q LRS M&amp;O'!E7+'4th Q LRS CalHEERS'!E7</f>
        <v>10288781</v>
      </c>
      <c r="F17" s="19">
        <f>'4th Q C-IV M&amp;O '!F15+'4th Q C-IV CalHEERS '!F6+'4th Q C-IV CalHEERS '!F7+'4th Q C-IV Covered CA'!F7+'4th Q LRS M&amp;O'!F7+'4th Q LRS CalHEERS'!F7</f>
        <v>10288781</v>
      </c>
      <c r="G17" s="19">
        <f>'4th Q C-IV M&amp;O '!G15+'4th Q C-IV CalHEERS '!G6+'4th Q C-IV CalHEERS '!G7+'4th Q C-IV Covered CA'!G7+'4th Q LRS M&amp;O'!G7+'4th Q LRS CalHEERS'!G7</f>
        <v>6139436</v>
      </c>
      <c r="H17" s="19">
        <f>'4th Q C-IV M&amp;O '!H15+'4th Q C-IV CalHEERS '!H6+'4th Q C-IV CalHEERS '!H7+'4th Q C-IV Covered CA'!H7+'4th Q LRS M&amp;O'!H7+'4th Q LRS CalHEERS'!H7</f>
        <v>919423</v>
      </c>
      <c r="I17" s="19">
        <f>'4th Q C-IV M&amp;O '!I15+'4th Q C-IV CalHEERS '!I6+'4th Q C-IV CalHEERS '!I7+'4th Q C-IV Covered CA'!I7+'4th Q LRS M&amp;O'!I7+'4th Q LRS CalHEERS'!I7</f>
        <v>2766021</v>
      </c>
      <c r="J17" s="19">
        <f>'4th Q C-IV M&amp;O '!J15+'4th Q C-IV CalHEERS '!J6+'4th Q C-IV CalHEERS '!J7+'4th Q C-IV Covered CA'!J7+'4th Q LRS M&amp;O'!J7+'4th Q LRS CalHEERS'!J7</f>
        <v>448759</v>
      </c>
      <c r="K17" s="19">
        <f>'4th Q C-IV M&amp;O '!K15+'4th Q C-IV CalHEERS '!K6+'4th Q C-IV CalHEERS '!K7+'4th Q C-IV Covered CA'!K7+'4th Q LRS M&amp;O'!K7+'4th Q LRS CalHEERS'!K7</f>
        <v>15142</v>
      </c>
      <c r="L17" s="139"/>
      <c r="M17" s="19">
        <f>'4th Q C-IV M&amp;O '!M15+'4th Q LRS M&amp;O'!L7</f>
        <v>369840</v>
      </c>
      <c r="N17" s="19">
        <f>'4th Q C-IV M&amp;O '!N15+'4th Q LRS M&amp;O'!M7</f>
        <v>7325</v>
      </c>
      <c r="O17" s="19">
        <f>'4th Q C-IV M&amp;O '!O15+'4th Q LRS M&amp;O'!N7</f>
        <v>71594</v>
      </c>
      <c r="P17" s="19">
        <f>'4th Q C-IV M&amp;O '!P15+'4th Q LRS M&amp;O'!O7</f>
        <v>448759</v>
      </c>
      <c r="Q17" s="103"/>
    </row>
    <row r="18" spans="1:17" s="98" customFormat="1" ht="13" thickBot="1">
      <c r="A18" s="134" t="s">
        <v>6</v>
      </c>
      <c r="B18" s="121">
        <v>43971</v>
      </c>
      <c r="C18" s="133">
        <v>0</v>
      </c>
      <c r="D18" s="121">
        <v>44002</v>
      </c>
      <c r="E18" s="120">
        <f>'4th Q C-IV M&amp;O '!E16</f>
        <v>29335</v>
      </c>
      <c r="F18" s="120">
        <f>'4th Q C-IV M&amp;O '!F16</f>
        <v>29335</v>
      </c>
      <c r="G18" s="120">
        <f>'4th Q C-IV M&amp;O '!G16</f>
        <v>15323</v>
      </c>
      <c r="H18" s="120">
        <f>'4th Q C-IV M&amp;O '!H16</f>
        <v>3064</v>
      </c>
      <c r="I18" s="120">
        <f>'4th Q C-IV M&amp;O '!I16</f>
        <v>9638</v>
      </c>
      <c r="J18" s="120">
        <f>'4th Q C-IV M&amp;O '!J16</f>
        <v>1310</v>
      </c>
      <c r="K18" s="120">
        <f>'4th Q C-IV M&amp;O '!K16</f>
        <v>0</v>
      </c>
      <c r="L18" s="139"/>
      <c r="M18" s="120">
        <f>'4th Q C-IV M&amp;O '!M16</f>
        <v>1253</v>
      </c>
      <c r="N18" s="120">
        <f>'4th Q C-IV M&amp;O '!N16</f>
        <v>25</v>
      </c>
      <c r="O18" s="120">
        <f>'4th Q C-IV M&amp;O '!O16</f>
        <v>32</v>
      </c>
      <c r="P18" s="120">
        <f>'4th Q C-IV M&amp;O '!P16</f>
        <v>1310</v>
      </c>
      <c r="Q18" s="103"/>
    </row>
    <row r="19" spans="1:17" s="98" customFormat="1">
      <c r="A19" s="22" t="s">
        <v>38</v>
      </c>
      <c r="B19" s="113">
        <v>44002</v>
      </c>
      <c r="C19" s="136">
        <v>0</v>
      </c>
      <c r="D19" s="113">
        <v>44032</v>
      </c>
      <c r="E19" s="19">
        <f>'4th Q C-IV M&amp;O '!E17</f>
        <v>22163</v>
      </c>
      <c r="F19" s="19">
        <f>'4th Q C-IV M&amp;O '!F17</f>
        <v>22163</v>
      </c>
      <c r="G19" s="19">
        <f>'4th Q C-IV M&amp;O '!G17</f>
        <v>11577</v>
      </c>
      <c r="H19" s="19">
        <f>'4th Q C-IV M&amp;O '!H17</f>
        <v>2315</v>
      </c>
      <c r="I19" s="19">
        <f>'4th Q C-IV M&amp;O '!I17</f>
        <v>7282</v>
      </c>
      <c r="J19" s="19">
        <f>'4th Q C-IV M&amp;O '!J17</f>
        <v>989</v>
      </c>
      <c r="K19" s="19">
        <f>'4th Q C-IV M&amp;O '!K17</f>
        <v>0</v>
      </c>
      <c r="L19" s="139"/>
      <c r="M19" s="19">
        <f>'4th Q C-IV M&amp;O '!M17</f>
        <v>946</v>
      </c>
      <c r="N19" s="19">
        <f>'4th Q C-IV M&amp;O '!N17</f>
        <v>19</v>
      </c>
      <c r="O19" s="19">
        <f>'4th Q C-IV M&amp;O '!O17</f>
        <v>24</v>
      </c>
      <c r="P19" s="19">
        <f>'4th Q C-IV M&amp;O '!P17</f>
        <v>989</v>
      </c>
      <c r="Q19" s="103"/>
    </row>
    <row r="20" spans="1:17" s="98" customFormat="1" ht="12" customHeight="1">
      <c r="A20" s="22" t="s">
        <v>25</v>
      </c>
      <c r="B20" s="113">
        <v>44002</v>
      </c>
      <c r="C20" s="129">
        <v>0</v>
      </c>
      <c r="D20" s="113">
        <v>44032</v>
      </c>
      <c r="E20" s="112">
        <f>'4th Q LRS M&amp;O'!E8</f>
        <v>937114</v>
      </c>
      <c r="F20" s="112">
        <f>'4th Q LRS M&amp;O'!F8</f>
        <v>937114</v>
      </c>
      <c r="G20" s="112">
        <f>'4th Q LRS M&amp;O'!G8</f>
        <v>639040</v>
      </c>
      <c r="H20" s="112">
        <f>'4th Q LRS M&amp;O'!H8</f>
        <v>85444</v>
      </c>
      <c r="I20" s="112">
        <f>'4th Q LRS M&amp;O'!I8</f>
        <v>160645</v>
      </c>
      <c r="J20" s="112">
        <f>'4th Q LRS M&amp;O'!J8</f>
        <v>51985</v>
      </c>
      <c r="K20" s="112">
        <f>'4th Q LRS M&amp;O'!K8</f>
        <v>0</v>
      </c>
      <c r="L20" s="139"/>
      <c r="M20" s="112">
        <f>'4th Q LRS M&amp;O'!L8</f>
        <v>33187</v>
      </c>
      <c r="N20" s="112">
        <f>'4th Q LRS M&amp;O'!M8</f>
        <v>618</v>
      </c>
      <c r="O20" s="112">
        <f>'4th Q LRS M&amp;O'!N8</f>
        <v>18180</v>
      </c>
      <c r="P20" s="112">
        <f>'4th Q LRS M&amp;O'!O8</f>
        <v>51985</v>
      </c>
      <c r="Q20" s="103"/>
    </row>
    <row r="21" spans="1:17" s="98" customFormat="1" ht="12" customHeight="1">
      <c r="A21" s="22" t="s">
        <v>20</v>
      </c>
      <c r="B21" s="113">
        <v>44002</v>
      </c>
      <c r="C21" s="129">
        <v>0</v>
      </c>
      <c r="D21" s="113">
        <v>44032</v>
      </c>
      <c r="E21" s="112">
        <f>'4th Q C-IV M&amp;O '!E18+'4th Q C-IV Covered CA'!E8</f>
        <v>34968</v>
      </c>
      <c r="F21" s="112">
        <f>'4th Q C-IV M&amp;O '!F18+'4th Q C-IV Covered CA'!F8</f>
        <v>34968</v>
      </c>
      <c r="G21" s="112">
        <f>'4th Q C-IV M&amp;O '!G18+'4th Q C-IV Covered CA'!G8</f>
        <v>20918</v>
      </c>
      <c r="H21" s="112">
        <f>'4th Q C-IV M&amp;O '!H18+'4th Q C-IV Covered CA'!H8</f>
        <v>2436</v>
      </c>
      <c r="I21" s="112">
        <f>'4th Q C-IV M&amp;O '!I18+'4th Q C-IV Covered CA'!I8</f>
        <v>10573</v>
      </c>
      <c r="J21" s="112">
        <f>'4th Q C-IV M&amp;O '!J18+'4th Q C-IV Covered CA'!J8</f>
        <v>1041</v>
      </c>
      <c r="K21" s="112">
        <f>'4th Q C-IV M&amp;O '!K18+'4th Q C-IV Covered CA'!K8</f>
        <v>0</v>
      </c>
      <c r="L21" s="139"/>
      <c r="M21" s="112">
        <f>'4th Q C-IV M&amp;O '!M18+'4th Q C-IV Covered CA'!M8</f>
        <v>995</v>
      </c>
      <c r="N21" s="112">
        <f>'4th Q C-IV M&amp;O '!N18+'4th Q C-IV Covered CA'!N8</f>
        <v>20</v>
      </c>
      <c r="O21" s="112">
        <f>'4th Q C-IV M&amp;O '!O18+'4th Q C-IV Covered CA'!O8</f>
        <v>26</v>
      </c>
      <c r="P21" s="112">
        <f>'4th Q C-IV M&amp;O '!P18+'4th Q C-IV Covered CA'!P8</f>
        <v>1041</v>
      </c>
      <c r="Q21" s="103"/>
    </row>
    <row r="22" spans="1:17" s="98" customFormat="1">
      <c r="A22" s="22" t="s">
        <v>13</v>
      </c>
      <c r="B22" s="113">
        <v>44002</v>
      </c>
      <c r="C22" s="129">
        <v>0</v>
      </c>
      <c r="D22" s="113">
        <v>44032</v>
      </c>
      <c r="E22" s="112">
        <f>'4th Q C-IV M&amp;O '!E19</f>
        <v>41556</v>
      </c>
      <c r="F22" s="112">
        <f>'4th Q C-IV M&amp;O '!F19</f>
        <v>41556</v>
      </c>
      <c r="G22" s="112">
        <f>'4th Q C-IV M&amp;O '!G19</f>
        <v>21706</v>
      </c>
      <c r="H22" s="112">
        <f>'4th Q C-IV M&amp;O '!H19</f>
        <v>4340</v>
      </c>
      <c r="I22" s="112">
        <f>'4th Q C-IV M&amp;O '!I19</f>
        <v>13653</v>
      </c>
      <c r="J22" s="112">
        <f>'4th Q C-IV M&amp;O '!J19</f>
        <v>1857</v>
      </c>
      <c r="K22" s="112">
        <f>'4th Q C-IV M&amp;O '!K19</f>
        <v>0</v>
      </c>
      <c r="L22" s="139"/>
      <c r="M22" s="112">
        <f>'4th Q C-IV M&amp;O '!M19</f>
        <v>1775</v>
      </c>
      <c r="N22" s="112">
        <f>'4th Q C-IV M&amp;O '!N19</f>
        <v>36</v>
      </c>
      <c r="O22" s="112">
        <f>'4th Q C-IV M&amp;O '!O19</f>
        <v>46</v>
      </c>
      <c r="P22" s="112">
        <f>'4th Q C-IV M&amp;O '!P19</f>
        <v>1857</v>
      </c>
      <c r="Q22" s="103"/>
    </row>
    <row r="23" spans="1:17" s="98" customFormat="1">
      <c r="A23" s="22" t="s">
        <v>11</v>
      </c>
      <c r="B23" s="113">
        <v>44002</v>
      </c>
      <c r="C23" s="129">
        <v>0</v>
      </c>
      <c r="D23" s="113">
        <v>44032</v>
      </c>
      <c r="E23" s="112">
        <f>'4th Q C-IV M&amp;O '!E20+'4th Q C-IV CalHEERS '!E8+'4th Q C-IV CalHEERS '!E9+'4th Q C-IV Covered CA'!E9+'4th Q LRS M&amp;O'!E9+'4th Q LRS CalHEERS'!E8+'4th Q LRS CalHEERS'!E9+'3rd Q LRS Cloud Enablement'!E6</f>
        <v>28166987</v>
      </c>
      <c r="F23" s="112">
        <f>'4th Q C-IV M&amp;O '!F20+'4th Q C-IV CalHEERS '!F8+'4th Q C-IV CalHEERS '!F9+'4th Q C-IV Covered CA'!F9+'4th Q LRS M&amp;O'!F9+'4th Q LRS CalHEERS'!F8+'4th Q LRS CalHEERS'!F9+'3rd Q LRS Cloud Enablement'!F6</f>
        <v>28166987</v>
      </c>
      <c r="G23" s="112">
        <f>'4th Q C-IV M&amp;O '!G20+'4th Q C-IV CalHEERS '!G8+'4th Q C-IV CalHEERS '!G9+'4th Q C-IV Covered CA'!G9+'4th Q LRS M&amp;O'!G9+'4th Q LRS CalHEERS'!G8+'4th Q LRS CalHEERS'!G9+'3rd Q LRS Cloud Enablement'!G6</f>
        <v>16793836</v>
      </c>
      <c r="H23" s="112">
        <f>'4th Q C-IV M&amp;O '!H20+'4th Q C-IV CalHEERS '!H8+'4th Q C-IV CalHEERS '!H9+'4th Q C-IV Covered CA'!H9+'4th Q LRS M&amp;O'!H9+'4th Q LRS CalHEERS'!H8+'4th Q LRS CalHEERS'!H9+'3rd Q LRS Cloud Enablement'!H6</f>
        <v>2571585</v>
      </c>
      <c r="I23" s="112">
        <f>'4th Q C-IV M&amp;O '!I20+'4th Q C-IV CalHEERS '!I8+'4th Q C-IV CalHEERS '!I9+'4th Q C-IV Covered CA'!I9+'4th Q LRS M&amp;O'!I9+'4th Q LRS CalHEERS'!I8+'4th Q LRS CalHEERS'!I9+'3rd Q LRS Cloud Enablement'!I6</f>
        <v>7463007</v>
      </c>
      <c r="J23" s="112">
        <f>'4th Q C-IV M&amp;O '!J20+'4th Q C-IV CalHEERS '!J8+'4th Q C-IV CalHEERS '!J9+'4th Q C-IV Covered CA'!J9+'4th Q LRS M&amp;O'!J9+'4th Q LRS CalHEERS'!J8+'4th Q LRS CalHEERS'!J9+'3rd Q LRS Cloud Enablement'!J6</f>
        <v>1267886</v>
      </c>
      <c r="K23" s="112">
        <f>'4th Q C-IV M&amp;O '!K20+'4th Q C-IV CalHEERS '!K8+'4th Q C-IV CalHEERS '!K9+'4th Q C-IV Covered CA'!K9+'4th Q LRS M&amp;O'!K9+'4th Q LRS CalHEERS'!K8+'4th Q LRS CalHEERS'!K9+'3rd Q LRS Cloud Enablement'!K6</f>
        <v>70673</v>
      </c>
      <c r="L23" s="139"/>
      <c r="M23" s="112">
        <f>'4th Q C-IV M&amp;O '!M20+'4th Q LRS M&amp;O'!L9</f>
        <v>1032971</v>
      </c>
      <c r="N23" s="112">
        <f>'4th Q C-IV M&amp;O '!N20+'4th Q LRS M&amp;O'!M9</f>
        <v>20414</v>
      </c>
      <c r="O23" s="112">
        <f>'4th Q C-IV M&amp;O '!O20+'4th Q LRS M&amp;O'!N9</f>
        <v>214501</v>
      </c>
      <c r="P23" s="112">
        <f>'4th Q C-IV M&amp;O '!P20+'4th Q LRS M&amp;O'!O9</f>
        <v>1267886</v>
      </c>
      <c r="Q23" s="103"/>
    </row>
    <row r="24" spans="1:17" s="98" customFormat="1">
      <c r="A24" s="22" t="s">
        <v>11</v>
      </c>
      <c r="B24" s="113">
        <v>43910</v>
      </c>
      <c r="C24" s="754">
        <v>1</v>
      </c>
      <c r="D24" s="113">
        <v>44032</v>
      </c>
      <c r="E24" s="112">
        <v>0</v>
      </c>
      <c r="F24" s="112">
        <v>0</v>
      </c>
      <c r="G24" s="112">
        <v>0</v>
      </c>
      <c r="H24" s="112">
        <v>0</v>
      </c>
      <c r="I24" s="112">
        <v>0</v>
      </c>
      <c r="J24" s="112">
        <v>0</v>
      </c>
      <c r="K24" s="112">
        <v>0</v>
      </c>
      <c r="L24" s="139"/>
      <c r="M24" s="112">
        <v>0</v>
      </c>
      <c r="N24" s="112">
        <v>0</v>
      </c>
      <c r="O24" s="112">
        <v>0</v>
      </c>
      <c r="P24" s="112">
        <v>0</v>
      </c>
      <c r="Q24" s="103"/>
    </row>
    <row r="25" spans="1:17" s="98" customFormat="1">
      <c r="A25" s="22" t="s">
        <v>11</v>
      </c>
      <c r="B25" s="113">
        <v>43941</v>
      </c>
      <c r="C25" s="754">
        <v>1</v>
      </c>
      <c r="D25" s="113">
        <v>44032</v>
      </c>
      <c r="E25" s="112">
        <f>'4th Q C-IV M&amp;O '!E22</f>
        <v>-62658</v>
      </c>
      <c r="F25" s="112">
        <f>'4th Q C-IV M&amp;O '!F22</f>
        <v>-62658</v>
      </c>
      <c r="G25" s="112">
        <f>'4th Q C-IV M&amp;O '!G22</f>
        <v>-32728</v>
      </c>
      <c r="H25" s="112">
        <f>'4th Q C-IV M&amp;O '!H22</f>
        <v>-6545</v>
      </c>
      <c r="I25" s="112">
        <f>'4th Q C-IV M&amp;O '!I22</f>
        <v>-20586</v>
      </c>
      <c r="J25" s="112">
        <f>'4th Q C-IV M&amp;O '!J22</f>
        <v>-2799</v>
      </c>
      <c r="K25" s="112">
        <f>'4th Q C-IV M&amp;O '!K22</f>
        <v>0</v>
      </c>
      <c r="L25" s="139"/>
      <c r="M25" s="112">
        <f>'4th Q C-IV M&amp;O '!M22</f>
        <v>-2676</v>
      </c>
      <c r="N25" s="112">
        <f>'4th Q C-IV M&amp;O '!N22</f>
        <v>-54</v>
      </c>
      <c r="O25" s="112">
        <f>'4th Q C-IV M&amp;O '!O22</f>
        <v>-69</v>
      </c>
      <c r="P25" s="112">
        <f>'4th Q C-IV M&amp;O '!P22</f>
        <v>0</v>
      </c>
      <c r="Q25" s="103"/>
    </row>
    <row r="26" spans="1:17" s="98" customFormat="1">
      <c r="A26" s="22" t="s">
        <v>11</v>
      </c>
      <c r="B26" s="113">
        <v>43971</v>
      </c>
      <c r="C26" s="754">
        <v>1</v>
      </c>
      <c r="D26" s="113">
        <v>44032</v>
      </c>
      <c r="E26" s="112">
        <f>'4th Q C-IV M&amp;O '!E23</f>
        <v>-258948</v>
      </c>
      <c r="F26" s="112">
        <f>'4th Q C-IV M&amp;O '!F23</f>
        <v>-258948</v>
      </c>
      <c r="G26" s="112">
        <f>'4th Q C-IV M&amp;O '!G23</f>
        <v>-135261</v>
      </c>
      <c r="H26" s="112">
        <f>'4th Q C-IV M&amp;O '!H23</f>
        <v>-27038</v>
      </c>
      <c r="I26" s="112">
        <f>'4th Q C-IV M&amp;O '!I23</f>
        <v>-85077</v>
      </c>
      <c r="J26" s="112">
        <f>'4th Q C-IV M&amp;O '!J23</f>
        <v>-11572</v>
      </c>
      <c r="K26" s="112">
        <f>'4th Q C-IV M&amp;O '!K23</f>
        <v>0</v>
      </c>
      <c r="L26" s="139"/>
      <c r="M26" s="112">
        <f>'4th Q C-IV M&amp;O '!M23</f>
        <v>-11062</v>
      </c>
      <c r="N26" s="112">
        <f>'4th Q C-IV M&amp;O '!N23</f>
        <v>-225</v>
      </c>
      <c r="O26" s="112">
        <f>'4th Q C-IV M&amp;O '!O23</f>
        <v>-285</v>
      </c>
      <c r="P26" s="112">
        <f>'4th Q C-IV M&amp;O '!P23</f>
        <v>0</v>
      </c>
      <c r="Q26" s="103"/>
    </row>
    <row r="27" spans="1:17" s="98" customFormat="1">
      <c r="A27" s="22" t="s">
        <v>6</v>
      </c>
      <c r="B27" s="113">
        <v>44002</v>
      </c>
      <c r="C27" s="136">
        <v>0</v>
      </c>
      <c r="D27" s="113">
        <v>44032</v>
      </c>
      <c r="E27" s="19">
        <f>'4th Q C-IV M&amp;O '!E24</f>
        <v>28565</v>
      </c>
      <c r="F27" s="19">
        <f>'4th Q C-IV M&amp;O '!F24</f>
        <v>28565</v>
      </c>
      <c r="G27" s="19">
        <f>'4th Q C-IV M&amp;O '!G24</f>
        <v>14920</v>
      </c>
      <c r="H27" s="19">
        <f>'4th Q C-IV M&amp;O '!H24</f>
        <v>2985</v>
      </c>
      <c r="I27" s="19">
        <f>'4th Q C-IV M&amp;O '!I24</f>
        <v>9385</v>
      </c>
      <c r="J27" s="19">
        <f>'4th Q C-IV M&amp;O '!J24</f>
        <v>1275</v>
      </c>
      <c r="K27" s="19">
        <f>'4th Q C-IV M&amp;O '!K24</f>
        <v>0</v>
      </c>
      <c r="L27" s="139"/>
      <c r="M27" s="19">
        <f>'4th Q C-IV M&amp;O '!M24</f>
        <v>1220</v>
      </c>
      <c r="N27" s="19">
        <f>'4th Q C-IV M&amp;O '!N24</f>
        <v>24</v>
      </c>
      <c r="O27" s="19">
        <f>'4th Q C-IV M&amp;O '!O24</f>
        <v>31</v>
      </c>
      <c r="P27" s="19">
        <f>'4th Q C-IV M&amp;O '!P24</f>
        <v>1275</v>
      </c>
      <c r="Q27" s="103"/>
    </row>
    <row r="28" spans="1:17" ht="5.25" customHeight="1">
      <c r="A28" s="128"/>
      <c r="B28" s="127"/>
      <c r="C28" s="17"/>
      <c r="D28" s="17"/>
      <c r="E28" s="17"/>
      <c r="F28" s="17"/>
      <c r="G28" s="17"/>
      <c r="H28" s="17"/>
      <c r="I28" s="17"/>
      <c r="J28" s="126"/>
      <c r="K28" s="17"/>
      <c r="L28" s="139"/>
      <c r="M28" s="17"/>
      <c r="N28" s="126"/>
      <c r="O28" s="126"/>
      <c r="P28" s="126"/>
      <c r="Q28" s="103"/>
    </row>
    <row r="29" spans="1:17" s="98" customFormat="1">
      <c r="A29" s="124" t="s">
        <v>59</v>
      </c>
      <c r="B29" s="124"/>
      <c r="C29" s="19"/>
      <c r="D29" s="114">
        <v>43971</v>
      </c>
      <c r="E29" s="19">
        <f t="shared" ref="E29:G31" si="0">SUMIF($D$4:$D$27,$D29,E$4:E$27)</f>
        <v>8647143</v>
      </c>
      <c r="F29" s="19">
        <f t="shared" si="0"/>
        <v>8647143</v>
      </c>
      <c r="G29" s="19">
        <f t="shared" si="0"/>
        <v>5480340</v>
      </c>
      <c r="H29" s="19">
        <f>SUMIF($D$4:$D$27,$D29,H$4:H$29)</f>
        <v>753305</v>
      </c>
      <c r="I29" s="19">
        <f>SUMIF($D$4:$D$27,$D29,I$4:I$29)</f>
        <v>2054012</v>
      </c>
      <c r="J29" s="19">
        <f>SUMIF($D$4:$D$27,$D29,J$4:J$29)</f>
        <v>398921</v>
      </c>
      <c r="K29" s="19">
        <f>SUMIF($D$4:$D$27,$D29,K$4:K$29)</f>
        <v>-39435</v>
      </c>
      <c r="L29" s="139"/>
      <c r="M29" s="19">
        <f>SUMIF($D$4:$D$27,$D29,M$4:M$29)</f>
        <v>299426</v>
      </c>
      <c r="N29" s="19">
        <f>SUMIF($D$4:$D$27,$D29,N$4:N$29)</f>
        <v>5811</v>
      </c>
      <c r="O29" s="19">
        <f>SUMIF($D$4:$D$27,$D29,O$4:O$29)</f>
        <v>93684</v>
      </c>
      <c r="P29" s="19">
        <f>SUMIF($D$4:$D$27,$D29,P$4:P$29)</f>
        <v>398921</v>
      </c>
      <c r="Q29" s="103"/>
    </row>
    <row r="30" spans="1:17">
      <c r="A30" s="124" t="s">
        <v>59</v>
      </c>
      <c r="B30" s="124"/>
      <c r="C30" s="19"/>
      <c r="D30" s="114">
        <v>44002</v>
      </c>
      <c r="E30" s="19">
        <f t="shared" si="0"/>
        <v>11379576</v>
      </c>
      <c r="F30" s="19">
        <f t="shared" si="0"/>
        <v>11379576</v>
      </c>
      <c r="G30" s="19">
        <f t="shared" si="0"/>
        <v>6863767</v>
      </c>
      <c r="H30" s="19">
        <f t="shared" ref="H30:K31" si="1">SUMIF($D$4:$D$27,$D30,H$4:H$27)</f>
        <v>1019004</v>
      </c>
      <c r="I30" s="19">
        <f t="shared" si="1"/>
        <v>2974768</v>
      </c>
      <c r="J30" s="19">
        <f t="shared" si="1"/>
        <v>506895</v>
      </c>
      <c r="K30" s="19">
        <f t="shared" si="1"/>
        <v>15142</v>
      </c>
      <c r="L30" s="139"/>
      <c r="M30" s="19">
        <f t="shared" ref="M30:P31" si="2">SUMIF($D$4:$D$27,$D30,M$4:M$27)</f>
        <v>408796</v>
      </c>
      <c r="N30" s="19">
        <f t="shared" si="2"/>
        <v>8058</v>
      </c>
      <c r="O30" s="19">
        <f t="shared" si="2"/>
        <v>90041</v>
      </c>
      <c r="P30" s="19">
        <f t="shared" si="2"/>
        <v>506895</v>
      </c>
      <c r="Q30" s="103"/>
    </row>
    <row r="31" spans="1:17" ht="13" thickBot="1">
      <c r="A31" s="123" t="s">
        <v>59</v>
      </c>
      <c r="B31" s="122"/>
      <c r="C31" s="120"/>
      <c r="D31" s="121">
        <v>44032</v>
      </c>
      <c r="E31" s="120">
        <f t="shared" si="0"/>
        <v>28909747</v>
      </c>
      <c r="F31" s="120">
        <f t="shared" si="0"/>
        <v>28909747</v>
      </c>
      <c r="G31" s="120">
        <f t="shared" si="0"/>
        <v>17334008</v>
      </c>
      <c r="H31" s="120">
        <f t="shared" si="1"/>
        <v>2635522</v>
      </c>
      <c r="I31" s="120">
        <f t="shared" si="1"/>
        <v>7558882</v>
      </c>
      <c r="J31" s="120">
        <f t="shared" si="1"/>
        <v>1310662</v>
      </c>
      <c r="K31" s="119">
        <f t="shared" si="1"/>
        <v>70673</v>
      </c>
      <c r="L31" s="139"/>
      <c r="M31" s="120">
        <f t="shared" si="2"/>
        <v>1057356</v>
      </c>
      <c r="N31" s="120">
        <f t="shared" si="2"/>
        <v>20852</v>
      </c>
      <c r="O31" s="120">
        <f t="shared" si="2"/>
        <v>232454</v>
      </c>
      <c r="P31" s="120">
        <f t="shared" si="2"/>
        <v>1325033</v>
      </c>
      <c r="Q31" s="103"/>
    </row>
    <row r="32" spans="1:17" ht="13" thickBot="1">
      <c r="A32" s="118" t="s">
        <v>58</v>
      </c>
      <c r="B32" s="117"/>
      <c r="C32" s="116"/>
      <c r="D32" s="117"/>
      <c r="E32" s="116">
        <f t="shared" ref="E32:J32" si="3">SUM(E29:E31)</f>
        <v>48936466</v>
      </c>
      <c r="F32" s="116">
        <f t="shared" si="3"/>
        <v>48936466</v>
      </c>
      <c r="G32" s="116">
        <f t="shared" si="3"/>
        <v>29678115</v>
      </c>
      <c r="H32" s="116">
        <f t="shared" si="3"/>
        <v>4407831</v>
      </c>
      <c r="I32" s="116">
        <f t="shared" si="3"/>
        <v>12587662</v>
      </c>
      <c r="J32" s="255">
        <f t="shared" si="3"/>
        <v>2216478</v>
      </c>
      <c r="K32" s="203">
        <f>SUM(K29:K31)</f>
        <v>46380</v>
      </c>
      <c r="L32" s="139"/>
      <c r="M32" s="115">
        <f>SUM(M29:M31)</f>
        <v>1765578</v>
      </c>
      <c r="N32" s="115">
        <f>SUM(N29:N31)</f>
        <v>34721</v>
      </c>
      <c r="O32" s="115">
        <f>SUM(O29:O31)</f>
        <v>416179</v>
      </c>
      <c r="P32" s="115">
        <f>SUM(P29:P31)</f>
        <v>2230849</v>
      </c>
      <c r="Q32" s="103"/>
    </row>
    <row r="33" spans="1:17">
      <c r="A33" s="22" t="s">
        <v>57</v>
      </c>
      <c r="B33" s="262"/>
      <c r="C33" s="114"/>
      <c r="D33" s="113"/>
      <c r="E33" s="112"/>
      <c r="F33" s="112"/>
      <c r="G33" s="112">
        <f ca="1">'4th Q C-IV M&amp;O '!G30+'4th Q C-IV CalHEERS '!G15+'4th Q C-IV Covered CA'!G15+'4th Q LRS M&amp;O'!G15+'4th Q LRS CalHEERS'!G15</f>
        <v>11</v>
      </c>
      <c r="H33" s="112">
        <f ca="1">'4th Q C-IV M&amp;O '!H30+'4th Q C-IV CalHEERS '!H15+'4th Q C-IV Covered CA'!H15+'4th Q LRS M&amp;O'!H15+'4th Q LRS CalHEERS'!H15+'3rd Q LRS Cloud Enablement'!H12</f>
        <v>-19</v>
      </c>
      <c r="I33" s="112">
        <f ca="1">'4th Q C-IV M&amp;O '!I30+'4th Q C-IV CalHEERS '!I15+'4th Q C-IV Covered CA'!I15+'4th Q LRS M&amp;O'!I15+'4th Q LRS CalHEERS'!I15+'3rd Q LRS Cloud Enablement'!I12</f>
        <v>-8</v>
      </c>
      <c r="J33" s="112">
        <f ca="1">'4th Q C-IV M&amp;O '!J30+'4th Q C-IV CalHEERS '!J15+'4th Q C-IV Covered CA'!J15+'4th Q LRS M&amp;O'!J15+'4th Q LRS CalHEERS'!J15+'3rd Q LRS Cloud Enablement'!J12</f>
        <v>16</v>
      </c>
      <c r="K33" s="112">
        <f>'4th Q C-IV M&amp;O '!K30+'4th Q C-IV CalHEERS '!K15+'4th Q C-IV Covered CA'!K15+'4th Q LRS M&amp;O'!K15+'4th Q LRS CalHEERS'!K15+'3rd Q LRS Cloud Enablement'!K12</f>
        <v>0</v>
      </c>
      <c r="L33" s="139"/>
      <c r="M33" s="112">
        <f ca="1">'4th Q C-IV M&amp;O '!M30+'4th Q C-IV CalHEERS '!M15+'4th Q C-IV Covered CA'!M15+'4th Q LRS M&amp;O'!L15+'3rd Q LRS Cloud Enablement'!M12</f>
        <v>9</v>
      </c>
      <c r="N33" s="112">
        <f ca="1">'4th Q C-IV M&amp;O '!N30+'4th Q C-IV CalHEERS '!N15+'4th Q C-IV Covered CA'!N15+'4th Q LRS M&amp;O'!M15+'3rd Q LRS Cloud Enablement'!N12</f>
        <v>7</v>
      </c>
      <c r="O33" s="112">
        <f ca="1">'4th Q C-IV M&amp;O '!O30+'4th Q C-IV CalHEERS '!O15+'4th Q C-IV Covered CA'!O15+'4th Q LRS M&amp;O'!N15+'3rd Q LRS Cloud Enablement'!O12</f>
        <v>0</v>
      </c>
      <c r="P33" s="112">
        <f ca="1">'4th Q C-IV M&amp;O '!P30+'4th Q C-IV CalHEERS '!P15+'4th Q C-IV Covered CA'!P15+'4th Q LRS M&amp;O'!O15+'4th Q LRS CalHEERS'!J15+'3rd Q LRS Cloud Enablement'!P12</f>
        <v>16</v>
      </c>
      <c r="Q33" s="103"/>
    </row>
    <row r="34" spans="1:17" ht="3" customHeight="1">
      <c r="A34" s="111"/>
      <c r="B34" s="110"/>
      <c r="C34" s="107"/>
      <c r="D34" s="107"/>
      <c r="E34" s="107"/>
      <c r="F34" s="107"/>
      <c r="G34" s="107"/>
      <c r="H34" s="107"/>
      <c r="I34" s="107"/>
      <c r="J34" s="109"/>
      <c r="K34" s="197"/>
      <c r="M34" s="197"/>
      <c r="N34" s="107"/>
      <c r="O34" s="107"/>
      <c r="P34" s="107"/>
      <c r="Q34" s="103"/>
    </row>
    <row r="35" spans="1:17" ht="13">
      <c r="A35" s="106" t="s">
        <v>48</v>
      </c>
      <c r="B35" s="263" t="s">
        <v>303</v>
      </c>
      <c r="C35" s="104"/>
      <c r="D35" s="62"/>
      <c r="E35" s="62">
        <f t="shared" ref="E35:K35" si="4">SUM(E32:E33)</f>
        <v>48936466</v>
      </c>
      <c r="F35" s="18">
        <f ca="1">SUM(G35:K35)</f>
        <v>48936466</v>
      </c>
      <c r="G35" s="62">
        <f t="shared" ca="1" si="4"/>
        <v>29678126</v>
      </c>
      <c r="H35" s="62">
        <f t="shared" ca="1" si="4"/>
        <v>4407812</v>
      </c>
      <c r="I35" s="62">
        <f t="shared" ca="1" si="4"/>
        <v>12587654</v>
      </c>
      <c r="J35" s="18">
        <f t="shared" ca="1" si="4"/>
        <v>2216494</v>
      </c>
      <c r="K35" s="62">
        <f t="shared" si="4"/>
        <v>46380</v>
      </c>
      <c r="L35" s="97"/>
      <c r="M35" s="62">
        <f ca="1">SUM(M32:M33)</f>
        <v>1765587</v>
      </c>
      <c r="N35" s="62">
        <f ca="1">SUM(N32:N33)</f>
        <v>34728</v>
      </c>
      <c r="O35" s="62">
        <f ca="1">SUM(O32:O33)</f>
        <v>416179</v>
      </c>
      <c r="P35" s="18">
        <f ca="1">SUM(P32:P33)</f>
        <v>2230865</v>
      </c>
      <c r="Q35" s="103"/>
    </row>
    <row r="36" spans="1:17" s="98" customFormat="1" ht="13">
      <c r="D36" s="102"/>
      <c r="E36" s="760"/>
      <c r="F36" s="736"/>
      <c r="G36" s="736"/>
      <c r="H36" s="309"/>
      <c r="I36" s="310"/>
      <c r="J36" s="310"/>
      <c r="K36" s="310"/>
      <c r="L36" s="100"/>
      <c r="M36" s="89"/>
      <c r="N36" s="89"/>
      <c r="O36" s="89"/>
      <c r="P36" s="103"/>
    </row>
    <row r="37" spans="1:17" s="98" customFormat="1" ht="13">
      <c r="D37" s="102"/>
      <c r="E37" s="760"/>
      <c r="F37" s="736"/>
      <c r="G37" s="736"/>
      <c r="H37" s="309"/>
      <c r="I37" s="310"/>
      <c r="J37" s="310"/>
      <c r="K37" s="310"/>
      <c r="L37" s="100"/>
      <c r="M37" s="89"/>
      <c r="N37" s="89"/>
      <c r="O37" s="89"/>
      <c r="P37" s="103"/>
    </row>
    <row r="38" spans="1:17">
      <c r="E38" s="760"/>
      <c r="F38" s="736"/>
      <c r="G38" s="736"/>
      <c r="H38" s="277"/>
      <c r="I38" s="277"/>
      <c r="J38" s="277"/>
      <c r="K38" s="277"/>
      <c r="L38" s="278"/>
      <c r="M38" s="96"/>
      <c r="N38" s="96"/>
      <c r="O38" s="96"/>
      <c r="P38" s="257"/>
    </row>
    <row r="39" spans="1:17">
      <c r="A39" s="95"/>
      <c r="D39" s="94"/>
      <c r="F39" s="736"/>
      <c r="G39" s="736"/>
      <c r="I39" s="13"/>
      <c r="K39" s="93"/>
      <c r="L39" s="256"/>
      <c r="M39" s="92"/>
      <c r="N39" s="91"/>
      <c r="O39" s="91"/>
      <c r="P39" s="257"/>
    </row>
    <row r="40" spans="1:17">
      <c r="A40" s="95"/>
      <c r="B40" s="87"/>
      <c r="E40" s="88"/>
      <c r="F40" s="13"/>
      <c r="G40" s="91"/>
      <c r="H40" s="91"/>
      <c r="I40" s="91"/>
      <c r="J40" s="91"/>
      <c r="K40" s="91"/>
      <c r="L40" s="86"/>
      <c r="M40" s="91"/>
      <c r="N40" s="91"/>
      <c r="O40" s="91"/>
      <c r="P40" s="90"/>
    </row>
    <row r="41" spans="1:17">
      <c r="A41" s="95" t="s">
        <v>56</v>
      </c>
      <c r="B41" s="89"/>
      <c r="E41" s="88"/>
      <c r="F41" s="13"/>
      <c r="G41" s="89"/>
      <c r="H41" s="89"/>
      <c r="I41" s="89"/>
      <c r="J41" s="89"/>
      <c r="K41" s="89"/>
      <c r="L41" s="86"/>
      <c r="M41" s="13"/>
      <c r="N41" s="13"/>
      <c r="O41" s="13"/>
      <c r="P41" s="13"/>
    </row>
    <row r="42" spans="1:17">
      <c r="E42" s="88"/>
      <c r="F42" s="13"/>
      <c r="G42" s="13"/>
      <c r="H42" s="13"/>
      <c r="I42" s="13"/>
      <c r="J42" s="13"/>
      <c r="K42" s="13"/>
      <c r="L42" s="86"/>
      <c r="M42" s="13"/>
      <c r="N42" s="13"/>
      <c r="O42" s="13"/>
      <c r="P42" s="13"/>
    </row>
    <row r="43" spans="1:17">
      <c r="B43" s="13"/>
      <c r="E43" s="13"/>
      <c r="F43" s="13"/>
      <c r="I43" s="13"/>
      <c r="J43" s="13"/>
      <c r="K43" s="13"/>
      <c r="L43" s="86"/>
      <c r="M43" s="13"/>
      <c r="N43" s="13"/>
      <c r="O43" s="13"/>
      <c r="P43" s="13"/>
    </row>
    <row r="44" spans="1:17">
      <c r="E44" s="13"/>
      <c r="F44" s="13"/>
      <c r="J44" s="13"/>
      <c r="K44" s="13"/>
      <c r="L44" s="86"/>
      <c r="M44" s="13"/>
      <c r="N44" s="13"/>
      <c r="O44" s="13"/>
      <c r="P44" s="13"/>
    </row>
    <row r="45" spans="1:17">
      <c r="D45" s="87"/>
      <c r="E45" s="13"/>
      <c r="F45" s="13"/>
      <c r="J45" s="13"/>
      <c r="K45" s="13"/>
      <c r="L45" s="86"/>
      <c r="M45" s="13"/>
      <c r="N45" s="13"/>
      <c r="O45" s="13"/>
      <c r="P45" s="13"/>
    </row>
    <row r="46" spans="1:17">
      <c r="E46" s="13"/>
      <c r="F46" s="13"/>
      <c r="I46" s="13"/>
      <c r="J46" s="13"/>
      <c r="K46" s="13"/>
      <c r="L46" s="86"/>
      <c r="M46" s="13"/>
      <c r="N46" s="13"/>
      <c r="O46" s="13"/>
      <c r="P46" s="13"/>
    </row>
    <row r="47" spans="1:17">
      <c r="D47" s="13"/>
      <c r="F47" s="86"/>
      <c r="H47" s="87"/>
    </row>
    <row r="48" spans="1:17">
      <c r="D48" s="13"/>
      <c r="E48" s="13"/>
      <c r="F48" s="86"/>
    </row>
    <row r="49" spans="4:6">
      <c r="D49" s="13"/>
      <c r="F49" s="86"/>
    </row>
  </sheetData>
  <mergeCells count="1">
    <mergeCell ref="A1:K1"/>
  </mergeCells>
  <conditionalFormatting sqref="L35 H38:K38">
    <cfRule type="cellIs" dxfId="31" priority="5" operator="lessThan">
      <formula>0</formula>
    </cfRule>
    <cfRule type="cellIs" dxfId="30" priority="6" operator="greaterThan">
      <formula>0</formula>
    </cfRule>
  </conditionalFormatting>
  <pageMargins left="0.7" right="0.7" top="0.75" bottom="0.75" header="0.3" footer="0.3"/>
  <pageSetup scale="62" orientation="landscape" r:id="rId1"/>
  <headerFooter>
    <oddHeader>&amp;CCalACES Maintenance and Operations Project 
County Claim Summary</oddHead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R43"/>
  <sheetViews>
    <sheetView showGridLines="0" zoomScaleNormal="100" workbookViewId="0">
      <pane xSplit="2" ySplit="3" topLeftCell="C4" activePane="bottomRight" state="frozen"/>
      <selection activeCell="R32" sqref="R32"/>
      <selection pane="topRight" activeCell="R32" sqref="R32"/>
      <selection pane="bottomLeft" activeCell="R32" sqref="R32"/>
      <selection pane="bottomRight" activeCell="A3" sqref="A3"/>
    </sheetView>
  </sheetViews>
  <sheetFormatPr defaultColWidth="9.1796875" defaultRowHeight="12.5"/>
  <cols>
    <col min="1" max="1" width="19.453125" style="68" customWidth="1"/>
    <col min="2" max="2" width="14.81640625" style="68" customWidth="1"/>
    <col min="3" max="4" width="14" style="68" bestFit="1" customWidth="1"/>
    <col min="5" max="5" width="14.54296875" style="68" customWidth="1"/>
    <col min="6" max="6" width="12.453125" style="68" bestFit="1" customWidth="1"/>
    <col min="7" max="7" width="13.26953125" style="68" customWidth="1"/>
    <col min="8" max="11" width="11.54296875" style="68" customWidth="1"/>
    <col min="12" max="12" width="6" style="68" customWidth="1"/>
    <col min="13" max="13" width="14" style="68" bestFit="1" customWidth="1"/>
    <col min="14" max="14" width="13.54296875" style="68" customWidth="1"/>
    <col min="15" max="15" width="14.54296875" style="68" customWidth="1"/>
    <col min="16" max="16" width="14" style="68" customWidth="1"/>
    <col min="17" max="17" width="9.1796875" style="68"/>
    <col min="18" max="18" width="10.54296875" style="68" bestFit="1" customWidth="1"/>
    <col min="19" max="16384" width="9.1796875" style="68"/>
  </cols>
  <sheetData>
    <row r="1" spans="1:18" ht="14">
      <c r="A1" s="949" t="s">
        <v>304</v>
      </c>
      <c r="B1" s="949"/>
      <c r="C1" s="949"/>
      <c r="D1" s="949"/>
      <c r="E1" s="949"/>
      <c r="F1" s="949"/>
      <c r="G1" s="949"/>
      <c r="H1" s="949"/>
      <c r="I1" s="949"/>
      <c r="J1" s="949"/>
      <c r="K1" s="949"/>
      <c r="L1" s="949"/>
    </row>
    <row r="2" spans="1:18" ht="12.75" customHeight="1"/>
    <row r="3" spans="1:18" ht="53.25" customHeight="1">
      <c r="A3" s="24" t="s">
        <v>44</v>
      </c>
      <c r="B3" s="24" t="s">
        <v>68</v>
      </c>
      <c r="C3" s="24" t="s">
        <v>67</v>
      </c>
      <c r="D3" s="24" t="s">
        <v>66</v>
      </c>
      <c r="E3" s="167" t="s">
        <v>69</v>
      </c>
      <c r="F3" s="167" t="s">
        <v>48</v>
      </c>
      <c r="G3" s="167" t="s">
        <v>65</v>
      </c>
      <c r="H3" s="167" t="s">
        <v>64</v>
      </c>
      <c r="I3" s="167" t="s">
        <v>63</v>
      </c>
      <c r="J3" s="166" t="s">
        <v>62</v>
      </c>
      <c r="K3" s="167" t="s">
        <v>72</v>
      </c>
      <c r="L3" s="87"/>
      <c r="M3" s="140" t="s">
        <v>43</v>
      </c>
      <c r="N3" s="24" t="s">
        <v>42</v>
      </c>
      <c r="O3" s="24" t="s">
        <v>138</v>
      </c>
      <c r="P3" s="24" t="s">
        <v>60</v>
      </c>
      <c r="Q3" s="87"/>
      <c r="R3" s="87"/>
    </row>
    <row r="4" spans="1:18" s="98" customFormat="1">
      <c r="A4" s="137" t="s">
        <v>38</v>
      </c>
      <c r="B4" s="114">
        <v>43941</v>
      </c>
      <c r="C4" s="136">
        <v>0</v>
      </c>
      <c r="D4" s="843">
        <v>43971</v>
      </c>
      <c r="E4" s="342">
        <v>21735</v>
      </c>
      <c r="F4" s="19">
        <f t="shared" ref="F4:F10" si="0">SUM(G4:K4)</f>
        <v>21735</v>
      </c>
      <c r="G4" s="267">
        <v>11353</v>
      </c>
      <c r="H4" s="267">
        <v>2271</v>
      </c>
      <c r="I4" s="267">
        <v>7141</v>
      </c>
      <c r="J4" s="267">
        <v>970</v>
      </c>
      <c r="K4" s="265">
        <v>0</v>
      </c>
      <c r="L4" s="139"/>
      <c r="M4" s="342">
        <v>928</v>
      </c>
      <c r="N4" s="342">
        <v>18</v>
      </c>
      <c r="O4" s="266">
        <v>24</v>
      </c>
      <c r="P4" s="19">
        <f t="shared" ref="P4:P24" si="1">SUM(M4:O4)</f>
        <v>970</v>
      </c>
      <c r="Q4" s="100"/>
      <c r="R4" s="100"/>
    </row>
    <row r="5" spans="1:18" s="98" customFormat="1">
      <c r="A5" s="22" t="s">
        <v>20</v>
      </c>
      <c r="B5" s="114">
        <v>43941</v>
      </c>
      <c r="C5" s="129">
        <v>0</v>
      </c>
      <c r="D5" s="843">
        <v>43971</v>
      </c>
      <c r="E5" s="266">
        <v>23312</v>
      </c>
      <c r="F5" s="19">
        <f t="shared" si="0"/>
        <v>23312</v>
      </c>
      <c r="G5" s="266">
        <v>12176</v>
      </c>
      <c r="H5" s="266">
        <v>2436</v>
      </c>
      <c r="I5" s="266">
        <v>7659</v>
      </c>
      <c r="J5" s="266">
        <v>1041</v>
      </c>
      <c r="K5" s="265">
        <v>0</v>
      </c>
      <c r="L5" s="139"/>
      <c r="M5" s="266">
        <v>995</v>
      </c>
      <c r="N5" s="266">
        <v>20</v>
      </c>
      <c r="O5" s="266">
        <v>26</v>
      </c>
      <c r="P5" s="19">
        <f t="shared" si="1"/>
        <v>1041</v>
      </c>
      <c r="Q5" s="100"/>
      <c r="R5" s="100"/>
    </row>
    <row r="6" spans="1:18" s="98" customFormat="1">
      <c r="A6" s="22" t="s">
        <v>13</v>
      </c>
      <c r="B6" s="114">
        <v>43941</v>
      </c>
      <c r="C6" s="129">
        <v>0</v>
      </c>
      <c r="D6" s="843">
        <v>43971</v>
      </c>
      <c r="E6" s="266">
        <v>42857</v>
      </c>
      <c r="F6" s="19">
        <f t="shared" si="0"/>
        <v>42857</v>
      </c>
      <c r="G6" s="266">
        <v>22386</v>
      </c>
      <c r="H6" s="266">
        <v>4476</v>
      </c>
      <c r="I6" s="266">
        <v>14081</v>
      </c>
      <c r="J6" s="266">
        <v>1914</v>
      </c>
      <c r="K6" s="265">
        <v>0</v>
      </c>
      <c r="L6" s="139"/>
      <c r="M6" s="342">
        <v>1830</v>
      </c>
      <c r="N6" s="158">
        <v>37</v>
      </c>
      <c r="O6" s="158">
        <v>47</v>
      </c>
      <c r="P6" s="19">
        <f t="shared" si="1"/>
        <v>1914</v>
      </c>
      <c r="Q6" s="100"/>
      <c r="R6" s="100"/>
    </row>
    <row r="7" spans="1:18" s="98" customFormat="1">
      <c r="A7" s="22" t="s">
        <v>11</v>
      </c>
      <c r="B7" s="114">
        <v>43941</v>
      </c>
      <c r="C7" s="841">
        <v>0</v>
      </c>
      <c r="D7" s="113">
        <v>43971</v>
      </c>
      <c r="E7" s="266">
        <v>6593112</v>
      </c>
      <c r="F7" s="119">
        <f t="shared" si="0"/>
        <v>6593112</v>
      </c>
      <c r="G7" s="266">
        <v>3443912</v>
      </c>
      <c r="H7" s="266">
        <v>688387</v>
      </c>
      <c r="I7" s="266">
        <v>2166168</v>
      </c>
      <c r="J7" s="266">
        <v>294645</v>
      </c>
      <c r="K7" s="19">
        <v>0</v>
      </c>
      <c r="L7" s="139"/>
      <c r="M7" s="158">
        <v>281657</v>
      </c>
      <c r="N7" s="158">
        <v>5736</v>
      </c>
      <c r="O7" s="19">
        <v>7252</v>
      </c>
      <c r="P7" s="19">
        <f t="shared" si="1"/>
        <v>294645</v>
      </c>
      <c r="R7" s="100"/>
    </row>
    <row r="8" spans="1:18" s="98" customFormat="1">
      <c r="A8" s="22" t="s">
        <v>11</v>
      </c>
      <c r="B8" s="744">
        <v>43800</v>
      </c>
      <c r="C8" s="847">
        <v>3</v>
      </c>
      <c r="D8" s="113">
        <v>43971</v>
      </c>
      <c r="E8" s="846">
        <v>-2571733</v>
      </c>
      <c r="F8" s="119">
        <f t="shared" si="0"/>
        <v>-2571733</v>
      </c>
      <c r="G8" s="846">
        <v>-1343344</v>
      </c>
      <c r="H8" s="846">
        <v>-268516</v>
      </c>
      <c r="I8" s="846">
        <v>-844943</v>
      </c>
      <c r="J8" s="846">
        <v>-114930</v>
      </c>
      <c r="K8" s="19">
        <v>0</v>
      </c>
      <c r="L8" s="139"/>
      <c r="M8" s="271">
        <v>-109864</v>
      </c>
      <c r="N8" s="271">
        <v>-2237</v>
      </c>
      <c r="O8" s="119">
        <v>-2829</v>
      </c>
      <c r="P8" s="19">
        <f t="shared" si="1"/>
        <v>-114930</v>
      </c>
      <c r="R8" s="100"/>
    </row>
    <row r="9" spans="1:18" s="98" customFormat="1">
      <c r="A9" s="22" t="s">
        <v>11</v>
      </c>
      <c r="B9" s="744">
        <v>43831</v>
      </c>
      <c r="C9" s="847">
        <v>3</v>
      </c>
      <c r="D9" s="113">
        <v>43971</v>
      </c>
      <c r="E9" s="846">
        <v>-981244</v>
      </c>
      <c r="F9" s="119">
        <f t="shared" si="0"/>
        <v>-981244</v>
      </c>
      <c r="G9" s="846">
        <v>-512553</v>
      </c>
      <c r="H9" s="846">
        <v>-102453</v>
      </c>
      <c r="I9" s="846">
        <v>-322388</v>
      </c>
      <c r="J9" s="846">
        <v>-43850</v>
      </c>
      <c r="K9" s="19">
        <v>0</v>
      </c>
      <c r="L9" s="139"/>
      <c r="M9" s="271">
        <v>-41918</v>
      </c>
      <c r="N9" s="271">
        <v>-853</v>
      </c>
      <c r="O9" s="119">
        <v>-1079</v>
      </c>
      <c r="P9" s="19">
        <f t="shared" si="1"/>
        <v>-43850</v>
      </c>
      <c r="R9" s="100"/>
    </row>
    <row r="10" spans="1:18" s="98" customFormat="1" ht="13" thickBot="1">
      <c r="A10" s="134" t="s">
        <v>6</v>
      </c>
      <c r="B10" s="121">
        <v>43941</v>
      </c>
      <c r="C10" s="133">
        <v>0</v>
      </c>
      <c r="D10" s="121">
        <v>43971</v>
      </c>
      <c r="E10" s="272">
        <v>26048</v>
      </c>
      <c r="F10" s="120">
        <f t="shared" si="0"/>
        <v>26048</v>
      </c>
      <c r="G10" s="272">
        <v>13605</v>
      </c>
      <c r="H10" s="272">
        <v>2721</v>
      </c>
      <c r="I10" s="272">
        <v>8559</v>
      </c>
      <c r="J10" s="272">
        <v>1163</v>
      </c>
      <c r="K10" s="162">
        <v>0</v>
      </c>
      <c r="L10" s="139"/>
      <c r="M10" s="748">
        <v>1112</v>
      </c>
      <c r="N10" s="120">
        <v>22</v>
      </c>
      <c r="O10" s="120">
        <v>29</v>
      </c>
      <c r="P10" s="120">
        <f t="shared" si="1"/>
        <v>1163</v>
      </c>
      <c r="R10" s="100"/>
    </row>
    <row r="11" spans="1:18" s="98" customFormat="1">
      <c r="A11" s="137" t="s">
        <v>38</v>
      </c>
      <c r="B11" s="113">
        <v>43971</v>
      </c>
      <c r="C11" s="136">
        <v>0</v>
      </c>
      <c r="D11" s="113">
        <v>44002</v>
      </c>
      <c r="E11" s="654">
        <v>22218</v>
      </c>
      <c r="F11" s="119">
        <f t="shared" ref="F11:F23" si="2">SUM(G11:K11)</f>
        <v>22218</v>
      </c>
      <c r="G11" s="654">
        <v>11606</v>
      </c>
      <c r="H11" s="654">
        <v>2320</v>
      </c>
      <c r="I11" s="654">
        <v>7300</v>
      </c>
      <c r="J11" s="654">
        <v>992</v>
      </c>
      <c r="K11" s="165">
        <v>0</v>
      </c>
      <c r="L11" s="139"/>
      <c r="M11" s="135">
        <v>949</v>
      </c>
      <c r="N11" s="135">
        <v>19</v>
      </c>
      <c r="O11" s="135">
        <v>24</v>
      </c>
      <c r="P11" s="112">
        <f t="shared" si="1"/>
        <v>992</v>
      </c>
      <c r="R11" s="100"/>
    </row>
    <row r="12" spans="1:18" s="98" customFormat="1" ht="14.25" customHeight="1">
      <c r="A12" s="22" t="s">
        <v>20</v>
      </c>
      <c r="B12" s="113">
        <v>43971</v>
      </c>
      <c r="C12" s="129">
        <v>0</v>
      </c>
      <c r="D12" s="113">
        <v>44002</v>
      </c>
      <c r="E12" s="266">
        <v>34968</v>
      </c>
      <c r="F12" s="119">
        <f t="shared" si="2"/>
        <v>34968</v>
      </c>
      <c r="G12" s="266">
        <v>18266</v>
      </c>
      <c r="H12" s="266">
        <v>3652</v>
      </c>
      <c r="I12" s="266">
        <v>11489</v>
      </c>
      <c r="J12" s="266">
        <v>1561</v>
      </c>
      <c r="K12" s="164">
        <v>0</v>
      </c>
      <c r="L12" s="139"/>
      <c r="M12" s="266">
        <v>1493</v>
      </c>
      <c r="N12" s="159">
        <v>30</v>
      </c>
      <c r="O12" s="158">
        <v>38</v>
      </c>
      <c r="P12" s="163">
        <f t="shared" si="1"/>
        <v>1561</v>
      </c>
      <c r="R12" s="100"/>
    </row>
    <row r="13" spans="1:18" s="98" customFormat="1" ht="14.25" customHeight="1">
      <c r="A13" s="22" t="s">
        <v>20</v>
      </c>
      <c r="B13" s="113">
        <v>43941</v>
      </c>
      <c r="C13" s="129">
        <v>1</v>
      </c>
      <c r="D13" s="113">
        <v>44002</v>
      </c>
      <c r="E13" s="266">
        <v>152</v>
      </c>
      <c r="F13" s="119">
        <f t="shared" si="2"/>
        <v>152</v>
      </c>
      <c r="G13" s="266">
        <v>79</v>
      </c>
      <c r="H13" s="266">
        <v>16</v>
      </c>
      <c r="I13" s="266">
        <v>51</v>
      </c>
      <c r="J13" s="266">
        <v>6</v>
      </c>
      <c r="K13" s="164">
        <v>0</v>
      </c>
      <c r="L13" s="139"/>
      <c r="M13" s="266">
        <v>6</v>
      </c>
      <c r="N13" s="159">
        <v>0</v>
      </c>
      <c r="O13" s="158">
        <v>0</v>
      </c>
      <c r="P13" s="163">
        <f t="shared" si="1"/>
        <v>6</v>
      </c>
      <c r="R13" s="100"/>
    </row>
    <row r="14" spans="1:18" s="98" customFormat="1" ht="14.25" customHeight="1">
      <c r="A14" s="22" t="s">
        <v>13</v>
      </c>
      <c r="B14" s="113">
        <v>43971</v>
      </c>
      <c r="C14" s="842">
        <v>0</v>
      </c>
      <c r="D14" s="113">
        <v>44002</v>
      </c>
      <c r="E14" s="266">
        <v>43040</v>
      </c>
      <c r="F14" s="119">
        <f t="shared" si="2"/>
        <v>43040</v>
      </c>
      <c r="G14" s="266">
        <v>22482</v>
      </c>
      <c r="H14" s="266">
        <v>4495</v>
      </c>
      <c r="I14" s="266">
        <v>14141</v>
      </c>
      <c r="J14" s="266">
        <v>1922</v>
      </c>
      <c r="K14" s="164">
        <v>0</v>
      </c>
      <c r="L14" s="139"/>
      <c r="M14" s="342">
        <v>1838</v>
      </c>
      <c r="N14" s="158">
        <v>37</v>
      </c>
      <c r="O14" s="19">
        <v>47</v>
      </c>
      <c r="P14" s="163">
        <f t="shared" si="1"/>
        <v>1922</v>
      </c>
      <c r="R14" s="100"/>
    </row>
    <row r="15" spans="1:18" s="98" customFormat="1" ht="14.25" customHeight="1">
      <c r="A15" s="22" t="s">
        <v>11</v>
      </c>
      <c r="B15" s="113">
        <v>43971</v>
      </c>
      <c r="C15" s="129">
        <v>0</v>
      </c>
      <c r="D15" s="113">
        <v>44002</v>
      </c>
      <c r="E15" s="266">
        <v>5874106</v>
      </c>
      <c r="F15" s="119">
        <f t="shared" si="2"/>
        <v>5874106</v>
      </c>
      <c r="G15" s="266">
        <v>3068338</v>
      </c>
      <c r="H15" s="266">
        <v>613317</v>
      </c>
      <c r="I15" s="266">
        <v>1929938</v>
      </c>
      <c r="J15" s="266">
        <v>262513</v>
      </c>
      <c r="K15" s="164">
        <v>0</v>
      </c>
      <c r="L15" s="139"/>
      <c r="M15" s="266">
        <v>250941</v>
      </c>
      <c r="N15" s="159">
        <v>5110</v>
      </c>
      <c r="O15" s="19">
        <v>6462</v>
      </c>
      <c r="P15" s="163">
        <f t="shared" si="1"/>
        <v>262513</v>
      </c>
      <c r="R15" s="100"/>
    </row>
    <row r="16" spans="1:18" s="98" customFormat="1" ht="14.25" customHeight="1" thickBot="1">
      <c r="A16" s="134" t="s">
        <v>6</v>
      </c>
      <c r="B16" s="121">
        <v>43971</v>
      </c>
      <c r="C16" s="839">
        <v>0</v>
      </c>
      <c r="D16" s="121">
        <v>44002</v>
      </c>
      <c r="E16" s="272">
        <v>29335</v>
      </c>
      <c r="F16" s="120">
        <f t="shared" si="2"/>
        <v>29335</v>
      </c>
      <c r="G16" s="272">
        <v>15323</v>
      </c>
      <c r="H16" s="272">
        <v>3064</v>
      </c>
      <c r="I16" s="272">
        <v>9638</v>
      </c>
      <c r="J16" s="272">
        <v>1310</v>
      </c>
      <c r="K16" s="162">
        <v>0</v>
      </c>
      <c r="L16" s="139"/>
      <c r="M16" s="272">
        <v>1253</v>
      </c>
      <c r="N16" s="748">
        <v>25</v>
      </c>
      <c r="O16" s="120">
        <v>32</v>
      </c>
      <c r="P16" s="120">
        <f t="shared" si="1"/>
        <v>1310</v>
      </c>
      <c r="R16" s="100"/>
    </row>
    <row r="17" spans="1:17" s="98" customFormat="1">
      <c r="A17" s="22" t="s">
        <v>38</v>
      </c>
      <c r="B17" s="113">
        <v>44002</v>
      </c>
      <c r="C17" s="136">
        <v>0</v>
      </c>
      <c r="D17" s="113">
        <v>44032</v>
      </c>
      <c r="E17" s="112">
        <v>22163</v>
      </c>
      <c r="F17" s="19">
        <f t="shared" si="2"/>
        <v>22163</v>
      </c>
      <c r="G17" s="112">
        <v>11577</v>
      </c>
      <c r="H17" s="112">
        <v>2315</v>
      </c>
      <c r="I17" s="112">
        <v>7282</v>
      </c>
      <c r="J17" s="112">
        <v>989</v>
      </c>
      <c r="K17" s="112">
        <v>0</v>
      </c>
      <c r="L17" s="139"/>
      <c r="M17" s="135">
        <v>946</v>
      </c>
      <c r="N17" s="163">
        <v>19</v>
      </c>
      <c r="O17" s="112">
        <v>24</v>
      </c>
      <c r="P17" s="138">
        <f t="shared" si="1"/>
        <v>989</v>
      </c>
    </row>
    <row r="18" spans="1:17" s="98" customFormat="1">
      <c r="A18" s="22" t="s">
        <v>20</v>
      </c>
      <c r="B18" s="113">
        <v>44002</v>
      </c>
      <c r="C18" s="129">
        <v>0</v>
      </c>
      <c r="D18" s="113">
        <v>44032</v>
      </c>
      <c r="E18" s="19">
        <v>23312</v>
      </c>
      <c r="F18" s="19">
        <f t="shared" si="2"/>
        <v>23312</v>
      </c>
      <c r="G18" s="19">
        <v>12176</v>
      </c>
      <c r="H18" s="19">
        <v>2436</v>
      </c>
      <c r="I18" s="19">
        <v>7659</v>
      </c>
      <c r="J18" s="19">
        <v>1041</v>
      </c>
      <c r="K18" s="19">
        <v>0</v>
      </c>
      <c r="L18" s="139"/>
      <c r="M18" s="158">
        <v>995</v>
      </c>
      <c r="N18" s="160">
        <v>20</v>
      </c>
      <c r="O18" s="19">
        <v>26</v>
      </c>
      <c r="P18" s="119">
        <f t="shared" si="1"/>
        <v>1041</v>
      </c>
    </row>
    <row r="19" spans="1:17" s="98" customFormat="1">
      <c r="A19" s="22" t="s">
        <v>13</v>
      </c>
      <c r="B19" s="113">
        <v>44002</v>
      </c>
      <c r="C19" s="129">
        <v>0</v>
      </c>
      <c r="D19" s="113">
        <v>44032</v>
      </c>
      <c r="E19" s="19">
        <v>41556</v>
      </c>
      <c r="F19" s="19">
        <f t="shared" si="2"/>
        <v>41556</v>
      </c>
      <c r="G19" s="19">
        <v>21706</v>
      </c>
      <c r="H19" s="19">
        <v>4340</v>
      </c>
      <c r="I19" s="19">
        <v>13653</v>
      </c>
      <c r="J19" s="19">
        <v>1857</v>
      </c>
      <c r="K19" s="19">
        <v>0</v>
      </c>
      <c r="L19" s="139"/>
      <c r="M19" s="158">
        <v>1775</v>
      </c>
      <c r="N19" s="160">
        <v>36</v>
      </c>
      <c r="O19" s="19">
        <v>46</v>
      </c>
      <c r="P19" s="19">
        <f t="shared" si="1"/>
        <v>1857</v>
      </c>
    </row>
    <row r="20" spans="1:17" s="98" customFormat="1">
      <c r="A20" s="22" t="s">
        <v>11</v>
      </c>
      <c r="B20" s="113">
        <v>44002</v>
      </c>
      <c r="C20" s="129">
        <v>0</v>
      </c>
      <c r="D20" s="113">
        <v>44032</v>
      </c>
      <c r="E20" s="19">
        <v>15754532</v>
      </c>
      <c r="F20" s="19">
        <f t="shared" si="2"/>
        <v>15754532</v>
      </c>
      <c r="G20" s="19">
        <v>8229379</v>
      </c>
      <c r="H20" s="19">
        <v>1644932</v>
      </c>
      <c r="I20" s="19">
        <v>5176152</v>
      </c>
      <c r="J20" s="19">
        <v>704069</v>
      </c>
      <c r="K20" s="19">
        <v>0</v>
      </c>
      <c r="L20" s="254"/>
      <c r="M20" s="19">
        <v>673033</v>
      </c>
      <c r="N20" s="732">
        <v>13706</v>
      </c>
      <c r="O20" s="266">
        <v>17330</v>
      </c>
      <c r="P20" s="160">
        <f t="shared" si="1"/>
        <v>704069</v>
      </c>
    </row>
    <row r="21" spans="1:17" s="98" customFormat="1">
      <c r="A21" s="22" t="s">
        <v>11</v>
      </c>
      <c r="B21" s="113">
        <v>43910</v>
      </c>
      <c r="C21" s="754">
        <v>1</v>
      </c>
      <c r="D21" s="113">
        <v>44032</v>
      </c>
      <c r="E21" s="112">
        <v>0</v>
      </c>
      <c r="F21" s="19">
        <f t="shared" si="2"/>
        <v>0</v>
      </c>
      <c r="G21" s="112">
        <v>0</v>
      </c>
      <c r="H21" s="112">
        <v>0</v>
      </c>
      <c r="I21" s="112">
        <v>0</v>
      </c>
      <c r="J21" s="112">
        <v>0</v>
      </c>
      <c r="K21" s="112">
        <v>0</v>
      </c>
      <c r="L21" s="139"/>
      <c r="M21" s="112">
        <v>0</v>
      </c>
      <c r="N21" s="112">
        <v>0</v>
      </c>
      <c r="O21" s="112">
        <v>0</v>
      </c>
      <c r="P21" s="112">
        <v>0</v>
      </c>
      <c r="Q21" s="103"/>
    </row>
    <row r="22" spans="1:17" s="98" customFormat="1">
      <c r="A22" s="22" t="s">
        <v>11</v>
      </c>
      <c r="B22" s="113">
        <v>43941</v>
      </c>
      <c r="C22" s="754">
        <v>1</v>
      </c>
      <c r="D22" s="113">
        <v>44032</v>
      </c>
      <c r="E22" s="112">
        <v>-62658</v>
      </c>
      <c r="F22" s="19">
        <f t="shared" si="2"/>
        <v>-62658</v>
      </c>
      <c r="G22" s="112">
        <v>-32728</v>
      </c>
      <c r="H22" s="112">
        <v>-6545</v>
      </c>
      <c r="I22" s="112">
        <v>-20586</v>
      </c>
      <c r="J22" s="112">
        <v>-2799</v>
      </c>
      <c r="K22" s="112">
        <v>0</v>
      </c>
      <c r="L22" s="139"/>
      <c r="M22" s="112">
        <v>-2676</v>
      </c>
      <c r="N22" s="163">
        <v>-54</v>
      </c>
      <c r="O22" s="112">
        <v>-69</v>
      </c>
      <c r="P22" s="112">
        <v>0</v>
      </c>
      <c r="Q22" s="103"/>
    </row>
    <row r="23" spans="1:17" s="98" customFormat="1">
      <c r="A23" s="22" t="s">
        <v>11</v>
      </c>
      <c r="B23" s="113">
        <v>43971</v>
      </c>
      <c r="C23" s="754">
        <v>1</v>
      </c>
      <c r="D23" s="113">
        <v>44032</v>
      </c>
      <c r="E23" s="112">
        <v>-258948</v>
      </c>
      <c r="F23" s="19">
        <f t="shared" si="2"/>
        <v>-258948</v>
      </c>
      <c r="G23" s="112">
        <v>-135261</v>
      </c>
      <c r="H23" s="112">
        <v>-27038</v>
      </c>
      <c r="I23" s="112">
        <v>-85077</v>
      </c>
      <c r="J23" s="112">
        <v>-11572</v>
      </c>
      <c r="K23" s="112">
        <v>0</v>
      </c>
      <c r="L23" s="139"/>
      <c r="M23" s="112">
        <v>-11062</v>
      </c>
      <c r="N23" s="163">
        <v>-225</v>
      </c>
      <c r="O23" s="112">
        <v>-285</v>
      </c>
      <c r="P23" s="112">
        <v>0</v>
      </c>
      <c r="Q23" s="103"/>
    </row>
    <row r="24" spans="1:17" s="98" customFormat="1">
      <c r="A24" s="22" t="s">
        <v>6</v>
      </c>
      <c r="B24" s="113">
        <v>44002</v>
      </c>
      <c r="C24" s="129">
        <v>0</v>
      </c>
      <c r="D24" s="113">
        <v>44032</v>
      </c>
      <c r="E24" s="19">
        <v>28565</v>
      </c>
      <c r="F24" s="19">
        <f>SUM(G24:K24)</f>
        <v>28565</v>
      </c>
      <c r="G24" s="19">
        <v>14920</v>
      </c>
      <c r="H24" s="19">
        <v>2985</v>
      </c>
      <c r="I24" s="19">
        <v>9385</v>
      </c>
      <c r="J24" s="19">
        <v>1275</v>
      </c>
      <c r="K24" s="158">
        <v>0</v>
      </c>
      <c r="L24" s="139"/>
      <c r="M24" s="158">
        <v>1220</v>
      </c>
      <c r="N24" s="159">
        <v>24</v>
      </c>
      <c r="O24" s="158">
        <v>31</v>
      </c>
      <c r="P24" s="19">
        <f t="shared" si="1"/>
        <v>1275</v>
      </c>
    </row>
    <row r="25" spans="1:17" ht="5.25" customHeight="1">
      <c r="A25" s="157"/>
      <c r="B25" s="110"/>
      <c r="C25" s="840"/>
      <c r="D25" s="110"/>
      <c r="E25" s="17"/>
      <c r="F25" s="17"/>
      <c r="G25" s="17"/>
      <c r="H25" s="17"/>
      <c r="I25" s="17"/>
      <c r="J25" s="126"/>
      <c r="K25" s="17">
        <v>0</v>
      </c>
      <c r="L25" s="100"/>
      <c r="M25" s="125"/>
      <c r="N25" s="17"/>
      <c r="O25" s="17"/>
      <c r="P25" s="17"/>
    </row>
    <row r="26" spans="1:17">
      <c r="A26" s="124" t="s">
        <v>59</v>
      </c>
      <c r="B26" s="124"/>
      <c r="C26" s="19"/>
      <c r="D26" s="113">
        <v>43971</v>
      </c>
      <c r="E26" s="19">
        <f>SUMIF($D$4:$D$24,$D26,E$4:E$24)</f>
        <v>3154087</v>
      </c>
      <c r="F26" s="19">
        <f t="shared" ref="F26:J28" si="3">SUMIF($D$4:$D$25,$D26,F$4:F$25)</f>
        <v>3154087</v>
      </c>
      <c r="G26" s="19">
        <f t="shared" si="3"/>
        <v>1647535</v>
      </c>
      <c r="H26" s="19">
        <f t="shared" si="3"/>
        <v>329322</v>
      </c>
      <c r="I26" s="19">
        <f t="shared" si="3"/>
        <v>1036277</v>
      </c>
      <c r="J26" s="196">
        <f t="shared" si="3"/>
        <v>140953</v>
      </c>
      <c r="K26" s="19">
        <v>0</v>
      </c>
      <c r="L26" s="139"/>
      <c r="M26" s="19">
        <f t="shared" ref="M26:P28" si="4">SUMIF($D$4:$D$25,$D26,M$4:M$25)</f>
        <v>134740</v>
      </c>
      <c r="N26" s="19">
        <f t="shared" si="4"/>
        <v>2743</v>
      </c>
      <c r="O26" s="19">
        <f t="shared" si="4"/>
        <v>3470</v>
      </c>
      <c r="P26" s="19">
        <f t="shared" si="4"/>
        <v>140953</v>
      </c>
    </row>
    <row r="27" spans="1:17">
      <c r="A27" s="124" t="s">
        <v>59</v>
      </c>
      <c r="B27" s="155"/>
      <c r="C27" s="19"/>
      <c r="D27" s="113">
        <v>44002</v>
      </c>
      <c r="E27" s="19">
        <f>SUMIF($D$4:$D$24,$D27,E$4:E$24)</f>
        <v>6003819</v>
      </c>
      <c r="F27" s="19">
        <f t="shared" si="3"/>
        <v>6003819</v>
      </c>
      <c r="G27" s="19">
        <f t="shared" si="3"/>
        <v>3136094</v>
      </c>
      <c r="H27" s="19">
        <f t="shared" si="3"/>
        <v>626864</v>
      </c>
      <c r="I27" s="19">
        <f t="shared" si="3"/>
        <v>1972557</v>
      </c>
      <c r="J27" s="196">
        <f t="shared" si="3"/>
        <v>268304</v>
      </c>
      <c r="K27" s="19">
        <v>0</v>
      </c>
      <c r="L27" s="139"/>
      <c r="M27" s="19">
        <f t="shared" si="4"/>
        <v>256480</v>
      </c>
      <c r="N27" s="19">
        <f t="shared" si="4"/>
        <v>5221</v>
      </c>
      <c r="O27" s="19">
        <f t="shared" si="4"/>
        <v>6603</v>
      </c>
      <c r="P27" s="19">
        <f t="shared" si="4"/>
        <v>268304</v>
      </c>
    </row>
    <row r="28" spans="1:17" ht="13" thickBot="1">
      <c r="A28" s="134" t="s">
        <v>59</v>
      </c>
      <c r="B28" s="117"/>
      <c r="C28" s="120"/>
      <c r="D28" s="121">
        <v>44032</v>
      </c>
      <c r="E28" s="120">
        <f>SUMIF($D$4:$D$24,$D28,E$4:E$24)</f>
        <v>15548522</v>
      </c>
      <c r="F28" s="120">
        <f t="shared" si="3"/>
        <v>15548522</v>
      </c>
      <c r="G28" s="120">
        <f t="shared" si="3"/>
        <v>8121769</v>
      </c>
      <c r="H28" s="120">
        <f t="shared" si="3"/>
        <v>1623425</v>
      </c>
      <c r="I28" s="120">
        <f t="shared" si="3"/>
        <v>5108468</v>
      </c>
      <c r="J28" s="195">
        <f t="shared" si="3"/>
        <v>694860</v>
      </c>
      <c r="K28" s="119">
        <v>0</v>
      </c>
      <c r="L28" s="139"/>
      <c r="M28" s="120">
        <f t="shared" si="4"/>
        <v>664231</v>
      </c>
      <c r="N28" s="120">
        <f t="shared" si="4"/>
        <v>13526</v>
      </c>
      <c r="O28" s="120">
        <f t="shared" si="4"/>
        <v>17103</v>
      </c>
      <c r="P28" s="120">
        <f t="shared" si="4"/>
        <v>709231</v>
      </c>
    </row>
    <row r="29" spans="1:17">
      <c r="A29" s="124" t="s">
        <v>58</v>
      </c>
      <c r="B29" s="264"/>
      <c r="C29" s="19"/>
      <c r="D29" s="113"/>
      <c r="E29" s="19">
        <f t="shared" ref="E29:J29" si="5">SUM(E26:E28)</f>
        <v>24706428</v>
      </c>
      <c r="F29" s="19">
        <f t="shared" si="5"/>
        <v>24706428</v>
      </c>
      <c r="G29" s="19">
        <f t="shared" si="5"/>
        <v>12905398</v>
      </c>
      <c r="H29" s="19">
        <f t="shared" si="5"/>
        <v>2579611</v>
      </c>
      <c r="I29" s="19">
        <f t="shared" si="5"/>
        <v>8117302</v>
      </c>
      <c r="J29" s="199">
        <f t="shared" si="5"/>
        <v>1104117</v>
      </c>
      <c r="K29" s="728">
        <v>0</v>
      </c>
      <c r="L29" s="139"/>
      <c r="M29" s="112">
        <f>SUM(M26:M28)</f>
        <v>1055451</v>
      </c>
      <c r="N29" s="19">
        <f>SUM(N26:N28)</f>
        <v>21490</v>
      </c>
      <c r="O29" s="19">
        <f>SUM(O26:O28)</f>
        <v>27176</v>
      </c>
      <c r="P29" s="19">
        <f>SUM(P26:P28)</f>
        <v>1118488</v>
      </c>
    </row>
    <row r="30" spans="1:17">
      <c r="A30" s="22" t="s">
        <v>57</v>
      </c>
      <c r="B30" s="264"/>
      <c r="C30" s="19"/>
      <c r="D30" s="114"/>
      <c r="E30" s="19"/>
      <c r="F30" s="19"/>
      <c r="G30" s="19">
        <f>'SFY 1920 M&amp;O CAP'!E23-SUM(G26:G28)</f>
        <v>4</v>
      </c>
      <c r="H30" s="19">
        <f>'SFY 1920 M&amp;O CAP'!F23-SUM(H26:H28)</f>
        <v>-11</v>
      </c>
      <c r="I30" s="19">
        <f>'SFY 1920 M&amp;O CAP'!G23-SUM(I26:I28)</f>
        <v>-5</v>
      </c>
      <c r="J30" s="19">
        <f>'SFY 1920 M&amp;O CAP'!H23-SUM(J26:J28)</f>
        <v>12</v>
      </c>
      <c r="K30" s="19">
        <v>0</v>
      </c>
      <c r="L30" s="254"/>
      <c r="M30" s="19">
        <f>'SFY 1920 M&amp;O CAP'!H14-SUM(M26:M28)</f>
        <v>7</v>
      </c>
      <c r="N30" s="19">
        <f>'SFY 1920 M&amp;O CAP'!H17-SUM(N26:N28)</f>
        <v>4</v>
      </c>
      <c r="O30" s="19">
        <f>'SFY 1920 M&amp;O CAP'!H22-SUM(O26:O28)</f>
        <v>1</v>
      </c>
      <c r="P30" s="19">
        <f>SUM(M30:O30)</f>
        <v>12</v>
      </c>
    </row>
    <row r="31" spans="1:17" ht="3" customHeight="1">
      <c r="A31" s="111"/>
      <c r="B31" s="110"/>
      <c r="C31" s="107"/>
      <c r="D31" s="107"/>
      <c r="E31" s="107"/>
      <c r="F31" s="107"/>
      <c r="G31" s="107"/>
      <c r="H31" s="107"/>
      <c r="I31" s="107"/>
      <c r="J31" s="109"/>
      <c r="K31" s="197">
        <v>0</v>
      </c>
      <c r="L31" s="87"/>
      <c r="M31" s="108"/>
      <c r="N31" s="107"/>
      <c r="O31" s="107"/>
      <c r="P31" s="107"/>
    </row>
    <row r="32" spans="1:17" ht="13">
      <c r="A32" s="106" t="s">
        <v>48</v>
      </c>
      <c r="B32" s="154" t="s">
        <v>303</v>
      </c>
      <c r="C32" s="153"/>
      <c r="D32" s="62"/>
      <c r="E32" s="62">
        <f t="shared" ref="E32:J32" si="6">SUM(E29:E30)</f>
        <v>24706428</v>
      </c>
      <c r="F32" s="18">
        <f>SUM(G32:K32)</f>
        <v>24706428</v>
      </c>
      <c r="G32" s="62">
        <f t="shared" si="6"/>
        <v>12905402</v>
      </c>
      <c r="H32" s="62">
        <f t="shared" si="6"/>
        <v>2579600</v>
      </c>
      <c r="I32" s="62">
        <f t="shared" si="6"/>
        <v>8117297</v>
      </c>
      <c r="J32" s="192">
        <f t="shared" si="6"/>
        <v>1104129</v>
      </c>
      <c r="K32" s="18">
        <v>0</v>
      </c>
      <c r="M32" s="62">
        <f>SUM(M29:M30)</f>
        <v>1055458</v>
      </c>
      <c r="N32" s="62">
        <f>SUM(N29:N30)</f>
        <v>21494</v>
      </c>
      <c r="O32" s="62">
        <f>SUM(O29:O30)</f>
        <v>27177</v>
      </c>
      <c r="P32" s="18">
        <f>SUM(P29:P30)</f>
        <v>1118500</v>
      </c>
    </row>
    <row r="33" spans="1:16" ht="13">
      <c r="A33" s="95"/>
      <c r="E33" s="152"/>
      <c r="F33" s="152"/>
      <c r="J33" s="31"/>
      <c r="K33" s="31"/>
      <c r="L33" s="28"/>
      <c r="M33" s="28"/>
      <c r="N33" s="28"/>
      <c r="O33" s="28"/>
      <c r="P33" s="90"/>
    </row>
    <row r="34" spans="1:16">
      <c r="A34" s="95"/>
      <c r="E34" s="730"/>
      <c r="F34" s="730"/>
      <c r="G34" s="150"/>
      <c r="H34" s="150"/>
      <c r="I34" s="150"/>
      <c r="J34" s="150"/>
      <c r="K34" s="150"/>
      <c r="L34" s="151"/>
      <c r="M34" s="150"/>
      <c r="N34" s="150"/>
      <c r="O34" s="150"/>
      <c r="P34" s="150"/>
    </row>
    <row r="35" spans="1:16">
      <c r="E35" s="147"/>
      <c r="F35" s="148"/>
      <c r="G35" s="149"/>
      <c r="H35" s="149"/>
      <c r="I35" s="149"/>
      <c r="J35" s="149"/>
      <c r="K35" s="149"/>
      <c r="L35" s="149"/>
      <c r="M35" s="149"/>
      <c r="N35" s="149"/>
      <c r="O35" s="149"/>
      <c r="P35" s="148"/>
    </row>
    <row r="36" spans="1:16">
      <c r="E36" s="147"/>
      <c r="F36" s="13"/>
      <c r="G36" s="13"/>
      <c r="H36" s="86"/>
      <c r="I36" s="13"/>
      <c r="J36" s="13"/>
      <c r="K36" s="13"/>
    </row>
    <row r="37" spans="1:16">
      <c r="E37" s="146"/>
      <c r="J37" s="145"/>
      <c r="K37" s="145"/>
      <c r="M37" s="143"/>
      <c r="N37" s="143"/>
      <c r="O37" s="143"/>
      <c r="P37" s="143"/>
    </row>
    <row r="38" spans="1:16">
      <c r="C38" s="143"/>
      <c r="D38" s="143"/>
      <c r="E38" s="144"/>
      <c r="F38" s="143"/>
      <c r="J38" s="87"/>
      <c r="K38" s="87"/>
    </row>
    <row r="39" spans="1:16">
      <c r="G39" s="87"/>
      <c r="J39" s="87"/>
      <c r="K39" s="87"/>
      <c r="L39" s="87"/>
    </row>
    <row r="40" spans="1:16">
      <c r="E40" s="87"/>
      <c r="J40" s="87"/>
      <c r="K40" s="87"/>
    </row>
    <row r="41" spans="1:16">
      <c r="C41" s="87"/>
      <c r="I41" s="87"/>
    </row>
    <row r="43" spans="1:16">
      <c r="H43" s="87"/>
    </row>
  </sheetData>
  <mergeCells count="1">
    <mergeCell ref="A1:L1"/>
  </mergeCells>
  <pageMargins left="0.7" right="0.7" top="0.75" bottom="0.75" header="0.3" footer="0.3"/>
  <pageSetup scale="57" orientation="landscape" r:id="rId1"/>
  <headerFooter>
    <oddHeader>&amp;CC-IV Maintenance and Operations Project 
County Claim Summary</oddHeader>
    <oddFooter>&amp;Cpage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R29"/>
  <sheetViews>
    <sheetView showGridLines="0" zoomScaleNormal="100" workbookViewId="0">
      <pane xSplit="2" ySplit="3" topLeftCell="C4" activePane="bottomRight" state="frozen"/>
      <selection activeCell="R32" sqref="R32"/>
      <selection pane="topRight" activeCell="R32" sqref="R32"/>
      <selection pane="bottomLeft" activeCell="R32" sqref="R32"/>
      <selection pane="bottomRight" activeCell="K15" sqref="K15"/>
    </sheetView>
  </sheetViews>
  <sheetFormatPr defaultColWidth="9.1796875" defaultRowHeight="12.5"/>
  <cols>
    <col min="1" max="1" width="32.1796875" style="68" customWidth="1"/>
    <col min="2" max="2" width="14.81640625" style="68" customWidth="1"/>
    <col min="3" max="3" width="9.1796875" style="68"/>
    <col min="4" max="4" width="10.54296875" style="68" customWidth="1"/>
    <col min="5" max="5" width="14.54296875" style="68" customWidth="1"/>
    <col min="6" max="6" width="12.453125" style="68" bestFit="1" customWidth="1"/>
    <col min="7" max="7" width="13.453125" style="68" customWidth="1"/>
    <col min="8" max="11" width="11.54296875" style="68" customWidth="1"/>
    <col min="12" max="12" width="5.54296875" style="68" customWidth="1"/>
    <col min="13" max="16" width="11.54296875" style="68" customWidth="1"/>
    <col min="17" max="16384" width="9.1796875" style="68"/>
  </cols>
  <sheetData>
    <row r="1" spans="1:18" ht="14">
      <c r="A1" s="949" t="s">
        <v>305</v>
      </c>
      <c r="B1" s="949"/>
      <c r="C1" s="949"/>
      <c r="D1" s="949"/>
      <c r="E1" s="949"/>
      <c r="F1" s="949"/>
      <c r="G1" s="949"/>
      <c r="H1" s="949"/>
      <c r="I1" s="949"/>
      <c r="J1" s="949"/>
      <c r="K1" s="949"/>
      <c r="L1" s="1"/>
    </row>
    <row r="2" spans="1:18" ht="12.75" customHeight="1"/>
    <row r="3" spans="1:18" ht="53.25" customHeight="1">
      <c r="A3" s="24" t="s">
        <v>44</v>
      </c>
      <c r="B3" s="24" t="s">
        <v>68</v>
      </c>
      <c r="C3" s="24" t="s">
        <v>67</v>
      </c>
      <c r="D3" s="24" t="s">
        <v>66</v>
      </c>
      <c r="E3" s="167" t="s">
        <v>73</v>
      </c>
      <c r="F3" s="167" t="s">
        <v>48</v>
      </c>
      <c r="G3" s="167" t="s">
        <v>65</v>
      </c>
      <c r="H3" s="167" t="s">
        <v>64</v>
      </c>
      <c r="I3" s="167" t="s">
        <v>63</v>
      </c>
      <c r="J3" s="167" t="s">
        <v>62</v>
      </c>
      <c r="K3" s="167" t="s">
        <v>72</v>
      </c>
      <c r="L3" s="179"/>
      <c r="M3" s="140" t="s">
        <v>43</v>
      </c>
      <c r="N3" s="24" t="s">
        <v>42</v>
      </c>
      <c r="O3" s="24" t="s">
        <v>138</v>
      </c>
      <c r="P3" s="24" t="s">
        <v>60</v>
      </c>
    </row>
    <row r="4" spans="1:18" s="98" customFormat="1">
      <c r="A4" s="22" t="s">
        <v>71</v>
      </c>
      <c r="B4" s="114">
        <v>43941</v>
      </c>
      <c r="C4" s="136">
        <v>0</v>
      </c>
      <c r="D4" s="113">
        <v>43971</v>
      </c>
      <c r="E4" s="183">
        <v>-313228</v>
      </c>
      <c r="F4" s="164">
        <f t="shared" ref="F4:F9" si="0">SUM(G4:K4)</f>
        <v>-313228</v>
      </c>
      <c r="G4" s="158">
        <v>-205344</v>
      </c>
      <c r="H4" s="158">
        <v>0</v>
      </c>
      <c r="I4" s="158">
        <v>-68449</v>
      </c>
      <c r="J4" s="158">
        <v>0</v>
      </c>
      <c r="K4" s="158">
        <v>-39435</v>
      </c>
      <c r="L4" s="179"/>
      <c r="M4" s="19">
        <v>0</v>
      </c>
      <c r="N4" s="19">
        <v>0</v>
      </c>
      <c r="O4" s="19">
        <v>0</v>
      </c>
      <c r="P4" s="19">
        <f t="shared" ref="P4:P9" si="1">SUM(M4:O4)</f>
        <v>0</v>
      </c>
      <c r="Q4" s="185"/>
      <c r="R4" s="100"/>
    </row>
    <row r="5" spans="1:18" s="98" customFormat="1" ht="14.5" thickBot="1">
      <c r="A5" s="118" t="s">
        <v>70</v>
      </c>
      <c r="B5" s="121">
        <v>43941</v>
      </c>
      <c r="C5" s="133">
        <v>0</v>
      </c>
      <c r="D5" s="121">
        <v>43971</v>
      </c>
      <c r="E5" s="120">
        <v>509088</v>
      </c>
      <c r="F5" s="162">
        <f t="shared" si="0"/>
        <v>509088</v>
      </c>
      <c r="G5" s="162">
        <v>381816</v>
      </c>
      <c r="H5" s="162">
        <v>0</v>
      </c>
      <c r="I5" s="162">
        <v>127272</v>
      </c>
      <c r="J5" s="162">
        <v>0</v>
      </c>
      <c r="K5" s="162">
        <v>0</v>
      </c>
      <c r="L5" s="179"/>
      <c r="M5" s="162">
        <v>0</v>
      </c>
      <c r="N5" s="162">
        <v>0</v>
      </c>
      <c r="O5" s="162">
        <v>0</v>
      </c>
      <c r="P5" s="162">
        <f t="shared" si="1"/>
        <v>0</v>
      </c>
      <c r="Q5" s="184"/>
      <c r="R5" s="100"/>
    </row>
    <row r="6" spans="1:18" s="98" customFormat="1">
      <c r="A6" s="22" t="s">
        <v>71</v>
      </c>
      <c r="B6" s="113">
        <v>43971</v>
      </c>
      <c r="C6" s="129">
        <v>0</v>
      </c>
      <c r="D6" s="334">
        <v>44002</v>
      </c>
      <c r="E6" s="19">
        <v>120270</v>
      </c>
      <c r="F6" s="183">
        <f t="shared" si="0"/>
        <v>120270</v>
      </c>
      <c r="G6" s="158">
        <v>78846</v>
      </c>
      <c r="H6" s="158">
        <v>0</v>
      </c>
      <c r="I6" s="158">
        <v>26282</v>
      </c>
      <c r="J6" s="158">
        <v>0</v>
      </c>
      <c r="K6" s="158">
        <v>15142</v>
      </c>
      <c r="L6" s="179"/>
      <c r="M6" s="19">
        <v>0</v>
      </c>
      <c r="N6" s="19">
        <v>0</v>
      </c>
      <c r="O6" s="19">
        <v>0</v>
      </c>
      <c r="P6" s="19">
        <f t="shared" si="1"/>
        <v>0</v>
      </c>
    </row>
    <row r="7" spans="1:18" s="98" customFormat="1" ht="14.25" customHeight="1" thickBot="1">
      <c r="A7" s="118" t="s">
        <v>70</v>
      </c>
      <c r="B7" s="121">
        <v>43971</v>
      </c>
      <c r="C7" s="133">
        <v>0</v>
      </c>
      <c r="D7" s="335">
        <v>44002</v>
      </c>
      <c r="E7" s="272">
        <v>483093</v>
      </c>
      <c r="F7" s="162">
        <f t="shared" si="0"/>
        <v>483093</v>
      </c>
      <c r="G7" s="272">
        <v>362319</v>
      </c>
      <c r="H7" s="272">
        <v>0</v>
      </c>
      <c r="I7" s="272">
        <v>120774</v>
      </c>
      <c r="J7" s="272">
        <v>0</v>
      </c>
      <c r="K7" s="272">
        <v>0</v>
      </c>
      <c r="L7" s="179"/>
      <c r="M7" s="272">
        <v>0</v>
      </c>
      <c r="N7" s="272">
        <v>0</v>
      </c>
      <c r="O7" s="272">
        <v>0</v>
      </c>
      <c r="P7" s="272">
        <f t="shared" si="1"/>
        <v>0</v>
      </c>
    </row>
    <row r="8" spans="1:18" s="98" customFormat="1">
      <c r="A8" s="22" t="s">
        <v>71</v>
      </c>
      <c r="B8" s="334">
        <v>44002</v>
      </c>
      <c r="C8" s="129">
        <v>0</v>
      </c>
      <c r="D8" s="113">
        <v>44032</v>
      </c>
      <c r="E8" s="199">
        <v>252144</v>
      </c>
      <c r="F8" s="746">
        <f t="shared" si="0"/>
        <v>252144</v>
      </c>
      <c r="G8" s="158">
        <v>165299</v>
      </c>
      <c r="H8" s="158">
        <v>0</v>
      </c>
      <c r="I8" s="158">
        <v>55100</v>
      </c>
      <c r="J8" s="158">
        <v>0</v>
      </c>
      <c r="K8" s="158">
        <v>31745</v>
      </c>
      <c r="L8" s="179"/>
      <c r="M8" s="19">
        <v>0</v>
      </c>
      <c r="N8" s="19">
        <v>0</v>
      </c>
      <c r="O8" s="19">
        <v>0</v>
      </c>
      <c r="P8" s="19">
        <f t="shared" si="1"/>
        <v>0</v>
      </c>
    </row>
    <row r="9" spans="1:18" s="46" customFormat="1">
      <c r="A9" s="22" t="s">
        <v>70</v>
      </c>
      <c r="B9" s="334">
        <v>44002</v>
      </c>
      <c r="C9" s="129">
        <v>0</v>
      </c>
      <c r="D9" s="113">
        <v>44032</v>
      </c>
      <c r="E9" s="199">
        <v>793142</v>
      </c>
      <c r="F9" s="164">
        <f t="shared" si="0"/>
        <v>793142</v>
      </c>
      <c r="G9" s="158">
        <v>594856</v>
      </c>
      <c r="H9" s="158">
        <v>0</v>
      </c>
      <c r="I9" s="158">
        <v>198286</v>
      </c>
      <c r="J9" s="158">
        <v>0</v>
      </c>
      <c r="K9" s="158">
        <v>0</v>
      </c>
      <c r="L9" s="179"/>
      <c r="M9" s="19">
        <v>0</v>
      </c>
      <c r="N9" s="19">
        <v>0</v>
      </c>
      <c r="O9" s="19">
        <v>0</v>
      </c>
      <c r="P9" s="19">
        <f t="shared" si="1"/>
        <v>0</v>
      </c>
    </row>
    <row r="10" spans="1:18" ht="5.25" customHeight="1">
      <c r="A10" s="128"/>
      <c r="B10" s="127"/>
      <c r="C10" s="17"/>
      <c r="D10" s="17"/>
      <c r="E10" s="182"/>
      <c r="F10" s="182"/>
      <c r="G10" s="182"/>
      <c r="H10" s="182"/>
      <c r="I10" s="182"/>
      <c r="J10" s="181"/>
      <c r="K10" s="180"/>
      <c r="L10" s="100"/>
      <c r="M10" s="125"/>
      <c r="N10" s="17"/>
      <c r="O10" s="17"/>
      <c r="P10" s="17"/>
    </row>
    <row r="11" spans="1:18">
      <c r="A11" s="124" t="s">
        <v>59</v>
      </c>
      <c r="B11" s="124"/>
      <c r="C11" s="19"/>
      <c r="D11" s="113">
        <v>43971</v>
      </c>
      <c r="E11" s="19">
        <f t="shared" ref="E11:K13" si="2">SUMIF($D$4:$D$9,$D11,E$4:E$9)</f>
        <v>195860</v>
      </c>
      <c r="F11" s="19">
        <f t="shared" si="2"/>
        <v>195860</v>
      </c>
      <c r="G11" s="19">
        <f t="shared" si="2"/>
        <v>176472</v>
      </c>
      <c r="H11" s="19">
        <f t="shared" si="2"/>
        <v>0</v>
      </c>
      <c r="I11" s="19">
        <f t="shared" si="2"/>
        <v>58823</v>
      </c>
      <c r="J11" s="19">
        <f t="shared" si="2"/>
        <v>0</v>
      </c>
      <c r="K11" s="19">
        <f t="shared" si="2"/>
        <v>-39435</v>
      </c>
      <c r="L11" s="139"/>
      <c r="M11" s="19">
        <f t="shared" ref="M11:P13" si="3">SUMIF($D$4:$D$10,$D11,M$4:M$10)</f>
        <v>0</v>
      </c>
      <c r="N11" s="19">
        <f t="shared" si="3"/>
        <v>0</v>
      </c>
      <c r="O11" s="19">
        <f t="shared" si="3"/>
        <v>0</v>
      </c>
      <c r="P11" s="19">
        <f t="shared" si="3"/>
        <v>0</v>
      </c>
    </row>
    <row r="12" spans="1:18">
      <c r="A12" s="124" t="s">
        <v>59</v>
      </c>
      <c r="B12" s="155"/>
      <c r="C12" s="19"/>
      <c r="D12" s="113">
        <v>44002</v>
      </c>
      <c r="E12" s="19">
        <f t="shared" si="2"/>
        <v>603363</v>
      </c>
      <c r="F12" s="19">
        <f t="shared" si="2"/>
        <v>603363</v>
      </c>
      <c r="G12" s="19">
        <f t="shared" si="2"/>
        <v>441165</v>
      </c>
      <c r="H12" s="19">
        <f t="shared" si="2"/>
        <v>0</v>
      </c>
      <c r="I12" s="19">
        <f t="shared" si="2"/>
        <v>147056</v>
      </c>
      <c r="J12" s="19">
        <f t="shared" si="2"/>
        <v>0</v>
      </c>
      <c r="K12" s="19">
        <f t="shared" si="2"/>
        <v>15142</v>
      </c>
      <c r="L12" s="139"/>
      <c r="M12" s="19">
        <f t="shared" si="3"/>
        <v>0</v>
      </c>
      <c r="N12" s="19">
        <f t="shared" si="3"/>
        <v>0</v>
      </c>
      <c r="O12" s="19">
        <f t="shared" si="3"/>
        <v>0</v>
      </c>
      <c r="P12" s="19">
        <f t="shared" si="3"/>
        <v>0</v>
      </c>
    </row>
    <row r="13" spans="1:18" ht="13" thickBot="1">
      <c r="A13" s="134" t="s">
        <v>59</v>
      </c>
      <c r="B13" s="117"/>
      <c r="C13" s="120"/>
      <c r="D13" s="121">
        <v>44032</v>
      </c>
      <c r="E13" s="120">
        <f t="shared" si="2"/>
        <v>1045286</v>
      </c>
      <c r="F13" s="120">
        <f t="shared" si="2"/>
        <v>1045286</v>
      </c>
      <c r="G13" s="120">
        <f t="shared" si="2"/>
        <v>760155</v>
      </c>
      <c r="H13" s="120">
        <f t="shared" si="2"/>
        <v>0</v>
      </c>
      <c r="I13" s="120">
        <f t="shared" si="2"/>
        <v>253386</v>
      </c>
      <c r="J13" s="120">
        <f t="shared" si="2"/>
        <v>0</v>
      </c>
      <c r="K13" s="120">
        <f t="shared" si="2"/>
        <v>31745</v>
      </c>
      <c r="L13" s="139"/>
      <c r="M13" s="120">
        <f t="shared" si="3"/>
        <v>0</v>
      </c>
      <c r="N13" s="186">
        <f t="shared" si="3"/>
        <v>0</v>
      </c>
      <c r="O13" s="120">
        <f t="shared" si="3"/>
        <v>0</v>
      </c>
      <c r="P13" s="120">
        <f t="shared" si="3"/>
        <v>0</v>
      </c>
    </row>
    <row r="14" spans="1:18">
      <c r="A14" s="137" t="s">
        <v>58</v>
      </c>
      <c r="B14" s="336"/>
      <c r="C14" s="136"/>
      <c r="D14" s="113"/>
      <c r="E14" s="112">
        <f t="shared" ref="E14:K14" si="4">SUM(E11:E13)</f>
        <v>1844509</v>
      </c>
      <c r="F14" s="112">
        <f t="shared" si="4"/>
        <v>1844509</v>
      </c>
      <c r="G14" s="112">
        <f t="shared" si="4"/>
        <v>1377792</v>
      </c>
      <c r="H14" s="112">
        <f t="shared" si="4"/>
        <v>0</v>
      </c>
      <c r="I14" s="112">
        <f t="shared" si="4"/>
        <v>459265</v>
      </c>
      <c r="J14" s="112">
        <f t="shared" si="4"/>
        <v>0</v>
      </c>
      <c r="K14" s="112">
        <f t="shared" si="4"/>
        <v>7452</v>
      </c>
      <c r="L14" s="179"/>
      <c r="M14" s="112">
        <f>SUM(M11:M13)</f>
        <v>0</v>
      </c>
      <c r="N14" s="112">
        <f>SUM(N11:N13)</f>
        <v>0</v>
      </c>
      <c r="O14" s="112">
        <f>SUM(O11:O13)</f>
        <v>0</v>
      </c>
      <c r="P14" s="112">
        <f>SUM(P11:P13)</f>
        <v>0</v>
      </c>
    </row>
    <row r="15" spans="1:18">
      <c r="A15" s="22" t="s">
        <v>57</v>
      </c>
      <c r="B15" s="336"/>
      <c r="C15" s="136"/>
      <c r="D15" s="161"/>
      <c r="E15" s="19"/>
      <c r="F15" s="164"/>
      <c r="G15" s="19">
        <f>'SFY 1920 M&amp;O CAP'!E35+'SFY 1920 M&amp;O CAP'!E45-SUM(G11:G13)</f>
        <v>0</v>
      </c>
      <c r="H15" s="19">
        <f>'SFY 1920 M&amp;O CAP'!F35+'SFY 1920 M&amp;O CAP'!F45-SUM(H11:H13)</f>
        <v>0</v>
      </c>
      <c r="I15" s="19">
        <f>'SFY 1920 M&amp;O CAP'!G35+'SFY 1920 M&amp;O CAP'!G45-SUM(I11:I13)</f>
        <v>0</v>
      </c>
      <c r="J15" s="19">
        <f>'SFY 1920 M&amp;O CAP'!H35+'SFY 1920 M&amp;O CAP'!H45-SUM(J11:J13)</f>
        <v>0</v>
      </c>
      <c r="K15" s="19">
        <f>'SFY 1920 M&amp;O CAP'!I35+'SFY 1920 M&amp;O CAP'!I45-SUM(K11:K13)</f>
        <v>0</v>
      </c>
      <c r="L15" s="179"/>
      <c r="M15" s="19">
        <v>0</v>
      </c>
      <c r="N15" s="19">
        <v>0</v>
      </c>
      <c r="O15" s="19">
        <v>0</v>
      </c>
      <c r="P15" s="19">
        <v>0</v>
      </c>
    </row>
    <row r="16" spans="1:18" ht="3" customHeight="1">
      <c r="A16" s="111"/>
      <c r="B16" s="178"/>
      <c r="C16" s="107"/>
      <c r="D16" s="107"/>
      <c r="E16" s="107"/>
      <c r="F16" s="107"/>
      <c r="G16" s="107"/>
      <c r="H16" s="107"/>
      <c r="I16" s="107"/>
      <c r="J16" s="109"/>
      <c r="K16" s="177"/>
      <c r="M16" s="108"/>
      <c r="N16" s="107"/>
      <c r="O16" s="107"/>
      <c r="P16" s="107"/>
    </row>
    <row r="17" spans="1:16" ht="13">
      <c r="A17" s="106" t="s">
        <v>48</v>
      </c>
      <c r="B17" s="176" t="s">
        <v>303</v>
      </c>
      <c r="C17" s="62"/>
      <c r="D17" s="62"/>
      <c r="E17" s="62">
        <f t="shared" ref="E17:K17" si="5">SUM(E14:E15)</f>
        <v>1844509</v>
      </c>
      <c r="F17" s="18">
        <f>SUM(G17:K17)</f>
        <v>1844509</v>
      </c>
      <c r="G17" s="62">
        <f t="shared" si="5"/>
        <v>1377792</v>
      </c>
      <c r="H17" s="62">
        <f t="shared" si="5"/>
        <v>0</v>
      </c>
      <c r="I17" s="62">
        <f t="shared" si="5"/>
        <v>459265</v>
      </c>
      <c r="J17" s="62">
        <f t="shared" si="5"/>
        <v>0</v>
      </c>
      <c r="K17" s="62">
        <f t="shared" si="5"/>
        <v>7452</v>
      </c>
      <c r="L17" s="175"/>
      <c r="M17" s="18">
        <f>SUM(M14:M15)</f>
        <v>0</v>
      </c>
      <c r="N17" s="18">
        <f>SUM(N14:N15)</f>
        <v>0</v>
      </c>
      <c r="O17" s="18">
        <f>SUM(O14:O15)</f>
        <v>0</v>
      </c>
      <c r="P17" s="18">
        <f>SUM(P14:P15)</f>
        <v>0</v>
      </c>
    </row>
    <row r="18" spans="1:16" ht="13">
      <c r="D18" s="174"/>
      <c r="E18" s="85"/>
      <c r="F18" s="173"/>
      <c r="G18" s="171"/>
      <c r="H18" s="171"/>
      <c r="I18" s="171"/>
      <c r="J18" s="171"/>
      <c r="K18" s="171"/>
      <c r="M18" s="90"/>
      <c r="N18" s="90"/>
      <c r="O18" s="90"/>
      <c r="P18" s="90"/>
    </row>
    <row r="19" spans="1:16">
      <c r="A19" s="95"/>
      <c r="D19" s="98"/>
      <c r="E19" s="730"/>
      <c r="F19" s="730"/>
      <c r="G19" s="101"/>
      <c r="H19" s="101"/>
      <c r="I19" s="101"/>
      <c r="J19" s="101"/>
      <c r="K19" s="101"/>
      <c r="L19" s="1"/>
      <c r="M19" s="90"/>
      <c r="N19" s="90"/>
      <c r="O19" s="90"/>
      <c r="P19" s="90"/>
    </row>
    <row r="20" spans="1:16" ht="13">
      <c r="A20" s="95"/>
      <c r="E20" s="170"/>
      <c r="G20" s="171"/>
      <c r="H20" s="172"/>
      <c r="I20" s="171"/>
      <c r="J20" s="172"/>
      <c r="K20" s="172"/>
      <c r="M20" s="171"/>
      <c r="N20" s="171"/>
      <c r="O20" s="171"/>
      <c r="P20" s="171"/>
    </row>
    <row r="21" spans="1:16" ht="13">
      <c r="E21" s="170"/>
      <c r="F21" s="13"/>
      <c r="G21" s="13"/>
      <c r="H21" s="13"/>
      <c r="I21" s="13"/>
      <c r="J21" s="13"/>
      <c r="K21" s="13"/>
      <c r="M21" s="169"/>
      <c r="N21" s="13"/>
    </row>
    <row r="22" spans="1:16" ht="13">
      <c r="B22" s="87"/>
      <c r="E22" s="168"/>
      <c r="F22" s="13"/>
      <c r="G22" s="13"/>
      <c r="H22" s="86"/>
      <c r="I22" s="13"/>
      <c r="J22" s="13"/>
      <c r="K22" s="13"/>
    </row>
    <row r="23" spans="1:16">
      <c r="D23" s="13"/>
      <c r="E23" s="101"/>
      <c r="F23" s="101"/>
      <c r="G23" s="34"/>
      <c r="J23" s="145"/>
      <c r="K23" s="145"/>
    </row>
    <row r="24" spans="1:16">
      <c r="J24" s="87"/>
      <c r="K24" s="87"/>
    </row>
    <row r="25" spans="1:16">
      <c r="D25" s="13"/>
      <c r="E25" s="13"/>
      <c r="J25" s="87"/>
      <c r="K25" s="87"/>
    </row>
    <row r="26" spans="1:16">
      <c r="E26" s="86"/>
      <c r="J26" s="87"/>
      <c r="K26" s="87"/>
    </row>
    <row r="29" spans="1:16">
      <c r="H29" s="87"/>
    </row>
  </sheetData>
  <mergeCells count="1">
    <mergeCell ref="A1:K1"/>
  </mergeCells>
  <pageMargins left="0.7" right="0.7" top="0.75" bottom="0.75" header="0.3" footer="0.3"/>
  <pageSetup scale="59" orientation="landscape" r:id="rId1"/>
  <headerFooter>
    <oddHeader>&amp;CC-IV CalHEERS Project 
County Claim Summary</oddHeader>
    <oddFooter>&amp;Cpage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T35"/>
  <sheetViews>
    <sheetView showGridLines="0" zoomScaleNormal="100" workbookViewId="0">
      <pane xSplit="2" ySplit="3" topLeftCell="C4" activePane="bottomRight" state="frozen"/>
      <selection activeCell="R32" sqref="R32"/>
      <selection pane="topRight" activeCell="R32" sqref="R32"/>
      <selection pane="bottomLeft" activeCell="R32" sqref="R32"/>
      <selection pane="bottomRight" activeCell="A3" sqref="A3"/>
    </sheetView>
  </sheetViews>
  <sheetFormatPr defaultColWidth="9.1796875" defaultRowHeight="12.5"/>
  <cols>
    <col min="1" max="1" width="30.453125" style="68" customWidth="1"/>
    <col min="2" max="2" width="14.81640625" style="68" customWidth="1"/>
    <col min="3" max="3" width="9.1796875" style="68"/>
    <col min="4" max="4" width="11.453125" style="68" customWidth="1"/>
    <col min="5" max="5" width="14.54296875" style="68" customWidth="1"/>
    <col min="6" max="6" width="12.453125" style="68" bestFit="1" customWidth="1"/>
    <col min="7" max="7" width="13.453125" style="68" customWidth="1"/>
    <col min="8" max="10" width="11.54296875" style="68" customWidth="1"/>
    <col min="11" max="11" width="11.453125" style="68" bestFit="1" customWidth="1"/>
    <col min="12" max="12" width="5.54296875" style="68" customWidth="1"/>
    <col min="13" max="13" width="11.54296875" style="68" customWidth="1"/>
    <col min="14" max="14" width="11.453125" style="68" customWidth="1"/>
    <col min="15" max="15" width="12.1796875" style="68" customWidth="1"/>
    <col min="16" max="16" width="14.453125" style="68" customWidth="1"/>
    <col min="17" max="17" width="9.1796875" style="68" customWidth="1"/>
    <col min="18" max="16384" width="9.1796875" style="68"/>
  </cols>
  <sheetData>
    <row r="1" spans="1:20" ht="14">
      <c r="A1" s="949" t="s">
        <v>306</v>
      </c>
      <c r="B1" s="949"/>
      <c r="C1" s="949"/>
      <c r="D1" s="949"/>
      <c r="E1" s="949"/>
      <c r="F1" s="949"/>
      <c r="G1" s="949"/>
      <c r="H1" s="949"/>
      <c r="I1" s="949"/>
      <c r="J1" s="949"/>
      <c r="K1" s="949"/>
      <c r="L1" s="949"/>
    </row>
    <row r="2" spans="1:20" ht="12.75" customHeight="1"/>
    <row r="3" spans="1:20" ht="53.25" customHeight="1">
      <c r="A3" s="24" t="s">
        <v>44</v>
      </c>
      <c r="B3" s="24" t="s">
        <v>68</v>
      </c>
      <c r="C3" s="24" t="s">
        <v>67</v>
      </c>
      <c r="D3" s="24" t="s">
        <v>66</v>
      </c>
      <c r="E3" s="188" t="s">
        <v>75</v>
      </c>
      <c r="F3" s="188" t="s">
        <v>48</v>
      </c>
      <c r="G3" s="188" t="s">
        <v>65</v>
      </c>
      <c r="H3" s="188" t="s">
        <v>64</v>
      </c>
      <c r="I3" s="188" t="s">
        <v>63</v>
      </c>
      <c r="J3" s="188" t="s">
        <v>62</v>
      </c>
      <c r="K3" s="24" t="s">
        <v>72</v>
      </c>
      <c r="L3" s="87"/>
      <c r="M3" s="140" t="s">
        <v>43</v>
      </c>
      <c r="N3" s="24" t="s">
        <v>42</v>
      </c>
      <c r="O3" s="24" t="s">
        <v>138</v>
      </c>
      <c r="P3" s="24" t="s">
        <v>60</v>
      </c>
    </row>
    <row r="4" spans="1:20" s="98" customFormat="1">
      <c r="A4" s="22" t="s">
        <v>20</v>
      </c>
      <c r="B4" s="114">
        <v>43941</v>
      </c>
      <c r="C4" s="136">
        <v>0</v>
      </c>
      <c r="D4" s="113">
        <v>43971</v>
      </c>
      <c r="E4" s="158">
        <v>11656</v>
      </c>
      <c r="F4" s="271">
        <f t="shared" ref="F4:F9" si="0">SUM(G4:K4)</f>
        <v>11656</v>
      </c>
      <c r="G4" s="164">
        <v>8742</v>
      </c>
      <c r="H4" s="164">
        <v>0</v>
      </c>
      <c r="I4" s="164">
        <v>2914</v>
      </c>
      <c r="J4" s="164">
        <v>0</v>
      </c>
      <c r="K4" s="119">
        <v>0</v>
      </c>
      <c r="L4" s="139"/>
      <c r="M4" s="19">
        <v>0</v>
      </c>
      <c r="N4" s="19">
        <v>0</v>
      </c>
      <c r="O4" s="19">
        <v>0</v>
      </c>
      <c r="P4" s="19">
        <f t="shared" ref="P4:P9" si="1">SUM(M4:O4)</f>
        <v>0</v>
      </c>
      <c r="Q4" s="185"/>
      <c r="R4" s="100"/>
    </row>
    <row r="5" spans="1:20" s="98" customFormat="1" ht="13" thickBot="1">
      <c r="A5" s="134" t="s">
        <v>11</v>
      </c>
      <c r="B5" s="121">
        <v>43941</v>
      </c>
      <c r="C5" s="133">
        <v>0</v>
      </c>
      <c r="D5" s="121">
        <v>43971</v>
      </c>
      <c r="E5" s="116">
        <v>489185</v>
      </c>
      <c r="F5" s="132">
        <f t="shared" si="0"/>
        <v>489185</v>
      </c>
      <c r="G5" s="116">
        <v>366888</v>
      </c>
      <c r="H5" s="116">
        <v>0</v>
      </c>
      <c r="I5" s="116">
        <v>122297</v>
      </c>
      <c r="J5" s="116">
        <v>0</v>
      </c>
      <c r="K5" s="120">
        <v>0</v>
      </c>
      <c r="L5" s="139"/>
      <c r="M5" s="120">
        <v>0</v>
      </c>
      <c r="N5" s="120">
        <v>0</v>
      </c>
      <c r="O5" s="120">
        <v>0</v>
      </c>
      <c r="P5" s="120">
        <f t="shared" si="1"/>
        <v>0</v>
      </c>
      <c r="Q5" s="187"/>
      <c r="R5" s="100"/>
    </row>
    <row r="6" spans="1:20" s="98" customFormat="1" ht="13.5" customHeight="1">
      <c r="A6" s="22" t="s">
        <v>20</v>
      </c>
      <c r="B6" s="113">
        <v>43971</v>
      </c>
      <c r="C6" s="136">
        <v>0</v>
      </c>
      <c r="D6" s="334">
        <v>44002</v>
      </c>
      <c r="E6" s="112">
        <v>17484</v>
      </c>
      <c r="F6" s="135">
        <f>SUM(G6:K6)</f>
        <v>17484</v>
      </c>
      <c r="G6" s="112">
        <v>13113</v>
      </c>
      <c r="H6" s="112">
        <v>0</v>
      </c>
      <c r="I6" s="112">
        <v>4371</v>
      </c>
      <c r="J6" s="112">
        <v>0</v>
      </c>
      <c r="K6" s="138">
        <v>0</v>
      </c>
      <c r="L6" s="139"/>
      <c r="M6" s="19">
        <v>0</v>
      </c>
      <c r="N6" s="19">
        <v>0</v>
      </c>
      <c r="O6" s="19">
        <v>0</v>
      </c>
      <c r="P6" s="19">
        <f t="shared" si="1"/>
        <v>0</v>
      </c>
      <c r="Q6" s="139"/>
      <c r="R6" s="100"/>
    </row>
    <row r="7" spans="1:20" s="98" customFormat="1" ht="13.5" customHeight="1" thickBot="1">
      <c r="A7" s="118" t="s">
        <v>11</v>
      </c>
      <c r="B7" s="121">
        <v>43971</v>
      </c>
      <c r="C7" s="133">
        <v>0</v>
      </c>
      <c r="D7" s="335">
        <v>44002</v>
      </c>
      <c r="E7" s="132">
        <v>307826</v>
      </c>
      <c r="F7" s="132">
        <f>SUM(G7:K7)</f>
        <v>307826</v>
      </c>
      <c r="G7" s="162">
        <v>230869</v>
      </c>
      <c r="H7" s="162">
        <v>0</v>
      </c>
      <c r="I7" s="162">
        <v>76957</v>
      </c>
      <c r="J7" s="162">
        <v>0</v>
      </c>
      <c r="K7" s="120">
        <v>0</v>
      </c>
      <c r="L7" s="139"/>
      <c r="M7" s="120">
        <v>0</v>
      </c>
      <c r="N7" s="120">
        <v>0</v>
      </c>
      <c r="O7" s="120">
        <v>0</v>
      </c>
      <c r="P7" s="120">
        <f t="shared" si="1"/>
        <v>0</v>
      </c>
      <c r="Q7" s="184"/>
      <c r="R7" s="100"/>
      <c r="T7" s="100"/>
    </row>
    <row r="8" spans="1:20" s="98" customFormat="1">
      <c r="A8" s="22" t="s">
        <v>20</v>
      </c>
      <c r="B8" s="334">
        <v>44002</v>
      </c>
      <c r="C8" s="136">
        <v>0</v>
      </c>
      <c r="D8" s="113">
        <v>44032</v>
      </c>
      <c r="E8" s="135">
        <v>11656</v>
      </c>
      <c r="F8" s="135">
        <f t="shared" si="0"/>
        <v>11656</v>
      </c>
      <c r="G8" s="165">
        <v>8742</v>
      </c>
      <c r="H8" s="165">
        <v>0</v>
      </c>
      <c r="I8" s="165">
        <v>2914</v>
      </c>
      <c r="J8" s="165">
        <v>0</v>
      </c>
      <c r="K8" s="112">
        <v>0</v>
      </c>
      <c r="L8" s="138"/>
      <c r="M8" s="112">
        <v>0</v>
      </c>
      <c r="N8" s="112">
        <v>0</v>
      </c>
      <c r="O8" s="112">
        <v>0</v>
      </c>
      <c r="P8" s="112">
        <f t="shared" si="1"/>
        <v>0</v>
      </c>
    </row>
    <row r="9" spans="1:20" s="98" customFormat="1">
      <c r="A9" s="22" t="s">
        <v>11</v>
      </c>
      <c r="B9" s="334">
        <v>44002</v>
      </c>
      <c r="C9" s="129">
        <v>0</v>
      </c>
      <c r="D9" s="113">
        <v>44032</v>
      </c>
      <c r="E9" s="19">
        <v>602215</v>
      </c>
      <c r="F9" s="158">
        <f t="shared" si="0"/>
        <v>602215</v>
      </c>
      <c r="G9" s="19">
        <v>451661</v>
      </c>
      <c r="H9" s="19">
        <v>0</v>
      </c>
      <c r="I9" s="19">
        <v>150554</v>
      </c>
      <c r="J9" s="19">
        <v>0</v>
      </c>
      <c r="K9" s="19">
        <v>0</v>
      </c>
      <c r="L9" s="139"/>
      <c r="M9" s="19">
        <v>0</v>
      </c>
      <c r="N9" s="19">
        <v>0</v>
      </c>
      <c r="O9" s="19">
        <v>0</v>
      </c>
      <c r="P9" s="19">
        <f t="shared" si="1"/>
        <v>0</v>
      </c>
    </row>
    <row r="10" spans="1:20" ht="5.25" customHeight="1">
      <c r="A10" s="128"/>
      <c r="B10" s="156"/>
      <c r="C10" s="17"/>
      <c r="D10" s="17"/>
      <c r="E10" s="17"/>
      <c r="F10" s="182"/>
      <c r="G10" s="17"/>
      <c r="H10" s="17"/>
      <c r="I10" s="17"/>
      <c r="J10" s="126"/>
      <c r="K10" s="181"/>
      <c r="L10" s="100"/>
      <c r="M10" s="125"/>
      <c r="N10" s="17"/>
      <c r="O10" s="17"/>
      <c r="P10" s="17"/>
    </row>
    <row r="11" spans="1:20">
      <c r="A11" s="124" t="s">
        <v>59</v>
      </c>
      <c r="B11" s="124"/>
      <c r="C11" s="19"/>
      <c r="D11" s="114">
        <v>43971</v>
      </c>
      <c r="E11" s="19">
        <f t="shared" ref="E11:G13" si="2">SUMIF($D$4:$D$9,$D11,E$4:E$9)</f>
        <v>500841</v>
      </c>
      <c r="F11" s="19">
        <f t="shared" si="2"/>
        <v>500841</v>
      </c>
      <c r="G11" s="19">
        <f t="shared" si="2"/>
        <v>375630</v>
      </c>
      <c r="H11" s="19">
        <v>0</v>
      </c>
      <c r="I11" s="19">
        <f t="shared" ref="I11:J13" si="3">SUMIF($D$4:$D$9,$D11,I$4:I$9)</f>
        <v>125211</v>
      </c>
      <c r="J11" s="19">
        <f t="shared" si="3"/>
        <v>0</v>
      </c>
      <c r="K11" s="19">
        <f>SUMIF($D$4:$D$10,$D11,K$4:K$10)</f>
        <v>0</v>
      </c>
      <c r="L11" s="139"/>
      <c r="M11" s="19">
        <f t="shared" ref="M11:P13" si="4">SUMIF($D$4:$D$10,$D11,M$4:M$10)</f>
        <v>0</v>
      </c>
      <c r="N11" s="19">
        <f t="shared" si="4"/>
        <v>0</v>
      </c>
      <c r="O11" s="19">
        <f t="shared" si="4"/>
        <v>0</v>
      </c>
      <c r="P11" s="19">
        <f t="shared" si="4"/>
        <v>0</v>
      </c>
    </row>
    <row r="12" spans="1:20">
      <c r="A12" s="124" t="s">
        <v>59</v>
      </c>
      <c r="B12" s="155"/>
      <c r="C12" s="19"/>
      <c r="D12" s="114">
        <v>44002</v>
      </c>
      <c r="E12" s="19">
        <f t="shared" si="2"/>
        <v>325310</v>
      </c>
      <c r="F12" s="19">
        <f t="shared" si="2"/>
        <v>325310</v>
      </c>
      <c r="G12" s="19">
        <f t="shared" si="2"/>
        <v>243982</v>
      </c>
      <c r="H12" s="19">
        <v>0</v>
      </c>
      <c r="I12" s="19">
        <f t="shared" si="3"/>
        <v>81328</v>
      </c>
      <c r="J12" s="19">
        <f t="shared" si="3"/>
        <v>0</v>
      </c>
      <c r="K12" s="19">
        <f>SUMIF($D$4:$D$10,$D12,K$4:K$10)</f>
        <v>0</v>
      </c>
      <c r="L12" s="139"/>
      <c r="M12" s="19">
        <f t="shared" si="4"/>
        <v>0</v>
      </c>
      <c r="N12" s="19">
        <f t="shared" si="4"/>
        <v>0</v>
      </c>
      <c r="O12" s="19">
        <f t="shared" si="4"/>
        <v>0</v>
      </c>
      <c r="P12" s="19">
        <f t="shared" si="4"/>
        <v>0</v>
      </c>
    </row>
    <row r="13" spans="1:20" ht="13" thickBot="1">
      <c r="A13" s="134" t="s">
        <v>59</v>
      </c>
      <c r="B13" s="117"/>
      <c r="C13" s="120"/>
      <c r="D13" s="121">
        <v>44032</v>
      </c>
      <c r="E13" s="120">
        <f t="shared" si="2"/>
        <v>613871</v>
      </c>
      <c r="F13" s="120">
        <f t="shared" si="2"/>
        <v>613871</v>
      </c>
      <c r="G13" s="120">
        <f t="shared" si="2"/>
        <v>460403</v>
      </c>
      <c r="H13" s="120">
        <v>0</v>
      </c>
      <c r="I13" s="120">
        <f t="shared" si="3"/>
        <v>153468</v>
      </c>
      <c r="J13" s="120">
        <f t="shared" si="3"/>
        <v>0</v>
      </c>
      <c r="K13" s="120">
        <f>SUMIF($D$4:$D$10,$D13,K$4:K$10)</f>
        <v>0</v>
      </c>
      <c r="L13" s="139"/>
      <c r="M13" s="120">
        <f t="shared" si="4"/>
        <v>0</v>
      </c>
      <c r="N13" s="186">
        <f t="shared" si="4"/>
        <v>0</v>
      </c>
      <c r="O13" s="120">
        <f t="shared" si="4"/>
        <v>0</v>
      </c>
      <c r="P13" s="120">
        <f t="shared" si="4"/>
        <v>0</v>
      </c>
    </row>
    <row r="14" spans="1:20">
      <c r="A14" s="22" t="s">
        <v>58</v>
      </c>
      <c r="B14" s="336"/>
      <c r="C14" s="129"/>
      <c r="D14" s="113"/>
      <c r="E14" s="112">
        <f t="shared" ref="E14:K14" si="5">SUM(E11:E13)</f>
        <v>1440022</v>
      </c>
      <c r="F14" s="112">
        <f t="shared" si="5"/>
        <v>1440022</v>
      </c>
      <c r="G14" s="112">
        <f t="shared" si="5"/>
        <v>1080015</v>
      </c>
      <c r="H14" s="112">
        <f t="shared" si="5"/>
        <v>0</v>
      </c>
      <c r="I14" s="112">
        <f t="shared" si="5"/>
        <v>360007</v>
      </c>
      <c r="J14" s="112">
        <f t="shared" si="5"/>
        <v>0</v>
      </c>
      <c r="K14" s="112">
        <f t="shared" si="5"/>
        <v>0</v>
      </c>
      <c r="L14" s="139"/>
      <c r="M14" s="19">
        <f>SUM(M11:M13)</f>
        <v>0</v>
      </c>
      <c r="N14" s="19">
        <f>SUM(N11:N13)</f>
        <v>0</v>
      </c>
      <c r="O14" s="19">
        <f>SUM(O11:O13)</f>
        <v>0</v>
      </c>
      <c r="P14" s="19">
        <f>SUM(P11:P13)</f>
        <v>0</v>
      </c>
    </row>
    <row r="15" spans="1:20">
      <c r="A15" s="22" t="s">
        <v>57</v>
      </c>
      <c r="B15" s="336"/>
      <c r="C15" s="129"/>
      <c r="D15" s="113"/>
      <c r="E15" s="19"/>
      <c r="F15" s="158"/>
      <c r="G15" s="19">
        <f>'SFY 1920 M&amp;O CAP'!E55-SUM(G11:G13)</f>
        <v>1</v>
      </c>
      <c r="H15" s="19">
        <f>'SFY 1920 M&amp;O CAP'!F55-SUM(H11:H13)</f>
        <v>0</v>
      </c>
      <c r="I15" s="19">
        <f>'SFY 1920 M&amp;O CAP'!G55-SUM(I11:I13)</f>
        <v>-1</v>
      </c>
      <c r="J15" s="19">
        <f>'SFY 1920 M&amp;O CAP'!H55-SUM(J11:J13)</f>
        <v>0</v>
      </c>
      <c r="K15" s="19">
        <f>'SFY 1920 M&amp;O CAP'!I55-SUM(K11:K13)</f>
        <v>0</v>
      </c>
      <c r="L15" s="139"/>
      <c r="M15" s="19">
        <v>0</v>
      </c>
      <c r="N15" s="19">
        <v>0</v>
      </c>
      <c r="O15" s="19">
        <v>0</v>
      </c>
      <c r="P15" s="19">
        <f>SUM(M15:O15)</f>
        <v>0</v>
      </c>
    </row>
    <row r="16" spans="1:20" ht="3" customHeight="1">
      <c r="A16" s="111"/>
      <c r="B16" s="110"/>
      <c r="C16" s="107"/>
      <c r="D16" s="107"/>
      <c r="E16" s="107"/>
      <c r="F16" s="107"/>
      <c r="G16" s="107"/>
      <c r="H16" s="107"/>
      <c r="I16" s="107"/>
      <c r="J16" s="109"/>
      <c r="K16" s="197"/>
      <c r="M16" s="108"/>
      <c r="N16" s="107"/>
      <c r="O16" s="107"/>
      <c r="P16" s="107"/>
    </row>
    <row r="17" spans="1:16" ht="13">
      <c r="A17" s="106" t="s">
        <v>48</v>
      </c>
      <c r="B17" s="105" t="s">
        <v>303</v>
      </c>
      <c r="C17" s="62"/>
      <c r="D17" s="62"/>
      <c r="E17" s="62">
        <f t="shared" ref="E17:K17" si="6">SUM(E14:E15)</f>
        <v>1440022</v>
      </c>
      <c r="F17" s="18">
        <f>SUM(G17:K17)</f>
        <v>1440022</v>
      </c>
      <c r="G17" s="62">
        <f t="shared" si="6"/>
        <v>1080016</v>
      </c>
      <c r="H17" s="62">
        <f t="shared" si="6"/>
        <v>0</v>
      </c>
      <c r="I17" s="62">
        <f t="shared" si="6"/>
        <v>360006</v>
      </c>
      <c r="J17" s="62">
        <f t="shared" si="6"/>
        <v>0</v>
      </c>
      <c r="K17" s="18">
        <f t="shared" si="6"/>
        <v>0</v>
      </c>
      <c r="L17" s="175"/>
      <c r="M17" s="62">
        <f>SUM(M14:M15)</f>
        <v>0</v>
      </c>
      <c r="N17" s="62">
        <f>SUM(N14:N15)</f>
        <v>0</v>
      </c>
      <c r="O17" s="62">
        <f>SUM(O14:O15)</f>
        <v>0</v>
      </c>
      <c r="P17" s="62">
        <f>SUM(P14:P15)</f>
        <v>0</v>
      </c>
    </row>
    <row r="18" spans="1:16" ht="13">
      <c r="D18" s="174"/>
      <c r="E18" s="173"/>
      <c r="F18" s="173"/>
      <c r="G18" s="171"/>
      <c r="H18" s="171"/>
      <c r="I18" s="171"/>
      <c r="J18" s="171"/>
      <c r="L18" s="139"/>
      <c r="M18" s="90"/>
      <c r="N18" s="90"/>
      <c r="O18" s="90"/>
      <c r="P18" s="90"/>
    </row>
    <row r="19" spans="1:16" ht="13">
      <c r="A19" s="95"/>
      <c r="B19" s="761"/>
      <c r="E19" s="730"/>
      <c r="F19" s="730"/>
      <c r="G19" s="171"/>
      <c r="J19" s="31"/>
      <c r="K19" s="1"/>
      <c r="L19" s="139"/>
      <c r="M19" s="90"/>
      <c r="N19" s="90"/>
      <c r="O19" s="90"/>
      <c r="P19" s="90"/>
    </row>
    <row r="20" spans="1:16">
      <c r="A20" s="95"/>
      <c r="E20" s="88"/>
      <c r="G20" s="171"/>
      <c r="H20" s="171"/>
      <c r="I20" s="171"/>
      <c r="J20" s="171"/>
      <c r="M20" s="171"/>
      <c r="N20" s="171"/>
      <c r="O20" s="171"/>
      <c r="P20" s="171"/>
    </row>
    <row r="21" spans="1:16" ht="13">
      <c r="E21" s="88"/>
      <c r="F21" s="13"/>
      <c r="G21" s="13"/>
      <c r="H21" s="13"/>
      <c r="I21" s="13"/>
      <c r="J21" s="13"/>
      <c r="K21" s="190"/>
      <c r="M21" s="169"/>
      <c r="N21" s="13"/>
    </row>
    <row r="22" spans="1:16">
      <c r="B22" s="87"/>
      <c r="E22" s="13"/>
      <c r="F22" s="13"/>
      <c r="G22" s="13"/>
      <c r="H22" s="86"/>
      <c r="I22" s="13"/>
      <c r="J22" s="13"/>
      <c r="K22" s="98"/>
    </row>
    <row r="23" spans="1:16">
      <c r="J23" s="145"/>
      <c r="K23" s="98"/>
    </row>
    <row r="24" spans="1:16">
      <c r="E24" s="171"/>
      <c r="F24" s="171"/>
      <c r="G24" s="34"/>
      <c r="J24" s="87"/>
      <c r="K24" s="13"/>
    </row>
    <row r="25" spans="1:16">
      <c r="H25" s="68" t="s">
        <v>74</v>
      </c>
      <c r="J25" s="87"/>
    </row>
    <row r="26" spans="1:16">
      <c r="E26" s="87"/>
      <c r="J26" s="87"/>
      <c r="K26" s="87"/>
    </row>
    <row r="29" spans="1:16">
      <c r="H29" s="87"/>
      <c r="K29" s="87"/>
    </row>
    <row r="30" spans="1:16">
      <c r="K30" s="87"/>
    </row>
    <row r="31" spans="1:16">
      <c r="K31" s="87"/>
    </row>
    <row r="32" spans="1:16">
      <c r="K32" s="87"/>
    </row>
    <row r="33" spans="11:11">
      <c r="K33" s="87"/>
    </row>
    <row r="34" spans="11:11">
      <c r="K34" s="87"/>
    </row>
    <row r="35" spans="11:11">
      <c r="K35" s="87"/>
    </row>
  </sheetData>
  <mergeCells count="1">
    <mergeCell ref="A1:L1"/>
  </mergeCells>
  <pageMargins left="0.7" right="0.7" top="0.75" bottom="0.75" header="0.3" footer="0.3"/>
  <pageSetup scale="58" orientation="landscape" r:id="rId1"/>
  <headerFooter>
    <oddHeader>&amp;CC-IV C-IV Covered CA Project 
County Claim Summary</oddHeader>
    <oddFooter>&amp;Cpage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R35"/>
  <sheetViews>
    <sheetView showGridLines="0" zoomScaleNormal="100" workbookViewId="0">
      <pane ySplit="2" topLeftCell="A3" activePane="bottomLeft" state="frozen"/>
      <selection activeCell="R32" sqref="R32"/>
      <selection pane="bottomLeft" activeCell="A3" sqref="A3"/>
    </sheetView>
  </sheetViews>
  <sheetFormatPr defaultColWidth="9.1796875" defaultRowHeight="12.5"/>
  <cols>
    <col min="1" max="1" width="30.453125" style="68" customWidth="1"/>
    <col min="2" max="2" width="14.81640625" style="68" customWidth="1"/>
    <col min="3" max="3" width="8.54296875" style="68" customWidth="1"/>
    <col min="4" max="4" width="10.54296875" style="68" customWidth="1"/>
    <col min="5" max="5" width="14.54296875" style="68" customWidth="1"/>
    <col min="6" max="6" width="12.54296875" style="68" customWidth="1"/>
    <col min="7" max="7" width="13" style="68" customWidth="1"/>
    <col min="8" max="10" width="11.54296875" style="68" customWidth="1"/>
    <col min="11" max="11" width="6" style="68" customWidth="1"/>
    <col min="12" max="12" width="10" style="68" bestFit="1" customWidth="1"/>
    <col min="13" max="13" width="11.453125" style="68" bestFit="1" customWidth="1"/>
    <col min="14" max="14" width="10.453125" style="68" bestFit="1" customWidth="1"/>
    <col min="15" max="15" width="12.1796875" style="68" bestFit="1" customWidth="1"/>
    <col min="16" max="16" width="9.1796875" style="68"/>
    <col min="17" max="17" width="10" style="68" bestFit="1" customWidth="1"/>
    <col min="18" max="16384" width="9.1796875" style="68"/>
  </cols>
  <sheetData>
    <row r="1" spans="1:18" ht="14">
      <c r="E1" s="402" t="s">
        <v>307</v>
      </c>
      <c r="F1" s="402"/>
      <c r="G1" s="402"/>
      <c r="H1" s="402"/>
    </row>
    <row r="3" spans="1:18" ht="53.25" customHeight="1">
      <c r="A3" s="24" t="s">
        <v>44</v>
      </c>
      <c r="B3" s="24" t="s">
        <v>68</v>
      </c>
      <c r="C3" s="24" t="s">
        <v>67</v>
      </c>
      <c r="D3" s="24" t="s">
        <v>66</v>
      </c>
      <c r="E3" s="24" t="s">
        <v>53</v>
      </c>
      <c r="F3" s="24" t="s">
        <v>48</v>
      </c>
      <c r="G3" s="24" t="s">
        <v>65</v>
      </c>
      <c r="H3" s="24" t="s">
        <v>64</v>
      </c>
      <c r="I3" s="24" t="s">
        <v>63</v>
      </c>
      <c r="J3" s="166" t="s">
        <v>62</v>
      </c>
      <c r="K3" s="87"/>
      <c r="L3" s="24" t="s">
        <v>43</v>
      </c>
      <c r="M3" s="24" t="s">
        <v>42</v>
      </c>
      <c r="N3" s="24" t="s">
        <v>138</v>
      </c>
      <c r="O3" s="24" t="s">
        <v>60</v>
      </c>
    </row>
    <row r="4" spans="1:18" s="98" customFormat="1">
      <c r="A4" s="200" t="s">
        <v>25</v>
      </c>
      <c r="B4" s="113">
        <v>43941</v>
      </c>
      <c r="C4" s="136">
        <v>0</v>
      </c>
      <c r="D4" s="114">
        <v>43971</v>
      </c>
      <c r="E4" s="19">
        <v>992721</v>
      </c>
      <c r="F4" s="119">
        <f t="shared" ref="F4:F9" si="0">SUM(G4:J4)</f>
        <v>992721</v>
      </c>
      <c r="G4" s="19">
        <v>676960</v>
      </c>
      <c r="H4" s="19">
        <v>90512</v>
      </c>
      <c r="I4" s="19">
        <v>170178</v>
      </c>
      <c r="J4" s="19">
        <v>55071</v>
      </c>
      <c r="K4" s="139"/>
      <c r="L4" s="266">
        <v>35157</v>
      </c>
      <c r="M4" s="266">
        <v>655</v>
      </c>
      <c r="N4" s="158">
        <v>19259</v>
      </c>
      <c r="O4" s="19">
        <f t="shared" ref="O4:O9" si="1">SUM(L4:N4)</f>
        <v>55071</v>
      </c>
      <c r="Q4" s="103"/>
      <c r="R4" s="103"/>
    </row>
    <row r="5" spans="1:18" s="98" customFormat="1" ht="13" thickBot="1">
      <c r="A5" s="134" t="s">
        <v>11</v>
      </c>
      <c r="B5" s="121">
        <v>43941</v>
      </c>
      <c r="C5" s="133">
        <v>0</v>
      </c>
      <c r="D5" s="121">
        <v>43971</v>
      </c>
      <c r="E5" s="120">
        <v>3657474</v>
      </c>
      <c r="F5" s="120">
        <f t="shared" si="0"/>
        <v>3657474</v>
      </c>
      <c r="G5" s="116">
        <v>2494123</v>
      </c>
      <c r="H5" s="116">
        <v>333471</v>
      </c>
      <c r="I5" s="116">
        <v>626983</v>
      </c>
      <c r="J5" s="116">
        <v>202897</v>
      </c>
      <c r="K5" s="139"/>
      <c r="L5" s="272">
        <v>129529</v>
      </c>
      <c r="M5" s="186">
        <v>2413</v>
      </c>
      <c r="N5" s="276">
        <v>70955</v>
      </c>
      <c r="O5" s="116">
        <f t="shared" si="1"/>
        <v>202897</v>
      </c>
      <c r="Q5" s="103"/>
      <c r="R5" s="103"/>
    </row>
    <row r="6" spans="1:18" s="98" customFormat="1">
      <c r="A6" s="749" t="s">
        <v>25</v>
      </c>
      <c r="B6" s="131">
        <v>43971</v>
      </c>
      <c r="C6" s="743">
        <v>0</v>
      </c>
      <c r="D6" s="131">
        <v>44002</v>
      </c>
      <c r="E6" s="138">
        <v>943598</v>
      </c>
      <c r="F6" s="119">
        <f t="shared" si="0"/>
        <v>943598</v>
      </c>
      <c r="G6" s="119">
        <v>643462</v>
      </c>
      <c r="H6" s="119">
        <v>86034</v>
      </c>
      <c r="I6" s="119">
        <v>161757</v>
      </c>
      <c r="J6" s="119">
        <v>52345</v>
      </c>
      <c r="K6" s="139"/>
      <c r="L6" s="112">
        <v>33417</v>
      </c>
      <c r="M6" s="112">
        <v>622</v>
      </c>
      <c r="N6" s="135">
        <v>18306</v>
      </c>
      <c r="O6" s="112">
        <f>SUM(L6:N6)</f>
        <v>52345</v>
      </c>
      <c r="Q6" s="103"/>
      <c r="R6" s="103"/>
    </row>
    <row r="7" spans="1:18" s="98" customFormat="1" ht="13" thickBot="1">
      <c r="A7" s="134" t="s">
        <v>11</v>
      </c>
      <c r="B7" s="121">
        <v>43971</v>
      </c>
      <c r="C7" s="735">
        <v>0</v>
      </c>
      <c r="D7" s="121">
        <v>44002</v>
      </c>
      <c r="E7" s="120">
        <v>3357326</v>
      </c>
      <c r="F7" s="120">
        <f t="shared" si="0"/>
        <v>3357326</v>
      </c>
      <c r="G7" s="120">
        <v>2289444</v>
      </c>
      <c r="H7" s="120">
        <v>306106</v>
      </c>
      <c r="I7" s="120">
        <v>575530</v>
      </c>
      <c r="J7" s="120">
        <v>186246</v>
      </c>
      <c r="K7" s="139"/>
      <c r="L7" s="120">
        <v>118899</v>
      </c>
      <c r="M7" s="120">
        <v>2215</v>
      </c>
      <c r="N7" s="132">
        <v>65132</v>
      </c>
      <c r="O7" s="120">
        <f>SUM(L7:N7)</f>
        <v>186246</v>
      </c>
      <c r="Q7" s="103"/>
      <c r="R7" s="103"/>
    </row>
    <row r="8" spans="1:18" s="98" customFormat="1">
      <c r="A8" s="137" t="s">
        <v>25</v>
      </c>
      <c r="B8" s="334">
        <v>44002</v>
      </c>
      <c r="C8" s="136">
        <v>0</v>
      </c>
      <c r="D8" s="113">
        <v>44032</v>
      </c>
      <c r="E8" s="112">
        <v>937114</v>
      </c>
      <c r="F8" s="112">
        <f t="shared" si="0"/>
        <v>937114</v>
      </c>
      <c r="G8" s="112">
        <v>639040</v>
      </c>
      <c r="H8" s="112">
        <v>85444</v>
      </c>
      <c r="I8" s="112">
        <v>160645</v>
      </c>
      <c r="J8" s="112">
        <v>51985</v>
      </c>
      <c r="K8" s="139"/>
      <c r="L8" s="751">
        <v>33187</v>
      </c>
      <c r="M8" s="654">
        <v>618</v>
      </c>
      <c r="N8" s="163">
        <v>18180</v>
      </c>
      <c r="O8" s="112">
        <f t="shared" si="1"/>
        <v>51985</v>
      </c>
      <c r="Q8" s="103"/>
      <c r="R8" s="103"/>
    </row>
    <row r="9" spans="1:18" s="98" customFormat="1">
      <c r="A9" s="22" t="s">
        <v>11</v>
      </c>
      <c r="B9" s="334">
        <v>44002</v>
      </c>
      <c r="C9" s="129">
        <v>0</v>
      </c>
      <c r="D9" s="113">
        <v>44032</v>
      </c>
      <c r="E9" s="112">
        <v>10163436</v>
      </c>
      <c r="F9" s="19">
        <f t="shared" si="0"/>
        <v>10163436</v>
      </c>
      <c r="G9" s="112">
        <v>6930699</v>
      </c>
      <c r="H9" s="112">
        <v>926653</v>
      </c>
      <c r="I9" s="112">
        <v>1742267</v>
      </c>
      <c r="J9" s="19">
        <v>563817</v>
      </c>
      <c r="K9" s="139"/>
      <c r="L9" s="19">
        <v>359938</v>
      </c>
      <c r="M9" s="19">
        <v>6708</v>
      </c>
      <c r="N9" s="112">
        <v>197171</v>
      </c>
      <c r="O9" s="112">
        <f t="shared" si="1"/>
        <v>563817</v>
      </c>
      <c r="Q9" s="103"/>
      <c r="R9" s="103"/>
    </row>
    <row r="10" spans="1:18" ht="5.25" customHeight="1">
      <c r="A10" s="128"/>
      <c r="B10" s="127"/>
      <c r="C10" s="17"/>
      <c r="D10" s="17"/>
      <c r="E10" s="17"/>
      <c r="F10" s="182"/>
      <c r="G10" s="17"/>
      <c r="H10" s="17"/>
      <c r="I10" s="17"/>
      <c r="J10" s="126"/>
      <c r="K10" s="87"/>
      <c r="L10" s="108"/>
      <c r="M10" s="198"/>
      <c r="N10" s="197"/>
      <c r="O10" s="107"/>
      <c r="Q10" s="103"/>
      <c r="R10" s="103"/>
    </row>
    <row r="11" spans="1:18">
      <c r="A11" s="124" t="s">
        <v>59</v>
      </c>
      <c r="B11" s="124"/>
      <c r="C11" s="19"/>
      <c r="D11" s="114">
        <v>43971</v>
      </c>
      <c r="E11" s="19">
        <f ca="1">SUMIF($D$4:$D$10,$D11,E$4:E$9)</f>
        <v>4650195</v>
      </c>
      <c r="F11" s="19">
        <f t="shared" ref="F11:J13" si="2">SUMIF($D$4:$D$10,$D11,F$4:F$10)</f>
        <v>4650195</v>
      </c>
      <c r="G11" s="19">
        <f t="shared" si="2"/>
        <v>3171083</v>
      </c>
      <c r="H11" s="19">
        <f t="shared" si="2"/>
        <v>423983</v>
      </c>
      <c r="I11" s="19">
        <f t="shared" si="2"/>
        <v>797161</v>
      </c>
      <c r="J11" s="19">
        <f t="shared" si="2"/>
        <v>257968</v>
      </c>
      <c r="K11" s="139"/>
      <c r="L11" s="19">
        <f t="shared" ref="L11:O13" si="3">SUMIF($D$4:$D$10,$D11,L$4:L$10)</f>
        <v>164686</v>
      </c>
      <c r="M11" s="19">
        <f t="shared" si="3"/>
        <v>3068</v>
      </c>
      <c r="N11" s="19">
        <f t="shared" si="3"/>
        <v>90214</v>
      </c>
      <c r="O11" s="19">
        <f t="shared" si="3"/>
        <v>257968</v>
      </c>
      <c r="Q11" s="103"/>
      <c r="R11" s="103"/>
    </row>
    <row r="12" spans="1:18">
      <c r="A12" s="124" t="s">
        <v>59</v>
      </c>
      <c r="B12" s="124"/>
      <c r="C12" s="19"/>
      <c r="D12" s="114">
        <v>44002</v>
      </c>
      <c r="E12" s="19">
        <f ca="1">SUMIF($D$4:$D$10,$D12,E$4:E$9)</f>
        <v>4300924</v>
      </c>
      <c r="F12" s="19">
        <f t="shared" si="2"/>
        <v>4300924</v>
      </c>
      <c r="G12" s="19">
        <f t="shared" si="2"/>
        <v>2932906</v>
      </c>
      <c r="H12" s="19">
        <f t="shared" si="2"/>
        <v>392140</v>
      </c>
      <c r="I12" s="19">
        <f t="shared" si="2"/>
        <v>737287</v>
      </c>
      <c r="J12" s="19">
        <f t="shared" si="2"/>
        <v>238591</v>
      </c>
      <c r="K12" s="139"/>
      <c r="L12" s="19">
        <f t="shared" si="3"/>
        <v>152316</v>
      </c>
      <c r="M12" s="19">
        <f t="shared" si="3"/>
        <v>2837</v>
      </c>
      <c r="N12" s="19">
        <f t="shared" si="3"/>
        <v>83438</v>
      </c>
      <c r="O12" s="19">
        <f t="shared" si="3"/>
        <v>238591</v>
      </c>
      <c r="Q12" s="103"/>
      <c r="R12" s="103"/>
    </row>
    <row r="13" spans="1:18" ht="13" thickBot="1">
      <c r="A13" s="123" t="s">
        <v>59</v>
      </c>
      <c r="B13" s="123"/>
      <c r="C13" s="120"/>
      <c r="D13" s="121">
        <v>44032</v>
      </c>
      <c r="E13" s="120">
        <f ca="1">SUMIF($D$4:$D$10,$D13,E$4:E$9)</f>
        <v>11100550</v>
      </c>
      <c r="F13" s="120">
        <f t="shared" si="2"/>
        <v>11100550</v>
      </c>
      <c r="G13" s="120">
        <f t="shared" si="2"/>
        <v>7569739</v>
      </c>
      <c r="H13" s="120">
        <f t="shared" si="2"/>
        <v>1012097</v>
      </c>
      <c r="I13" s="195">
        <f t="shared" si="2"/>
        <v>1902912</v>
      </c>
      <c r="J13" s="120">
        <f t="shared" si="2"/>
        <v>615802</v>
      </c>
      <c r="K13" s="139"/>
      <c r="L13" s="120">
        <f t="shared" si="3"/>
        <v>393125</v>
      </c>
      <c r="M13" s="120">
        <f t="shared" si="3"/>
        <v>7326</v>
      </c>
      <c r="N13" s="120">
        <f t="shared" si="3"/>
        <v>215351</v>
      </c>
      <c r="O13" s="120">
        <f t="shared" si="3"/>
        <v>615802</v>
      </c>
      <c r="Q13" s="103"/>
      <c r="R13" s="103"/>
    </row>
    <row r="14" spans="1:18">
      <c r="A14" s="137" t="s">
        <v>76</v>
      </c>
      <c r="B14" s="113"/>
      <c r="C14" s="112"/>
      <c r="D14" s="113"/>
      <c r="E14" s="112">
        <f t="shared" ref="E14:J14" ca="1" si="4">SUM(E11:E13)</f>
        <v>20051669</v>
      </c>
      <c r="F14" s="112">
        <f t="shared" si="4"/>
        <v>20051669</v>
      </c>
      <c r="G14" s="112">
        <f t="shared" si="4"/>
        <v>13673728</v>
      </c>
      <c r="H14" s="112">
        <f t="shared" si="4"/>
        <v>1828220</v>
      </c>
      <c r="I14" s="112">
        <f t="shared" si="4"/>
        <v>3437360</v>
      </c>
      <c r="J14" s="112">
        <f t="shared" si="4"/>
        <v>1112361</v>
      </c>
      <c r="K14" s="139"/>
      <c r="L14" s="112">
        <f>SUM(L11:L13)</f>
        <v>710127</v>
      </c>
      <c r="M14" s="112">
        <f>SUM(M11:M13)</f>
        <v>13231</v>
      </c>
      <c r="N14" s="112">
        <f>SUM(N11:N13)</f>
        <v>389003</v>
      </c>
      <c r="O14" s="112">
        <f>SUM(O11:O13)</f>
        <v>1112361</v>
      </c>
      <c r="Q14" s="103"/>
      <c r="R14" s="103"/>
    </row>
    <row r="15" spans="1:18">
      <c r="A15" s="137" t="s">
        <v>57</v>
      </c>
      <c r="B15" s="113"/>
      <c r="C15" s="112"/>
      <c r="D15" s="113"/>
      <c r="E15" s="112"/>
      <c r="F15" s="112"/>
      <c r="G15" s="112">
        <f ca="1">'SFY 1920 M&amp;O CAP'!E73- SUM(G11:G13)</f>
        <v>6</v>
      </c>
      <c r="H15" s="112">
        <f ca="1">'SFY 1920 M&amp;O CAP'!F73- SUM(H11:H13)</f>
        <v>-8</v>
      </c>
      <c r="I15" s="112">
        <f ca="1">'SFY 1920 M&amp;O CAP'!G73- SUM(I11:I13)</f>
        <v>-2</v>
      </c>
      <c r="J15" s="112">
        <f ca="1">'SFY 1920 M&amp;O CAP'!H73- SUM(J11:J13)</f>
        <v>4</v>
      </c>
      <c r="K15" s="139"/>
      <c r="L15" s="19">
        <f ca="1">'SFY 1920 M&amp;O CAP'!H65-SUM(L11:L13)</f>
        <v>2</v>
      </c>
      <c r="M15" s="112">
        <f ca="1">'SFY 1920 M&amp;O CAP'!H68-SUM(M11:M13)</f>
        <v>3</v>
      </c>
      <c r="N15" s="112">
        <f ca="1">'SFY 1920 M&amp;O CAP'!H72-SUM(N11:N13)</f>
        <v>-1</v>
      </c>
      <c r="O15" s="112">
        <f ca="1">SUM(L15:N15)</f>
        <v>4</v>
      </c>
      <c r="P15" s="14"/>
      <c r="Q15" s="103"/>
      <c r="R15" s="103"/>
    </row>
    <row r="16" spans="1:18" ht="3" customHeight="1">
      <c r="A16" s="111"/>
      <c r="B16" s="110"/>
      <c r="C16" s="107"/>
      <c r="D16" s="107"/>
      <c r="E16" s="107"/>
      <c r="F16" s="107"/>
      <c r="G16" s="107"/>
      <c r="H16" s="107"/>
      <c r="I16" s="107"/>
      <c r="J16" s="109"/>
      <c r="K16" s="139"/>
      <c r="L16" s="197"/>
      <c r="M16" s="109"/>
      <c r="N16" s="109"/>
      <c r="O16" s="109"/>
      <c r="Q16" s="103"/>
      <c r="R16" s="103"/>
    </row>
    <row r="17" spans="1:18" ht="13">
      <c r="A17" s="106" t="s">
        <v>48</v>
      </c>
      <c r="B17" s="105" t="s">
        <v>303</v>
      </c>
      <c r="C17" s="62"/>
      <c r="D17" s="62"/>
      <c r="E17" s="192">
        <f t="shared" ref="E17:J17" ca="1" si="5">SUM(E14:E15)</f>
        <v>20051669</v>
      </c>
      <c r="F17" s="192">
        <f ca="1">SUM(G17:J17)</f>
        <v>20051669</v>
      </c>
      <c r="G17" s="192">
        <f t="shared" ca="1" si="5"/>
        <v>13673734</v>
      </c>
      <c r="H17" s="192">
        <f t="shared" ca="1" si="5"/>
        <v>1828212</v>
      </c>
      <c r="I17" s="192">
        <f t="shared" ca="1" si="5"/>
        <v>3437358</v>
      </c>
      <c r="J17" s="18">
        <f t="shared" ca="1" si="5"/>
        <v>1112365</v>
      </c>
      <c r="K17" s="193"/>
      <c r="L17" s="18">
        <f ca="1">SUM(L14:L15)</f>
        <v>710129</v>
      </c>
      <c r="M17" s="18">
        <f ca="1">SUM(M14:M15)</f>
        <v>13234</v>
      </c>
      <c r="N17" s="18">
        <f ca="1">SUM(N14:N15)</f>
        <v>389002</v>
      </c>
      <c r="O17" s="18">
        <f ca="1">SUM(O14:O15)</f>
        <v>1112365</v>
      </c>
      <c r="Q17" s="103"/>
      <c r="R17" s="103"/>
    </row>
    <row r="18" spans="1:18" ht="13">
      <c r="D18" s="174"/>
      <c r="E18" s="170"/>
      <c r="F18" s="173"/>
      <c r="G18" s="171"/>
      <c r="H18" s="171"/>
      <c r="I18" s="171"/>
      <c r="J18" s="171"/>
      <c r="K18" s="87"/>
      <c r="Q18" s="103"/>
      <c r="R18" s="103"/>
    </row>
    <row r="19" spans="1:18" ht="13">
      <c r="A19" s="95"/>
      <c r="E19" s="730"/>
      <c r="F19" s="730"/>
      <c r="J19" s="31"/>
      <c r="K19" s="28"/>
    </row>
    <row r="20" spans="1:18" ht="13">
      <c r="A20" s="95"/>
      <c r="E20" s="170"/>
      <c r="G20" s="171"/>
      <c r="H20" s="171"/>
      <c r="I20" s="171"/>
      <c r="J20" s="171"/>
    </row>
    <row r="21" spans="1:18">
      <c r="E21" s="191"/>
      <c r="F21" s="191"/>
      <c r="G21" s="191"/>
      <c r="H21" s="191"/>
      <c r="I21" s="191"/>
      <c r="J21" s="191"/>
      <c r="K21" s="190"/>
    </row>
    <row r="22" spans="1:18">
      <c r="B22" s="87"/>
      <c r="E22" s="99"/>
      <c r="F22" s="99"/>
      <c r="G22" s="99"/>
      <c r="H22" s="99"/>
      <c r="I22" s="99"/>
      <c r="J22" s="99"/>
      <c r="K22" s="98"/>
    </row>
    <row r="23" spans="1:18">
      <c r="E23" s="99"/>
      <c r="F23" s="189"/>
      <c r="G23" s="99"/>
      <c r="H23" s="189"/>
      <c r="I23" s="189"/>
      <c r="J23" s="189"/>
      <c r="K23" s="98"/>
    </row>
    <row r="24" spans="1:18">
      <c r="G24" s="13"/>
      <c r="H24" s="13"/>
      <c r="I24" s="13"/>
      <c r="J24" s="13"/>
      <c r="K24" s="13"/>
    </row>
    <row r="25" spans="1:18">
      <c r="E25" s="13"/>
      <c r="J25" s="87"/>
    </row>
    <row r="26" spans="1:18">
      <c r="E26" s="87"/>
      <c r="G26" s="13"/>
      <c r="J26" s="87"/>
    </row>
    <row r="29" spans="1:18">
      <c r="H29" s="87"/>
    </row>
    <row r="33" spans="12:15">
      <c r="L33" s="149"/>
      <c r="M33" s="149"/>
      <c r="N33" s="149"/>
      <c r="O33" s="148"/>
    </row>
    <row r="35" spans="12:15">
      <c r="L35" s="143"/>
      <c r="M35" s="143"/>
      <c r="N35" s="143"/>
      <c r="O35" s="143"/>
    </row>
  </sheetData>
  <pageMargins left="0.7" right="0.7" top="0.75" bottom="0.75" header="0.3" footer="0.3"/>
  <pageSetup scale="64" orientation="landscape" r:id="rId1"/>
  <headerFooter>
    <oddHeader>&amp;CLRS Maintenance and Operations Project 
County Claim Summary</oddHeader>
    <oddFooter>&amp;Cpage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N29"/>
  <sheetViews>
    <sheetView showGridLines="0" zoomScaleNormal="100" workbookViewId="0">
      <pane xSplit="2" ySplit="3" topLeftCell="C4" activePane="bottomRight" state="frozen"/>
      <selection activeCell="R32" sqref="R32"/>
      <selection pane="topRight" activeCell="R32" sqref="R32"/>
      <selection pane="bottomLeft" activeCell="R32" sqref="R32"/>
      <selection pane="bottomRight" activeCell="A3" sqref="A3"/>
    </sheetView>
  </sheetViews>
  <sheetFormatPr defaultColWidth="9.1796875" defaultRowHeight="12.5"/>
  <cols>
    <col min="1" max="1" width="39" style="68" customWidth="1"/>
    <col min="2" max="2" width="14.81640625" style="68" customWidth="1"/>
    <col min="3" max="3" width="9.1796875" style="68"/>
    <col min="4" max="4" width="10.54296875" style="68" customWidth="1"/>
    <col min="5" max="5" width="14.54296875" style="68" customWidth="1"/>
    <col min="6" max="6" width="12.453125" style="68" bestFit="1" customWidth="1"/>
    <col min="7" max="7" width="13.54296875" style="68" customWidth="1"/>
    <col min="8" max="11" width="11.54296875" style="68" customWidth="1"/>
    <col min="12" max="13" width="9.1796875" style="68"/>
    <col min="14" max="14" width="9.54296875" style="68" bestFit="1" customWidth="1"/>
    <col min="15" max="16384" width="9.1796875" style="68"/>
  </cols>
  <sheetData>
    <row r="1" spans="1:14" ht="14">
      <c r="A1" s="949" t="s">
        <v>308</v>
      </c>
      <c r="B1" s="949"/>
      <c r="C1" s="949"/>
      <c r="D1" s="949"/>
      <c r="E1" s="949"/>
      <c r="F1" s="949"/>
      <c r="G1" s="949"/>
      <c r="H1" s="949"/>
      <c r="I1" s="949"/>
      <c r="J1" s="949"/>
    </row>
    <row r="2" spans="1:14" ht="12.75" customHeight="1"/>
    <row r="3" spans="1:14" ht="53.25" customHeight="1">
      <c r="A3" s="167" t="s">
        <v>44</v>
      </c>
      <c r="B3" s="167" t="s">
        <v>68</v>
      </c>
      <c r="C3" s="167" t="s">
        <v>67</v>
      </c>
      <c r="D3" s="167" t="s">
        <v>66</v>
      </c>
      <c r="E3" s="167" t="s">
        <v>77</v>
      </c>
      <c r="F3" s="167" t="s">
        <v>48</v>
      </c>
      <c r="G3" s="167" t="s">
        <v>65</v>
      </c>
      <c r="H3" s="167" t="s">
        <v>64</v>
      </c>
      <c r="I3" s="167" t="s">
        <v>63</v>
      </c>
      <c r="J3" s="333" t="s">
        <v>62</v>
      </c>
      <c r="K3" s="207" t="s">
        <v>72</v>
      </c>
    </row>
    <row r="4" spans="1:14" s="98" customFormat="1">
      <c r="A4" s="22" t="s">
        <v>71</v>
      </c>
      <c r="B4" s="113">
        <v>43941</v>
      </c>
      <c r="C4" s="136">
        <v>0</v>
      </c>
      <c r="D4" s="114">
        <v>43971</v>
      </c>
      <c r="E4" s="19">
        <v>0</v>
      </c>
      <c r="F4" s="112">
        <f t="shared" ref="F4:F9" si="0">SUM(G4:K4)</f>
        <v>0</v>
      </c>
      <c r="G4" s="19">
        <v>0</v>
      </c>
      <c r="H4" s="19">
        <v>0</v>
      </c>
      <c r="I4" s="19">
        <v>0</v>
      </c>
      <c r="J4" s="19">
        <v>0</v>
      </c>
      <c r="K4" s="19">
        <v>0</v>
      </c>
      <c r="L4" s="187"/>
      <c r="N4" s="103"/>
    </row>
    <row r="5" spans="1:14" s="98" customFormat="1" ht="13" thickBot="1">
      <c r="A5" s="134" t="s">
        <v>153</v>
      </c>
      <c r="B5" s="121">
        <v>43941</v>
      </c>
      <c r="C5" s="133">
        <v>0</v>
      </c>
      <c r="D5" s="121">
        <v>43971</v>
      </c>
      <c r="E5" s="120">
        <v>146160</v>
      </c>
      <c r="F5" s="120">
        <f t="shared" si="0"/>
        <v>146160</v>
      </c>
      <c r="G5" s="120">
        <v>109620</v>
      </c>
      <c r="H5" s="120">
        <v>0</v>
      </c>
      <c r="I5" s="120">
        <v>36540</v>
      </c>
      <c r="J5" s="120">
        <v>0</v>
      </c>
      <c r="K5" s="120">
        <v>0</v>
      </c>
      <c r="L5" s="187"/>
      <c r="N5" s="103"/>
    </row>
    <row r="6" spans="1:14" s="98" customFormat="1">
      <c r="A6" s="22" t="s">
        <v>71</v>
      </c>
      <c r="B6" s="113">
        <v>43971</v>
      </c>
      <c r="C6" s="136">
        <v>0</v>
      </c>
      <c r="D6" s="113">
        <v>44002</v>
      </c>
      <c r="E6" s="112">
        <v>0</v>
      </c>
      <c r="F6" s="112">
        <f t="shared" si="0"/>
        <v>0</v>
      </c>
      <c r="G6" s="112">
        <v>0</v>
      </c>
      <c r="H6" s="112">
        <v>0</v>
      </c>
      <c r="I6" s="112">
        <v>0</v>
      </c>
      <c r="J6" s="112">
        <v>0</v>
      </c>
      <c r="K6" s="112">
        <v>0</v>
      </c>
      <c r="L6" s="187"/>
      <c r="N6" s="103"/>
    </row>
    <row r="7" spans="1:14" s="98" customFormat="1" ht="12.75" customHeight="1" thickBot="1">
      <c r="A7" s="134" t="s">
        <v>153</v>
      </c>
      <c r="B7" s="121">
        <v>43971</v>
      </c>
      <c r="C7" s="133">
        <v>0</v>
      </c>
      <c r="D7" s="121">
        <v>44002</v>
      </c>
      <c r="E7" s="272">
        <v>146160</v>
      </c>
      <c r="F7" s="120">
        <f t="shared" si="0"/>
        <v>146160</v>
      </c>
      <c r="G7" s="272">
        <v>109620</v>
      </c>
      <c r="H7" s="272">
        <v>0</v>
      </c>
      <c r="I7" s="272">
        <v>36540</v>
      </c>
      <c r="J7" s="272">
        <v>0</v>
      </c>
      <c r="K7" s="272">
        <v>0</v>
      </c>
      <c r="L7" s="187"/>
      <c r="M7" s="130"/>
      <c r="N7" s="103"/>
    </row>
    <row r="8" spans="1:14" s="98" customFormat="1" ht="12.75" customHeight="1">
      <c r="A8" s="200" t="s">
        <v>71</v>
      </c>
      <c r="B8" s="113">
        <v>44002</v>
      </c>
      <c r="C8" s="136">
        <v>0</v>
      </c>
      <c r="D8" s="113">
        <v>44032</v>
      </c>
      <c r="E8" s="112">
        <v>309198</v>
      </c>
      <c r="F8" s="119">
        <f t="shared" si="0"/>
        <v>309198</v>
      </c>
      <c r="G8" s="112">
        <v>202702</v>
      </c>
      <c r="H8" s="112">
        <v>0</v>
      </c>
      <c r="I8" s="112">
        <v>67568</v>
      </c>
      <c r="J8" s="112">
        <v>0</v>
      </c>
      <c r="K8" s="112">
        <v>38928</v>
      </c>
      <c r="L8" s="187"/>
      <c r="M8" s="130"/>
      <c r="N8" s="103"/>
    </row>
    <row r="9" spans="1:14" s="98" customFormat="1" ht="12.75" customHeight="1">
      <c r="A9" s="22" t="s">
        <v>153</v>
      </c>
      <c r="B9" s="113">
        <v>44002</v>
      </c>
      <c r="C9" s="136">
        <v>0</v>
      </c>
      <c r="D9" s="113">
        <v>44032</v>
      </c>
      <c r="E9" s="112">
        <v>292320</v>
      </c>
      <c r="F9" s="19">
        <f t="shared" si="0"/>
        <v>292320</v>
      </c>
      <c r="G9" s="112">
        <v>219240</v>
      </c>
      <c r="H9" s="112">
        <v>0</v>
      </c>
      <c r="I9" s="112">
        <v>73080</v>
      </c>
      <c r="J9" s="199">
        <v>0</v>
      </c>
      <c r="K9" s="19">
        <v>0</v>
      </c>
      <c r="L9" s="187"/>
      <c r="M9" s="130"/>
      <c r="N9" s="103"/>
    </row>
    <row r="10" spans="1:14" ht="5.25" customHeight="1">
      <c r="A10" s="128"/>
      <c r="B10" s="156"/>
      <c r="C10" s="182"/>
      <c r="D10" s="182"/>
      <c r="E10" s="182"/>
      <c r="F10" s="182"/>
      <c r="G10" s="182"/>
      <c r="H10" s="182"/>
      <c r="I10" s="182"/>
      <c r="J10" s="181"/>
      <c r="K10" s="206"/>
      <c r="M10" s="151"/>
    </row>
    <row r="11" spans="1:14">
      <c r="A11" s="124" t="s">
        <v>59</v>
      </c>
      <c r="B11" s="124"/>
      <c r="C11" s="19"/>
      <c r="D11" s="114">
        <v>43971</v>
      </c>
      <c r="E11" s="19">
        <f>SUMIF($D$4:$D$9,$D11,E$4:E$9)</f>
        <v>146160</v>
      </c>
      <c r="F11" s="19">
        <f t="shared" ref="F11:K13" si="1">SUMIF($D$4:$D$10,$D11,F$4:F$10)</f>
        <v>146160</v>
      </c>
      <c r="G11" s="19">
        <f t="shared" si="1"/>
        <v>109620</v>
      </c>
      <c r="H11" s="19">
        <f t="shared" si="1"/>
        <v>0</v>
      </c>
      <c r="I11" s="19">
        <f t="shared" si="1"/>
        <v>36540</v>
      </c>
      <c r="J11" s="19">
        <f t="shared" si="1"/>
        <v>0</v>
      </c>
      <c r="K11" s="19">
        <f t="shared" si="1"/>
        <v>0</v>
      </c>
      <c r="M11" s="151"/>
    </row>
    <row r="12" spans="1:14">
      <c r="A12" s="124" t="s">
        <v>59</v>
      </c>
      <c r="B12" s="155"/>
      <c r="C12" s="19"/>
      <c r="D12" s="114">
        <v>44002</v>
      </c>
      <c r="E12" s="19">
        <f>SUMIF($D$4:$D$9,$D12,E$4:E$9)</f>
        <v>146160</v>
      </c>
      <c r="F12" s="19">
        <f t="shared" si="1"/>
        <v>146160</v>
      </c>
      <c r="G12" s="19">
        <f t="shared" si="1"/>
        <v>109620</v>
      </c>
      <c r="H12" s="19">
        <f t="shared" si="1"/>
        <v>0</v>
      </c>
      <c r="I12" s="19">
        <f t="shared" si="1"/>
        <v>36540</v>
      </c>
      <c r="J12" s="19">
        <f t="shared" si="1"/>
        <v>0</v>
      </c>
      <c r="K12" s="19">
        <f t="shared" si="1"/>
        <v>0</v>
      </c>
      <c r="M12" s="151"/>
    </row>
    <row r="13" spans="1:14" ht="13" thickBot="1">
      <c r="A13" s="200" t="s">
        <v>59</v>
      </c>
      <c r="B13" s="131"/>
      <c r="C13" s="119"/>
      <c r="D13" s="114">
        <v>44032</v>
      </c>
      <c r="E13" s="119">
        <f ca="1">SUMIF($D$4:$D$10,$D13,E$4:E$9)</f>
        <v>601518</v>
      </c>
      <c r="F13" s="119">
        <f t="shared" si="1"/>
        <v>601518</v>
      </c>
      <c r="G13" s="119">
        <f t="shared" si="1"/>
        <v>421942</v>
      </c>
      <c r="H13" s="119">
        <f t="shared" si="1"/>
        <v>0</v>
      </c>
      <c r="I13" s="205">
        <f t="shared" si="1"/>
        <v>140648</v>
      </c>
      <c r="J13" s="119">
        <f t="shared" si="1"/>
        <v>0</v>
      </c>
      <c r="K13" s="119">
        <f t="shared" si="1"/>
        <v>38928</v>
      </c>
      <c r="M13" s="151"/>
    </row>
    <row r="14" spans="1:14" ht="13" thickBot="1">
      <c r="A14" s="344" t="s">
        <v>58</v>
      </c>
      <c r="B14" s="204"/>
      <c r="C14" s="115"/>
      <c r="D14" s="204"/>
      <c r="E14" s="115">
        <f t="shared" ref="E14:K14" ca="1" si="2">SUM(E11:E13)</f>
        <v>893838</v>
      </c>
      <c r="F14" s="115">
        <f t="shared" si="2"/>
        <v>893838</v>
      </c>
      <c r="G14" s="115">
        <f t="shared" si="2"/>
        <v>641182</v>
      </c>
      <c r="H14" s="115">
        <f t="shared" si="2"/>
        <v>0</v>
      </c>
      <c r="I14" s="115">
        <f t="shared" si="2"/>
        <v>213728</v>
      </c>
      <c r="J14" s="115">
        <f t="shared" si="2"/>
        <v>0</v>
      </c>
      <c r="K14" s="115">
        <f t="shared" si="2"/>
        <v>38928</v>
      </c>
      <c r="M14" s="14"/>
    </row>
    <row r="15" spans="1:14">
      <c r="A15" s="729" t="s">
        <v>57</v>
      </c>
      <c r="B15" s="131"/>
      <c r="C15" s="138"/>
      <c r="D15" s="131"/>
      <c r="E15" s="138"/>
      <c r="F15" s="138"/>
      <c r="G15" s="138">
        <f>'SFY 1920 M&amp;O CAP'!E85+'SFY 1920 M&amp;O CAP'!E95-SUM(G11:G13)</f>
        <v>0</v>
      </c>
      <c r="H15" s="138">
        <f>'SFY 1920 M&amp;O CAP'!F85+'SFY 1920 M&amp;O CAP'!F95-SUM(H11:H13)</f>
        <v>0</v>
      </c>
      <c r="I15" s="138">
        <f>'SFY 1920 M&amp;O CAP'!G85+'SFY 1920 M&amp;O CAP'!G95-SUM(I11:I13)</f>
        <v>0</v>
      </c>
      <c r="J15" s="138">
        <f>'SFY 1920 M&amp;O CAP'!H85+'SFY 1920 M&amp;O CAP'!H95-SUM(J11:J13)</f>
        <v>0</v>
      </c>
      <c r="K15" s="138">
        <f>'SFY 1920 M&amp;O CAP'!I85+'SFY 1920 M&amp;O CAP'!I95-SUM(K11:K13)</f>
        <v>0</v>
      </c>
    </row>
    <row r="16" spans="1:14" ht="3" customHeight="1">
      <c r="A16" s="111"/>
      <c r="B16" s="110"/>
      <c r="C16" s="107"/>
      <c r="D16" s="107"/>
      <c r="E16" s="107"/>
      <c r="F16" s="107"/>
      <c r="G16" s="107"/>
      <c r="H16" s="107"/>
      <c r="I16" s="107"/>
      <c r="J16" s="109"/>
      <c r="K16" s="107"/>
    </row>
    <row r="17" spans="1:14" ht="13">
      <c r="A17" s="106" t="s">
        <v>48</v>
      </c>
      <c r="B17" s="105" t="s">
        <v>303</v>
      </c>
      <c r="C17" s="62"/>
      <c r="D17" s="62"/>
      <c r="E17" s="18">
        <f t="shared" ref="E17:K17" ca="1" si="3">SUM(E14:E15)</f>
        <v>893838</v>
      </c>
      <c r="F17" s="18">
        <f>SUM(G17:K17)</f>
        <v>893838</v>
      </c>
      <c r="G17" s="18">
        <f t="shared" si="3"/>
        <v>641182</v>
      </c>
      <c r="H17" s="18">
        <f t="shared" si="3"/>
        <v>0</v>
      </c>
      <c r="I17" s="18">
        <f t="shared" si="3"/>
        <v>213728</v>
      </c>
      <c r="J17" s="18">
        <f t="shared" si="3"/>
        <v>0</v>
      </c>
      <c r="K17" s="18">
        <f t="shared" si="3"/>
        <v>38928</v>
      </c>
      <c r="M17" s="87"/>
    </row>
    <row r="18" spans="1:14" ht="13">
      <c r="D18" s="174"/>
      <c r="E18" s="88"/>
      <c r="F18" s="173"/>
      <c r="G18" s="171"/>
      <c r="H18" s="171"/>
      <c r="I18" s="171"/>
      <c r="J18" s="171"/>
      <c r="K18" s="90"/>
    </row>
    <row r="19" spans="1:14">
      <c r="A19" s="95"/>
      <c r="E19" s="730"/>
      <c r="F19" s="730"/>
      <c r="G19" s="90"/>
      <c r="H19" s="90"/>
      <c r="I19" s="90"/>
      <c r="J19" s="90"/>
      <c r="K19" s="90"/>
    </row>
    <row r="20" spans="1:14">
      <c r="A20" s="95"/>
      <c r="E20" s="171"/>
      <c r="G20" s="171"/>
      <c r="H20" s="171"/>
      <c r="I20" s="171"/>
      <c r="J20" s="171"/>
      <c r="K20" s="171"/>
      <c r="N20" s="87"/>
    </row>
    <row r="21" spans="1:14">
      <c r="E21" s="171"/>
      <c r="F21" s="191"/>
      <c r="G21" s="191"/>
      <c r="H21" s="191"/>
      <c r="I21" s="191"/>
      <c r="J21" s="191"/>
      <c r="K21" s="191"/>
    </row>
    <row r="22" spans="1:14">
      <c r="B22" s="87"/>
      <c r="E22" s="202"/>
      <c r="F22" s="99"/>
      <c r="G22" s="99"/>
      <c r="H22" s="99"/>
      <c r="I22" s="99"/>
      <c r="J22" s="99"/>
      <c r="K22" s="99"/>
    </row>
    <row r="23" spans="1:14">
      <c r="E23" s="99"/>
      <c r="F23" s="189"/>
      <c r="G23" s="99"/>
      <c r="H23" s="201"/>
      <c r="I23" s="189"/>
      <c r="J23" s="189"/>
      <c r="K23" s="98"/>
    </row>
    <row r="24" spans="1:14">
      <c r="G24" s="13"/>
      <c r="H24" s="86"/>
      <c r="I24" s="13"/>
      <c r="J24" s="13"/>
      <c r="K24" s="13"/>
    </row>
    <row r="25" spans="1:14">
      <c r="H25" s="87"/>
      <c r="J25" s="87"/>
    </row>
    <row r="26" spans="1:14">
      <c r="E26" s="87"/>
      <c r="H26" s="87"/>
      <c r="J26" s="87"/>
    </row>
    <row r="27" spans="1:14">
      <c r="B27" s="87"/>
    </row>
    <row r="29" spans="1:14">
      <c r="H29" s="87"/>
    </row>
  </sheetData>
  <mergeCells count="1">
    <mergeCell ref="A1:J1"/>
  </mergeCells>
  <pageMargins left="0.7" right="0.7" top="0.75" bottom="0.75" header="0.3" footer="0.3"/>
  <pageSetup scale="76" orientation="landscape" r:id="rId1"/>
  <headerFooter>
    <oddHeader>&amp;CLRS CalHEERS Project 
County Claim Summary</oddHeader>
    <oddFooter>&amp;Cpage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3DBDC4A1F08844825DED9DAA805760" ma:contentTypeVersion="10" ma:contentTypeDescription="Create a new document." ma:contentTypeScope="" ma:versionID="06f9752c05b26bed8581ab337d8e5fed">
  <xsd:schema xmlns:xsd="http://www.w3.org/2001/XMLSchema" xmlns:xs="http://www.w3.org/2001/XMLSchema" xmlns:p="http://schemas.microsoft.com/office/2006/metadata/properties" xmlns:ns3="2a990bd1-3db7-4a1a-8fc8-06947b25b2c7" targetNamespace="http://schemas.microsoft.com/office/2006/metadata/properties" ma:root="true" ma:fieldsID="9b5ea027370a1e57925b30827cb843b7" ns3:_="">
    <xsd:import namespace="2a990bd1-3db7-4a1a-8fc8-06947b25b2c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990bd1-3db7-4a1a-8fc8-06947b25b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C98794-A77B-4C35-A44F-7A189AD12AC4}">
  <ds:schemaRefs>
    <ds:schemaRef ds:uri="http://purl.org/dc/dcmitype/"/>
    <ds:schemaRef ds:uri="2a990bd1-3db7-4a1a-8fc8-06947b25b2c7"/>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52E4E77-77D0-4B3B-867C-DC74E0917C9A}">
  <ds:schemaRefs>
    <ds:schemaRef ds:uri="http://schemas.microsoft.com/sharepoint/v3/contenttype/forms"/>
  </ds:schemaRefs>
</ds:datastoreItem>
</file>

<file path=customXml/itemProps3.xml><?xml version="1.0" encoding="utf-8"?>
<ds:datastoreItem xmlns:ds="http://schemas.openxmlformats.org/officeDocument/2006/customXml" ds:itemID="{FF98347C-6F14-4373-A827-ABD2DAD29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990bd1-3db7-4a1a-8fc8-06947b25b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19</vt:i4>
      </vt:variant>
    </vt:vector>
  </HeadingPairs>
  <TitlesOfParts>
    <vt:vector size="46" baseType="lpstr">
      <vt:lpstr>4th Q SFY 1920 Co Share Summary</vt:lpstr>
      <vt:lpstr>4th Q SFY 1920 Co Share by Proj</vt:lpstr>
      <vt:lpstr>4th Q Co Share Calculations</vt:lpstr>
      <vt:lpstr>4th Q CalACES MO CH CS CE </vt:lpstr>
      <vt:lpstr>4th Q C-IV M&amp;O </vt:lpstr>
      <vt:lpstr>4th Q C-IV CalHEERS </vt:lpstr>
      <vt:lpstr>4th Q C-IV Covered CA</vt:lpstr>
      <vt:lpstr>4th Q LRS M&amp;O</vt:lpstr>
      <vt:lpstr>4th Q LRS CalHEERS</vt:lpstr>
      <vt:lpstr>3rd Q LRS Cloud Enablement</vt:lpstr>
      <vt:lpstr>SFY 1920 M&amp;O CAP</vt:lpstr>
      <vt:lpstr>4th Q CalACES ABAWD</vt:lpstr>
      <vt:lpstr>SFY 19-20 ABAWD CAP</vt:lpstr>
      <vt:lpstr>4th Q CalSAWS</vt:lpstr>
      <vt:lpstr>SFY 1920 CalSAWS CAP</vt:lpstr>
      <vt:lpstr>4th Q CalWIN M&amp;O TOTAL</vt:lpstr>
      <vt:lpstr>4th Q CalWIN M&amp;O</vt:lpstr>
      <vt:lpstr>4th Q CalWIN M&amp;O (County)</vt:lpstr>
      <vt:lpstr>4th Q CalWIN QA</vt:lpstr>
      <vt:lpstr>4th Q CalWIN MO CH Non-App Main</vt:lpstr>
      <vt:lpstr>4th Q CalWIN MO CH App Maint</vt:lpstr>
      <vt:lpstr>4th Q CalWIN MO CH CSCN Exp</vt:lpstr>
      <vt:lpstr>4th Q CalWIN ABAWD</vt:lpstr>
      <vt:lpstr>SFY 1920 CalWIN M&amp;O CAP</vt:lpstr>
      <vt:lpstr>SFY 1920 CalWIN ABAWD CAP</vt:lpstr>
      <vt:lpstr>58C SFY 17-18 Persons Count</vt:lpstr>
      <vt:lpstr>1920 CalWIN Sharing Tables</vt:lpstr>
      <vt:lpstr>'3rd Q LRS Cloud Enablement'!Print_Area</vt:lpstr>
      <vt:lpstr>'4th Q CalACES ABAWD'!Print_Area</vt:lpstr>
      <vt:lpstr>'4th Q CalACES MO CH CS CE '!Print_Area</vt:lpstr>
      <vt:lpstr>'4th Q CalSAWS'!Print_Area</vt:lpstr>
      <vt:lpstr>'4th Q C-IV CalHEERS '!Print_Area</vt:lpstr>
      <vt:lpstr>'4th Q C-IV Covered CA'!Print_Area</vt:lpstr>
      <vt:lpstr>'4th Q C-IV M&amp;O '!Print_Area</vt:lpstr>
      <vt:lpstr>'4th Q Co Share Calculations'!Print_Area</vt:lpstr>
      <vt:lpstr>'4th Q LRS CalHEERS'!Print_Area</vt:lpstr>
      <vt:lpstr>'4th Q LRS M&amp;O'!Print_Area</vt:lpstr>
      <vt:lpstr>'4th Q SFY 1920 Co Share by Proj'!Print_Area</vt:lpstr>
      <vt:lpstr>'4th Q SFY 1920 Co Share Summary'!Print_Area</vt:lpstr>
      <vt:lpstr>'SFY 19-20 ABAWD CAP'!Print_Area</vt:lpstr>
      <vt:lpstr>'SFY 1920 CalSAWS CAP'!Print_Area</vt:lpstr>
      <vt:lpstr>'SFY 1920 M&amp;O CAP'!Print_Area</vt:lpstr>
      <vt:lpstr>'4th Q CalSAWS'!Print_Titles</vt:lpstr>
      <vt:lpstr>'SFY 19-20 ABAWD CAP'!Print_Titles</vt:lpstr>
      <vt:lpstr>'SFY 1920 CalSAWS CAP'!Print_Titles</vt:lpstr>
      <vt:lpstr>'SFY 1920 M&amp;O CAP'!Print_Titles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Weinmeister</dc:creator>
  <cp:lastModifiedBy>Faleesha Andrews</cp:lastModifiedBy>
  <cp:lastPrinted>2020-02-24T19:46:21Z</cp:lastPrinted>
  <dcterms:created xsi:type="dcterms:W3CDTF">2019-02-07T18:33:01Z</dcterms:created>
  <dcterms:modified xsi:type="dcterms:W3CDTF">2020-10-13T19:39:37Z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0x010100523DBDC4A1F08844825DED9DAA805760</vt:lpwstr>
  </property>
</Properties>
</file>