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defaultThemeVersion="124226"/>
  <mc:AlternateContent xmlns:mc="http://schemas.openxmlformats.org/markup-compatibility/2006">
    <mc:Choice Requires="x15">
      <x15ac:absPath xmlns:x15ac="http://schemas.microsoft.com/office/spreadsheetml/2010/11/ac" url="X:\Contract Management\Contracts and Amendments\RGS\Amendment 22 - Pending\02 - Submitted\"/>
    </mc:Choice>
  </mc:AlternateContent>
  <xr:revisionPtr revIDLastSave="0" documentId="10_ncr:100000_{B802591C-E475-488B-94CA-6982B59A9A76}" xr6:coauthVersionLast="31" xr6:coauthVersionMax="31" xr10:uidLastSave="{00000000-0000-0000-0000-000000000000}"/>
  <bookViews>
    <workbookView xWindow="0" yWindow="0" windowWidth="28800" windowHeight="11925" tabRatio="434" firstSheet="1" activeTab="1" xr2:uid="{00000000-000D-0000-FFFF-FFFF00000000}"/>
  </bookViews>
  <sheets>
    <sheet name="Salary" sheetId="1" state="hidden" r:id="rId1"/>
    <sheet name="Exhibit A Table 1 Rate Ranges" sheetId="8" r:id="rId2"/>
    <sheet name="Exhibit A Table 2 Salary Sched" sheetId="4" r:id="rId3"/>
    <sheet name="Exhibit A -1" sheetId="6" state="hidden" r:id="rId4"/>
    <sheet name="Budget" sheetId="7" r:id="rId5"/>
  </sheets>
  <definedNames>
    <definedName name="_xlnm._FilterDatabase" localSheetId="4" hidden="1">Budget!$B$4:$O$4</definedName>
    <definedName name="_xlnm._FilterDatabase" localSheetId="3" hidden="1">'Exhibit A -1'!$B$4:$I$4</definedName>
    <definedName name="_xlnm._FilterDatabase" localSheetId="1" hidden="1">'Exhibit A Table 1 Rate Ranges'!$B$3:$I$3</definedName>
    <definedName name="_xlnm._FilterDatabase" localSheetId="2" hidden="1">'Exhibit A Table 2 Salary Sched'!$A$3:$T$3</definedName>
    <definedName name="_xlnm.Print_Area" localSheetId="4">Budget!$A$1:$P$23</definedName>
    <definedName name="_xlnm.Print_Area" localSheetId="2">'Exhibit A Table 2 Salary Sched'!$A$3:$T$87</definedName>
    <definedName name="_xlnm.Print_Area" localSheetId="0">Salary!$A$1:$T$45</definedName>
  </definedNames>
  <calcPr calcId="179017"/>
</workbook>
</file>

<file path=xl/calcChain.xml><?xml version="1.0" encoding="utf-8"?>
<calcChain xmlns="http://schemas.openxmlformats.org/spreadsheetml/2006/main">
  <c r="G4" i="8" l="1"/>
  <c r="H4" i="8"/>
  <c r="G5" i="8"/>
  <c r="H5" i="8"/>
  <c r="G6" i="8"/>
  <c r="H6" i="8"/>
  <c r="G7" i="8"/>
  <c r="H7" i="8"/>
  <c r="G8" i="8"/>
  <c r="H8" i="8"/>
  <c r="G9" i="8"/>
  <c r="H9" i="8"/>
  <c r="G11" i="8"/>
  <c r="H11" i="8"/>
  <c r="G13" i="8"/>
  <c r="H13" i="8"/>
  <c r="G15" i="8"/>
  <c r="H15" i="8"/>
  <c r="G14" i="7" l="1"/>
  <c r="M14" i="7"/>
  <c r="P14" i="7"/>
  <c r="I74" i="4"/>
  <c r="J74" i="4"/>
  <c r="K74" i="4" s="1"/>
  <c r="H74" i="4"/>
  <c r="I75" i="4"/>
  <c r="I79" i="4" s="1"/>
  <c r="H75" i="4"/>
  <c r="H79" i="4" s="1"/>
  <c r="G75" i="4"/>
  <c r="H80" i="4"/>
  <c r="G80" i="4"/>
  <c r="G79" i="4"/>
  <c r="K75" i="4" l="1"/>
  <c r="K79" i="4" s="1"/>
  <c r="L74" i="4"/>
  <c r="J75" i="4"/>
  <c r="I80" i="4"/>
  <c r="K80" i="4"/>
  <c r="F21" i="7"/>
  <c r="F20" i="7"/>
  <c r="F18" i="7"/>
  <c r="F17" i="7"/>
  <c r="F16" i="7"/>
  <c r="F15" i="7"/>
  <c r="G15" i="7" s="1"/>
  <c r="F12" i="7"/>
  <c r="F10" i="7"/>
  <c r="F9" i="7"/>
  <c r="F11" i="7"/>
  <c r="F8" i="7"/>
  <c r="F7" i="7"/>
  <c r="F6" i="7"/>
  <c r="F5" i="7"/>
  <c r="P5" i="7"/>
  <c r="P15" i="7"/>
  <c r="V11" i="7"/>
  <c r="V12" i="7"/>
  <c r="V10" i="7"/>
  <c r="T11" i="7"/>
  <c r="T12" i="7"/>
  <c r="T10" i="7"/>
  <c r="J9" i="7"/>
  <c r="M9" i="7" s="1"/>
  <c r="P6" i="7"/>
  <c r="P7" i="7"/>
  <c r="P8" i="7"/>
  <c r="P11" i="7"/>
  <c r="P9" i="7"/>
  <c r="P10" i="7"/>
  <c r="P12" i="7"/>
  <c r="P13" i="7"/>
  <c r="P17" i="7"/>
  <c r="P18" i="7"/>
  <c r="P20" i="7"/>
  <c r="P21" i="7"/>
  <c r="L23" i="7"/>
  <c r="O19" i="7"/>
  <c r="P19" i="7" s="1"/>
  <c r="O16" i="7"/>
  <c r="P16" i="7" s="1"/>
  <c r="G54" i="4"/>
  <c r="G58" i="4" s="1"/>
  <c r="H82" i="4"/>
  <c r="H86" i="4" s="1"/>
  <c r="I82" i="4"/>
  <c r="J82" i="4"/>
  <c r="J86" i="4" s="1"/>
  <c r="K82" i="4"/>
  <c r="K87" i="4" s="1"/>
  <c r="L82" i="4"/>
  <c r="L86" i="4" s="1"/>
  <c r="M82" i="4"/>
  <c r="N82" i="4"/>
  <c r="O82" i="4"/>
  <c r="O87" i="4" s="1"/>
  <c r="P82" i="4"/>
  <c r="P86" i="4" s="1"/>
  <c r="Q82" i="4"/>
  <c r="R82" i="4"/>
  <c r="R86" i="4" s="1"/>
  <c r="S82" i="4"/>
  <c r="S87" i="4" s="1"/>
  <c r="T82" i="4"/>
  <c r="T86" i="4" s="1"/>
  <c r="G82" i="4"/>
  <c r="H68" i="4"/>
  <c r="I68" i="4"/>
  <c r="J68" i="4"/>
  <c r="J72" i="4" s="1"/>
  <c r="K68" i="4"/>
  <c r="L68" i="4"/>
  <c r="L72" i="4" s="1"/>
  <c r="M68" i="4"/>
  <c r="M72" i="4" s="1"/>
  <c r="N68" i="4"/>
  <c r="N73" i="4" s="1"/>
  <c r="O68" i="4"/>
  <c r="P68" i="4"/>
  <c r="Q68" i="4"/>
  <c r="M13" i="7" s="1"/>
  <c r="R68" i="4"/>
  <c r="S68" i="4"/>
  <c r="S72" i="4" s="1"/>
  <c r="T68" i="4"/>
  <c r="T73" i="4" s="1"/>
  <c r="G68" i="4"/>
  <c r="G73" i="4" s="1"/>
  <c r="H61" i="4"/>
  <c r="I61" i="4"/>
  <c r="J61" i="4"/>
  <c r="K61" i="4"/>
  <c r="K65" i="4" s="1"/>
  <c r="L61" i="4"/>
  <c r="M61" i="4"/>
  <c r="M66" i="4" s="1"/>
  <c r="N61" i="4"/>
  <c r="N65" i="4" s="1"/>
  <c r="O61" i="4"/>
  <c r="O65" i="4" s="1"/>
  <c r="P61" i="4"/>
  <c r="Q61" i="4"/>
  <c r="R61" i="4"/>
  <c r="S61" i="4"/>
  <c r="S65" i="4" s="1"/>
  <c r="T61" i="4"/>
  <c r="J12" i="7" s="1"/>
  <c r="M12" i="7" s="1"/>
  <c r="T66" i="4"/>
  <c r="H23" i="8" s="1"/>
  <c r="G61" i="4"/>
  <c r="G65" i="4" s="1"/>
  <c r="H54" i="4"/>
  <c r="H59" i="4" s="1"/>
  <c r="I54" i="4"/>
  <c r="J54" i="4"/>
  <c r="J59" i="4" s="1"/>
  <c r="K54" i="4"/>
  <c r="K59" i="4" s="1"/>
  <c r="L54" i="4"/>
  <c r="L59" i="4" s="1"/>
  <c r="M54" i="4"/>
  <c r="N54" i="4"/>
  <c r="O54" i="4"/>
  <c r="O58" i="4" s="1"/>
  <c r="P54" i="4"/>
  <c r="P59" i="4" s="1"/>
  <c r="Q54" i="4"/>
  <c r="R54" i="4"/>
  <c r="R58" i="4" s="1"/>
  <c r="S54" i="4"/>
  <c r="S59" i="4" s="1"/>
  <c r="T54" i="4"/>
  <c r="T59" i="4" s="1"/>
  <c r="H47" i="4"/>
  <c r="J20" i="7" s="1"/>
  <c r="M20" i="7" s="1"/>
  <c r="I47" i="4"/>
  <c r="J47" i="4"/>
  <c r="J51" i="4" s="1"/>
  <c r="K47" i="4"/>
  <c r="K52" i="4" s="1"/>
  <c r="L47" i="4"/>
  <c r="M47" i="4"/>
  <c r="M51" i="4" s="1"/>
  <c r="N47" i="4"/>
  <c r="N52" i="4" s="1"/>
  <c r="O47" i="4"/>
  <c r="O52" i="4" s="1"/>
  <c r="P47" i="4"/>
  <c r="Q47" i="4"/>
  <c r="R47" i="4"/>
  <c r="R51" i="4" s="1"/>
  <c r="S47" i="4"/>
  <c r="S52" i="4" s="1"/>
  <c r="T47" i="4"/>
  <c r="G47" i="4"/>
  <c r="G51" i="4" s="1"/>
  <c r="H40" i="4"/>
  <c r="H45" i="4" s="1"/>
  <c r="I40" i="4"/>
  <c r="I45" i="4" s="1"/>
  <c r="J40" i="4"/>
  <c r="K40" i="4"/>
  <c r="K45" i="4" s="1"/>
  <c r="L40" i="4"/>
  <c r="L44" i="4" s="1"/>
  <c r="M40" i="4"/>
  <c r="M45" i="4" s="1"/>
  <c r="N40" i="4"/>
  <c r="J5" i="7" s="1"/>
  <c r="M5" i="7" s="1"/>
  <c r="O40" i="4"/>
  <c r="P40" i="4"/>
  <c r="J15" i="7" s="1"/>
  <c r="M15" i="7" s="1"/>
  <c r="Q40" i="4"/>
  <c r="Q45" i="4" s="1"/>
  <c r="R40" i="4"/>
  <c r="S40" i="4"/>
  <c r="S44" i="4" s="1"/>
  <c r="T40" i="4"/>
  <c r="T44" i="4" s="1"/>
  <c r="J7" i="7"/>
  <c r="M7" i="7" s="1"/>
  <c r="G40" i="4"/>
  <c r="H33" i="4"/>
  <c r="H37" i="4" s="1"/>
  <c r="I33" i="4"/>
  <c r="I38" i="4" s="1"/>
  <c r="J33" i="4"/>
  <c r="J37" i="4" s="1"/>
  <c r="K33" i="4"/>
  <c r="L33" i="4"/>
  <c r="M33" i="4"/>
  <c r="G18" i="6" s="1"/>
  <c r="N33" i="4"/>
  <c r="N38" i="4" s="1"/>
  <c r="O33" i="4"/>
  <c r="P33" i="4"/>
  <c r="P37" i="4" s="1"/>
  <c r="Q33" i="4"/>
  <c r="J8" i="7" s="1"/>
  <c r="M8" i="7" s="1"/>
  <c r="R33" i="4"/>
  <c r="R38" i="4" s="1"/>
  <c r="S33" i="4"/>
  <c r="T33" i="4"/>
  <c r="G33" i="4"/>
  <c r="G37" i="4" s="1"/>
  <c r="H26" i="4"/>
  <c r="H30" i="4" s="1"/>
  <c r="I26" i="4"/>
  <c r="J26" i="4"/>
  <c r="J31" i="4" s="1"/>
  <c r="K26" i="4"/>
  <c r="K31" i="4" s="1"/>
  <c r="L26" i="4"/>
  <c r="L31" i="4" s="1"/>
  <c r="M26" i="4"/>
  <c r="N26" i="4"/>
  <c r="O26" i="4"/>
  <c r="O30" i="4" s="1"/>
  <c r="P26" i="4"/>
  <c r="P30" i="4" s="1"/>
  <c r="Q26" i="4"/>
  <c r="J10" i="7" s="1"/>
  <c r="M10" i="7" s="1"/>
  <c r="R26" i="4"/>
  <c r="R31" i="4" s="1"/>
  <c r="S26" i="4"/>
  <c r="S31" i="4" s="1"/>
  <c r="T26" i="4"/>
  <c r="T30" i="4" s="1"/>
  <c r="G26" i="4"/>
  <c r="T19" i="4"/>
  <c r="S19" i="4"/>
  <c r="S23" i="4" s="1"/>
  <c r="R19" i="4"/>
  <c r="R23" i="4" s="1"/>
  <c r="Q19" i="4"/>
  <c r="P19" i="4"/>
  <c r="P24" i="4" s="1"/>
  <c r="O19" i="4"/>
  <c r="O24" i="4" s="1"/>
  <c r="N19" i="4"/>
  <c r="N24" i="4" s="1"/>
  <c r="M19" i="4"/>
  <c r="L19" i="4"/>
  <c r="K19" i="4"/>
  <c r="J19" i="4"/>
  <c r="J23" i="4" s="1"/>
  <c r="I19" i="4"/>
  <c r="H19" i="4"/>
  <c r="H24" i="4" s="1"/>
  <c r="G19" i="4"/>
  <c r="G24" i="4" s="1"/>
  <c r="H12" i="4"/>
  <c r="H16" i="4" s="1"/>
  <c r="I12" i="4"/>
  <c r="J12" i="4"/>
  <c r="K12" i="4"/>
  <c r="K17" i="4" s="1"/>
  <c r="L12" i="4"/>
  <c r="G14" i="6" s="1"/>
  <c r="M12" i="4"/>
  <c r="N12" i="4"/>
  <c r="N17" i="4" s="1"/>
  <c r="O12" i="4"/>
  <c r="O17" i="4" s="1"/>
  <c r="P12" i="4"/>
  <c r="W3" i="4" s="1"/>
  <c r="Q12" i="4"/>
  <c r="R12" i="4"/>
  <c r="S12" i="4"/>
  <c r="S16" i="4" s="1"/>
  <c r="T12" i="4"/>
  <c r="T17" i="4" s="1"/>
  <c r="G12" i="4"/>
  <c r="G23" i="4"/>
  <c r="O31" i="4"/>
  <c r="Q38" i="4"/>
  <c r="H24" i="8" s="1"/>
  <c r="I37" i="4"/>
  <c r="M52" i="4"/>
  <c r="R59" i="4"/>
  <c r="T65" i="4"/>
  <c r="G23" i="8" s="1"/>
  <c r="P65" i="4"/>
  <c r="P66" i="4"/>
  <c r="L65" i="4"/>
  <c r="L66" i="4"/>
  <c r="H65" i="4"/>
  <c r="H66" i="4"/>
  <c r="R73" i="4"/>
  <c r="R72" i="4"/>
  <c r="J73" i="4"/>
  <c r="P87" i="4"/>
  <c r="H87" i="4"/>
  <c r="K16" i="4"/>
  <c r="S24" i="4"/>
  <c r="K30" i="4"/>
  <c r="K44" i="4"/>
  <c r="N16" i="4"/>
  <c r="R30" i="4"/>
  <c r="J30" i="4"/>
  <c r="R45" i="4"/>
  <c r="F12" i="6"/>
  <c r="G12" i="6"/>
  <c r="R44" i="4"/>
  <c r="N45" i="4"/>
  <c r="N44" i="4"/>
  <c r="J45" i="4"/>
  <c r="J44" i="4"/>
  <c r="T52" i="4"/>
  <c r="T51" i="4"/>
  <c r="P52" i="4"/>
  <c r="P51" i="4"/>
  <c r="L52" i="4"/>
  <c r="L51" i="4"/>
  <c r="H52" i="4"/>
  <c r="H51" i="4"/>
  <c r="Q59" i="4"/>
  <c r="Q58" i="4"/>
  <c r="M59" i="4"/>
  <c r="G9" i="6"/>
  <c r="F9" i="6"/>
  <c r="M58" i="4"/>
  <c r="I59" i="4"/>
  <c r="I58" i="4"/>
  <c r="O66" i="4"/>
  <c r="G72" i="4"/>
  <c r="M73" i="4"/>
  <c r="G15" i="6"/>
  <c r="I73" i="4"/>
  <c r="I72" i="4"/>
  <c r="G59" i="4"/>
  <c r="F8" i="6"/>
  <c r="F10" i="6"/>
  <c r="G8" i="6"/>
  <c r="K24" i="4"/>
  <c r="K23" i="4"/>
  <c r="M37" i="4"/>
  <c r="M38" i="4"/>
  <c r="G17" i="4"/>
  <c r="G16" i="4"/>
  <c r="Q17" i="4"/>
  <c r="Q16" i="4"/>
  <c r="M17" i="4"/>
  <c r="M16" i="4"/>
  <c r="I17" i="4"/>
  <c r="I16" i="4"/>
  <c r="I24" i="4"/>
  <c r="I23" i="4"/>
  <c r="M24" i="4"/>
  <c r="M23" i="4"/>
  <c r="Q24" i="4"/>
  <c r="Q23" i="4"/>
  <c r="G30" i="4"/>
  <c r="G31" i="4"/>
  <c r="Q31" i="4"/>
  <c r="Q30" i="4"/>
  <c r="M31" i="4"/>
  <c r="M30" i="4"/>
  <c r="G16" i="6"/>
  <c r="F16" i="6"/>
  <c r="I31" i="4"/>
  <c r="I30" i="4"/>
  <c r="S37" i="4"/>
  <c r="S38" i="4"/>
  <c r="O37" i="4"/>
  <c r="O38" i="4"/>
  <c r="K37" i="4"/>
  <c r="K38" i="4"/>
  <c r="G45" i="4"/>
  <c r="G44" i="4"/>
  <c r="Q44" i="4"/>
  <c r="I44" i="4"/>
  <c r="O51" i="4"/>
  <c r="T58" i="4"/>
  <c r="L58" i="4"/>
  <c r="R65" i="4"/>
  <c r="R66" i="4"/>
  <c r="J65" i="4"/>
  <c r="J66" i="4"/>
  <c r="P73" i="4"/>
  <c r="P72" i="4"/>
  <c r="L73" i="4"/>
  <c r="R87" i="4"/>
  <c r="J87" i="4"/>
  <c r="S17" i="4"/>
  <c r="O23" i="4"/>
  <c r="G38" i="4"/>
  <c r="P17" i="4"/>
  <c r="L16" i="4"/>
  <c r="J24" i="4"/>
  <c r="R24" i="4"/>
  <c r="P31" i="4"/>
  <c r="H31" i="4"/>
  <c r="N37" i="4"/>
  <c r="T45" i="4"/>
  <c r="P44" i="4"/>
  <c r="L45" i="4"/>
  <c r="H44" i="4"/>
  <c r="R52" i="4"/>
  <c r="N51" i="4"/>
  <c r="J52" i="4"/>
  <c r="S58" i="4"/>
  <c r="O59" i="4"/>
  <c r="K58" i="4"/>
  <c r="G66" i="4"/>
  <c r="Q65" i="4"/>
  <c r="M65" i="4"/>
  <c r="S73" i="4"/>
  <c r="O73" i="4"/>
  <c r="O72" i="4"/>
  <c r="K73" i="4"/>
  <c r="K72" i="4"/>
  <c r="G87" i="4"/>
  <c r="G86" i="4"/>
  <c r="Q87" i="4"/>
  <c r="Q86" i="4"/>
  <c r="M87" i="4"/>
  <c r="M86" i="4"/>
  <c r="I87" i="4"/>
  <c r="I86" i="4"/>
  <c r="K23" i="7"/>
  <c r="T35" i="1"/>
  <c r="T36" i="1" s="1"/>
  <c r="T37" i="1" s="1"/>
  <c r="S35" i="1"/>
  <c r="S36" i="1" s="1"/>
  <c r="S37" i="1"/>
  <c r="R35" i="1"/>
  <c r="R36" i="1" s="1"/>
  <c r="R37" i="1" s="1"/>
  <c r="Q35" i="1"/>
  <c r="Q36" i="1" s="1"/>
  <c r="Q37" i="1" s="1"/>
  <c r="P35" i="1"/>
  <c r="P36" i="1"/>
  <c r="P37" i="1" s="1"/>
  <c r="O35" i="1"/>
  <c r="O36" i="1" s="1"/>
  <c r="O37" i="1" s="1"/>
  <c r="N35" i="1"/>
  <c r="N36" i="1"/>
  <c r="N37" i="1" s="1"/>
  <c r="M35" i="1"/>
  <c r="M36" i="1" s="1"/>
  <c r="M37" i="1" s="1"/>
  <c r="L35" i="1"/>
  <c r="L36" i="1" s="1"/>
  <c r="L37" i="1" s="1"/>
  <c r="K35" i="1"/>
  <c r="K36" i="1" s="1"/>
  <c r="K37" i="1" s="1"/>
  <c r="J35" i="1"/>
  <c r="J36" i="1" s="1"/>
  <c r="J37" i="1" s="1"/>
  <c r="I35" i="1"/>
  <c r="I36" i="1" s="1"/>
  <c r="I37" i="1" s="1"/>
  <c r="H35" i="1"/>
  <c r="H36" i="1"/>
  <c r="H37" i="1" s="1"/>
  <c r="G35" i="1"/>
  <c r="G36" i="1" s="1"/>
  <c r="G37" i="1" s="1"/>
  <c r="T27" i="1"/>
  <c r="T28" i="1"/>
  <c r="T29" i="1" s="1"/>
  <c r="S27" i="1"/>
  <c r="S28" i="1" s="1"/>
  <c r="S29" i="1" s="1"/>
  <c r="R27" i="1"/>
  <c r="R28" i="1"/>
  <c r="R29" i="1" s="1"/>
  <c r="Q27" i="1"/>
  <c r="Q28" i="1" s="1"/>
  <c r="Q29" i="1"/>
  <c r="P27" i="1"/>
  <c r="P28" i="1"/>
  <c r="P29" i="1" s="1"/>
  <c r="O27" i="1"/>
  <c r="O28" i="1" s="1"/>
  <c r="O29" i="1" s="1"/>
  <c r="N27" i="1"/>
  <c r="N28" i="1" s="1"/>
  <c r="N29" i="1" s="1"/>
  <c r="M27" i="1"/>
  <c r="M28" i="1" s="1"/>
  <c r="M29" i="1" s="1"/>
  <c r="L27" i="1"/>
  <c r="L28" i="1"/>
  <c r="L29" i="1" s="1"/>
  <c r="K27" i="1"/>
  <c r="K28" i="1" s="1"/>
  <c r="K29" i="1" s="1"/>
  <c r="G27" i="1"/>
  <c r="H27" i="1"/>
  <c r="H28" i="1" s="1"/>
  <c r="H29" i="1" s="1"/>
  <c r="I27" i="1"/>
  <c r="I28" i="1" s="1"/>
  <c r="I29" i="1" s="1"/>
  <c r="J27" i="1"/>
  <c r="J28" i="1" s="1"/>
  <c r="J29" i="1"/>
  <c r="G28" i="1"/>
  <c r="G29" i="1" s="1"/>
  <c r="T23" i="1"/>
  <c r="T24" i="1"/>
  <c r="T25" i="1" s="1"/>
  <c r="S23" i="1"/>
  <c r="S24" i="1" s="1"/>
  <c r="S25" i="1" s="1"/>
  <c r="R23" i="1"/>
  <c r="R24" i="1" s="1"/>
  <c r="R25" i="1" s="1"/>
  <c r="Q23" i="1"/>
  <c r="Q24" i="1" s="1"/>
  <c r="Q25" i="1" s="1"/>
  <c r="P23" i="1"/>
  <c r="P24" i="1"/>
  <c r="P25" i="1" s="1"/>
  <c r="O23" i="1"/>
  <c r="O24" i="1" s="1"/>
  <c r="O25" i="1" s="1"/>
  <c r="N23" i="1"/>
  <c r="N24" i="1"/>
  <c r="N25" i="1" s="1"/>
  <c r="M23" i="1"/>
  <c r="M24" i="1" s="1"/>
  <c r="M25" i="1" s="1"/>
  <c r="L23" i="1"/>
  <c r="L24" i="1"/>
  <c r="L25" i="1" s="1"/>
  <c r="K23" i="1"/>
  <c r="K24" i="1"/>
  <c r="K25" i="1"/>
  <c r="J23" i="1"/>
  <c r="J24" i="1" s="1"/>
  <c r="J25" i="1" s="1"/>
  <c r="I23" i="1"/>
  <c r="I24" i="1" s="1"/>
  <c r="I25" i="1" s="1"/>
  <c r="H23" i="1"/>
  <c r="H24" i="1" s="1"/>
  <c r="H25" i="1" s="1"/>
  <c r="G23" i="1"/>
  <c r="G24" i="1"/>
  <c r="G25" i="1"/>
  <c r="T7" i="1"/>
  <c r="T8" i="1"/>
  <c r="T9" i="1"/>
  <c r="G7" i="1"/>
  <c r="G8" i="1" s="1"/>
  <c r="G9" i="1" s="1"/>
  <c r="T43" i="1"/>
  <c r="T44" i="1" s="1"/>
  <c r="T45" i="1" s="1"/>
  <c r="S43" i="1"/>
  <c r="S44" i="1"/>
  <c r="S45" i="1" s="1"/>
  <c r="R43" i="1"/>
  <c r="R44" i="1"/>
  <c r="R45" i="1"/>
  <c r="Q43" i="1"/>
  <c r="Q44" i="1" s="1"/>
  <c r="Q45" i="1" s="1"/>
  <c r="P43" i="1"/>
  <c r="P44" i="1"/>
  <c r="P45" i="1" s="1"/>
  <c r="O43" i="1"/>
  <c r="O44" i="1" s="1"/>
  <c r="O45" i="1" s="1"/>
  <c r="N43" i="1"/>
  <c r="N44" i="1" s="1"/>
  <c r="N45" i="1" s="1"/>
  <c r="M43" i="1"/>
  <c r="M44" i="1" s="1"/>
  <c r="M45" i="1" s="1"/>
  <c r="L43" i="1"/>
  <c r="L44" i="1" s="1"/>
  <c r="L45" i="1" s="1"/>
  <c r="K43" i="1"/>
  <c r="K44" i="1" s="1"/>
  <c r="K45" i="1" s="1"/>
  <c r="J43" i="1"/>
  <c r="J44" i="1"/>
  <c r="J45" i="1" s="1"/>
  <c r="I43" i="1"/>
  <c r="I44" i="1" s="1"/>
  <c r="I45" i="1" s="1"/>
  <c r="H43" i="1"/>
  <c r="H44" i="1"/>
  <c r="H45" i="1" s="1"/>
  <c r="G43" i="1"/>
  <c r="G44" i="1" s="1"/>
  <c r="G45" i="1" s="1"/>
  <c r="T39" i="1"/>
  <c r="T40" i="1" s="1"/>
  <c r="T41" i="1" s="1"/>
  <c r="S39" i="1"/>
  <c r="S40" i="1" s="1"/>
  <c r="S41" i="1" s="1"/>
  <c r="R39" i="1"/>
  <c r="R40" i="1" s="1"/>
  <c r="R41" i="1" s="1"/>
  <c r="Q39" i="1"/>
  <c r="Q40" i="1" s="1"/>
  <c r="Q41" i="1"/>
  <c r="P39" i="1"/>
  <c r="P40" i="1" s="1"/>
  <c r="P41" i="1" s="1"/>
  <c r="O39" i="1"/>
  <c r="O40" i="1" s="1"/>
  <c r="O41" i="1" s="1"/>
  <c r="N39" i="1"/>
  <c r="N40" i="1"/>
  <c r="N41" i="1" s="1"/>
  <c r="M39" i="1"/>
  <c r="M40" i="1" s="1"/>
  <c r="M41" i="1" s="1"/>
  <c r="L39" i="1"/>
  <c r="L40" i="1"/>
  <c r="L41" i="1" s="1"/>
  <c r="K39" i="1"/>
  <c r="K40" i="1" s="1"/>
  <c r="K41" i="1" s="1"/>
  <c r="J39" i="1"/>
  <c r="J40" i="1" s="1"/>
  <c r="J41" i="1" s="1"/>
  <c r="I39" i="1"/>
  <c r="I40" i="1" s="1"/>
  <c r="I41" i="1" s="1"/>
  <c r="H39" i="1"/>
  <c r="H40" i="1" s="1"/>
  <c r="H41" i="1" s="1"/>
  <c r="G39" i="1"/>
  <c r="G40" i="1" s="1"/>
  <c r="G41" i="1" s="1"/>
  <c r="T31" i="1"/>
  <c r="T32" i="1" s="1"/>
  <c r="T33" i="1" s="1"/>
  <c r="S31" i="1"/>
  <c r="S32" i="1"/>
  <c r="S33" i="1"/>
  <c r="R31" i="1"/>
  <c r="R32" i="1" s="1"/>
  <c r="R33" i="1" s="1"/>
  <c r="Q31" i="1"/>
  <c r="Q32" i="1" s="1"/>
  <c r="Q33" i="1" s="1"/>
  <c r="P31" i="1"/>
  <c r="P32" i="1" s="1"/>
  <c r="P33" i="1" s="1"/>
  <c r="O31" i="1"/>
  <c r="O32" i="1" s="1"/>
  <c r="O33" i="1" s="1"/>
  <c r="N31" i="1"/>
  <c r="N32" i="1"/>
  <c r="N33" i="1" s="1"/>
  <c r="M31" i="1"/>
  <c r="M32" i="1" s="1"/>
  <c r="M33" i="1" s="1"/>
  <c r="L31" i="1"/>
  <c r="L32" i="1"/>
  <c r="L33" i="1" s="1"/>
  <c r="K31" i="1"/>
  <c r="K32" i="1" s="1"/>
  <c r="K33" i="1" s="1"/>
  <c r="J31" i="1"/>
  <c r="J32" i="1"/>
  <c r="J33" i="1" s="1"/>
  <c r="I31" i="1"/>
  <c r="I32" i="1" s="1"/>
  <c r="I33" i="1" s="1"/>
  <c r="H31" i="1"/>
  <c r="H32" i="1"/>
  <c r="H33" i="1" s="1"/>
  <c r="G31" i="1"/>
  <c r="G32" i="1"/>
  <c r="G33" i="1"/>
  <c r="T19" i="1"/>
  <c r="T20" i="1" s="1"/>
  <c r="T21" i="1" s="1"/>
  <c r="S19" i="1"/>
  <c r="S20" i="1" s="1"/>
  <c r="S21" i="1" s="1"/>
  <c r="R19" i="1"/>
  <c r="R20" i="1" s="1"/>
  <c r="R21" i="1" s="1"/>
  <c r="Q19" i="1"/>
  <c r="Q20" i="1"/>
  <c r="Q21" i="1"/>
  <c r="P19" i="1"/>
  <c r="P20" i="1" s="1"/>
  <c r="P21" i="1" s="1"/>
  <c r="O19" i="1"/>
  <c r="O20" i="1" s="1"/>
  <c r="O21" i="1" s="1"/>
  <c r="N19" i="1"/>
  <c r="N20" i="1" s="1"/>
  <c r="N21" i="1" s="1"/>
  <c r="M19" i="1"/>
  <c r="M20" i="1"/>
  <c r="M21" i="1" s="1"/>
  <c r="L19" i="1"/>
  <c r="L20" i="1"/>
  <c r="L21" i="1"/>
  <c r="K19" i="1"/>
  <c r="K20" i="1" s="1"/>
  <c r="K21" i="1" s="1"/>
  <c r="J19" i="1"/>
  <c r="J20" i="1"/>
  <c r="J21" i="1" s="1"/>
  <c r="I19" i="1"/>
  <c r="I20" i="1" s="1"/>
  <c r="I21" i="1" s="1"/>
  <c r="H19" i="1"/>
  <c r="H20" i="1"/>
  <c r="H21" i="1" s="1"/>
  <c r="G19" i="1"/>
  <c r="G20" i="1" s="1"/>
  <c r="G21" i="1" s="1"/>
  <c r="T15" i="1"/>
  <c r="T16" i="1"/>
  <c r="T17" i="1" s="1"/>
  <c r="S15" i="1"/>
  <c r="S16" i="1" s="1"/>
  <c r="S17" i="1" s="1"/>
  <c r="R15" i="1"/>
  <c r="R16" i="1" s="1"/>
  <c r="R17" i="1" s="1"/>
  <c r="Q15" i="1"/>
  <c r="Q16" i="1" s="1"/>
  <c r="Q17" i="1" s="1"/>
  <c r="P15" i="1"/>
  <c r="P16" i="1" s="1"/>
  <c r="P17" i="1" s="1"/>
  <c r="O15" i="1"/>
  <c r="O16" i="1"/>
  <c r="O17" i="1"/>
  <c r="N15" i="1"/>
  <c r="N16" i="1" s="1"/>
  <c r="N17" i="1" s="1"/>
  <c r="M15" i="1"/>
  <c r="M16" i="1" s="1"/>
  <c r="M17" i="1" s="1"/>
  <c r="L15" i="1"/>
  <c r="L16" i="1" s="1"/>
  <c r="L17" i="1" s="1"/>
  <c r="K15" i="1"/>
  <c r="K16" i="1"/>
  <c r="K17" i="1" s="1"/>
  <c r="J15" i="1"/>
  <c r="J16" i="1" s="1"/>
  <c r="J17" i="1" s="1"/>
  <c r="I15" i="1"/>
  <c r="I16" i="1" s="1"/>
  <c r="I17" i="1" s="1"/>
  <c r="H15" i="1"/>
  <c r="H16" i="1" s="1"/>
  <c r="H17" i="1" s="1"/>
  <c r="G15" i="1"/>
  <c r="G16" i="1"/>
  <c r="G17" i="1" s="1"/>
  <c r="T11" i="1"/>
  <c r="T12" i="1" s="1"/>
  <c r="T13" i="1" s="1"/>
  <c r="S11" i="1"/>
  <c r="S12" i="1" s="1"/>
  <c r="S13" i="1" s="1"/>
  <c r="R11" i="1"/>
  <c r="R12" i="1" s="1"/>
  <c r="R13" i="1" s="1"/>
  <c r="Q11" i="1"/>
  <c r="Q12" i="1" s="1"/>
  <c r="Q13" i="1" s="1"/>
  <c r="P11" i="1"/>
  <c r="P12" i="1" s="1"/>
  <c r="P13" i="1" s="1"/>
  <c r="O11" i="1"/>
  <c r="O12" i="1" s="1"/>
  <c r="O13" i="1" s="1"/>
  <c r="N11" i="1"/>
  <c r="N12" i="1" s="1"/>
  <c r="N13" i="1" s="1"/>
  <c r="M11" i="1"/>
  <c r="M12" i="1"/>
  <c r="M13" i="1" s="1"/>
  <c r="L11" i="1"/>
  <c r="L12" i="1" s="1"/>
  <c r="L13" i="1" s="1"/>
  <c r="K11" i="1"/>
  <c r="K12" i="1" s="1"/>
  <c r="K13" i="1" s="1"/>
  <c r="J11" i="1"/>
  <c r="J12" i="1" s="1"/>
  <c r="J13" i="1" s="1"/>
  <c r="I11" i="1"/>
  <c r="I12" i="1"/>
  <c r="I13" i="1" s="1"/>
  <c r="H11" i="1"/>
  <c r="H12" i="1" s="1"/>
  <c r="H13" i="1" s="1"/>
  <c r="G11" i="1"/>
  <c r="G12" i="1" s="1"/>
  <c r="G13" i="1" s="1"/>
  <c r="S7" i="1"/>
  <c r="S8" i="1" s="1"/>
  <c r="S9" i="1" s="1"/>
  <c r="R7" i="1"/>
  <c r="R8" i="1"/>
  <c r="R9" i="1" s="1"/>
  <c r="Q7" i="1"/>
  <c r="Q8" i="1" s="1"/>
  <c r="Q9" i="1" s="1"/>
  <c r="P7" i="1"/>
  <c r="P8" i="1" s="1"/>
  <c r="P9" i="1" s="1"/>
  <c r="O7" i="1"/>
  <c r="O8" i="1" s="1"/>
  <c r="O9" i="1" s="1"/>
  <c r="N7" i="1"/>
  <c r="N8" i="1" s="1"/>
  <c r="N9" i="1" s="1"/>
  <c r="M7" i="1"/>
  <c r="M8" i="1" s="1"/>
  <c r="M9" i="1" s="1"/>
  <c r="L7" i="1"/>
  <c r="L8" i="1" s="1"/>
  <c r="L9" i="1" s="1"/>
  <c r="K7" i="1"/>
  <c r="K8" i="1" s="1"/>
  <c r="K9" i="1" s="1"/>
  <c r="J7" i="1"/>
  <c r="I7" i="1"/>
  <c r="I8" i="1" s="1"/>
  <c r="I9" i="1" s="1"/>
  <c r="H7" i="1"/>
  <c r="H8" i="1"/>
  <c r="H9" i="1" s="1"/>
  <c r="J8" i="1"/>
  <c r="J9" i="1"/>
  <c r="G20" i="7" l="1"/>
  <c r="G6" i="7"/>
  <c r="G9" i="7"/>
  <c r="G21" i="7"/>
  <c r="J79" i="4"/>
  <c r="J80" i="4"/>
  <c r="M74" i="4"/>
  <c r="L75" i="4"/>
  <c r="O86" i="4"/>
  <c r="J38" i="4"/>
  <c r="L30" i="4"/>
  <c r="N23" i="4"/>
  <c r="F14" i="6"/>
  <c r="T16" i="4"/>
  <c r="N72" i="4"/>
  <c r="G10" i="7"/>
  <c r="P45" i="4"/>
  <c r="R37" i="4"/>
  <c r="T31" i="4"/>
  <c r="H17" i="4"/>
  <c r="L17" i="4"/>
  <c r="T72" i="4"/>
  <c r="N66" i="4"/>
  <c r="H58" i="4"/>
  <c r="P58" i="4"/>
  <c r="K51" i="4"/>
  <c r="S51" i="4"/>
  <c r="M44" i="4"/>
  <c r="F18" i="6"/>
  <c r="S30" i="4"/>
  <c r="O16" i="4"/>
  <c r="G10" i="6"/>
  <c r="K86" i="4"/>
  <c r="S86" i="4"/>
  <c r="F15" i="6"/>
  <c r="Q72" i="4"/>
  <c r="K66" i="4"/>
  <c r="S66" i="4"/>
  <c r="L87" i="4"/>
  <c r="T87" i="4"/>
  <c r="Q37" i="4"/>
  <c r="G24" i="8" s="1"/>
  <c r="G8" i="7"/>
  <c r="G12" i="7"/>
  <c r="G17" i="7"/>
  <c r="G7" i="7"/>
  <c r="G16" i="7"/>
  <c r="P16" i="4"/>
  <c r="Q73" i="4"/>
  <c r="P23" i="7"/>
  <c r="G5" i="7"/>
  <c r="G11" i="7"/>
  <c r="G13" i="7"/>
  <c r="G18" i="7"/>
  <c r="H38" i="4"/>
  <c r="P23" i="4"/>
  <c r="G52" i="4"/>
  <c r="P38" i="4"/>
  <c r="H23" i="4"/>
  <c r="S45" i="4"/>
  <c r="R17" i="4"/>
  <c r="R16" i="4"/>
  <c r="J17" i="4"/>
  <c r="J16" i="4"/>
  <c r="L24" i="4"/>
  <c r="L23" i="4"/>
  <c r="T24" i="4"/>
  <c r="T23" i="4"/>
  <c r="N31" i="4"/>
  <c r="N30" i="4"/>
  <c r="T37" i="4"/>
  <c r="T38" i="4"/>
  <c r="L37" i="4"/>
  <c r="L38" i="4"/>
  <c r="O44" i="4"/>
  <c r="O45" i="4"/>
  <c r="Q51" i="4"/>
  <c r="Q52" i="4"/>
  <c r="I51" i="4"/>
  <c r="I52" i="4"/>
  <c r="N58" i="4"/>
  <c r="N59" i="4"/>
  <c r="F6" i="6"/>
  <c r="J58" i="4"/>
  <c r="F7" i="6"/>
  <c r="G11" i="6"/>
  <c r="F5" i="6"/>
  <c r="G7" i="6"/>
  <c r="G6" i="6"/>
  <c r="F11" i="6"/>
  <c r="G5" i="6"/>
  <c r="G17" i="6"/>
  <c r="Q66" i="4"/>
  <c r="F17" i="6"/>
  <c r="I66" i="4"/>
  <c r="I65" i="4"/>
  <c r="H72" i="4"/>
  <c r="H73" i="4"/>
  <c r="N86" i="4"/>
  <c r="N87" i="4"/>
  <c r="J18" i="7"/>
  <c r="M18" i="7" s="1"/>
  <c r="J11" i="7"/>
  <c r="M11" i="7" s="1"/>
  <c r="J21" i="7"/>
  <c r="M21" i="7" s="1"/>
  <c r="J16" i="7"/>
  <c r="J6" i="7"/>
  <c r="M6" i="7" s="1"/>
  <c r="J17" i="7"/>
  <c r="M17" i="7" s="1"/>
  <c r="L80" i="4" l="1"/>
  <c r="L79" i="4"/>
  <c r="N74" i="4"/>
  <c r="M75" i="4"/>
  <c r="J23" i="7"/>
  <c r="M25" i="7" s="1"/>
  <c r="M16" i="7"/>
  <c r="M23" i="7" s="1"/>
  <c r="M80" i="4" l="1"/>
  <c r="M79" i="4"/>
  <c r="O74" i="4"/>
  <c r="N75" i="4"/>
  <c r="N80" i="4" l="1"/>
  <c r="N79" i="4"/>
  <c r="O75" i="4"/>
  <c r="P74" i="4"/>
  <c r="Q74" i="4" l="1"/>
  <c r="P75" i="4"/>
  <c r="O79" i="4"/>
  <c r="O80" i="4"/>
  <c r="P79" i="4" l="1"/>
  <c r="P80" i="4"/>
  <c r="Q75" i="4"/>
  <c r="R74" i="4"/>
  <c r="S74" i="4" l="1"/>
  <c r="R75" i="4"/>
  <c r="Q79" i="4"/>
  <c r="Q80" i="4"/>
  <c r="R80" i="4" l="1"/>
  <c r="R79" i="4"/>
  <c r="S75" i="4"/>
  <c r="T74" i="4"/>
  <c r="T75" i="4" s="1"/>
  <c r="T80" i="4" l="1"/>
  <c r="T79" i="4"/>
  <c r="S80" i="4"/>
  <c r="S79"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Cari L. Garcia</author>
    <author>Shen</author>
  </authors>
  <commentList>
    <comment ref="G9" authorId="0" shapeId="0" xr:uid="{00000000-0006-0000-0200-000001000000}">
      <text>
        <r>
          <rPr>
            <b/>
            <sz val="9"/>
            <color indexed="81"/>
            <rFont val="Tahoma"/>
            <family val="2"/>
          </rPr>
          <t>Cari L. Garcia:</t>
        </r>
        <r>
          <rPr>
            <sz val="9"/>
            <color indexed="81"/>
            <rFont val="Tahoma"/>
            <family val="2"/>
          </rPr>
          <t xml:space="preserve">
Tom Hartman
(no changes on Amendment 16)</t>
        </r>
      </text>
    </comment>
    <comment ref="L11" authorId="1" shapeId="0" xr:uid="{00000000-0006-0000-0200-000002000000}">
      <text>
        <r>
          <rPr>
            <b/>
            <sz val="9"/>
            <color indexed="81"/>
            <rFont val="Tahoma"/>
            <family val="2"/>
          </rPr>
          <t>Shen:</t>
        </r>
        <r>
          <rPr>
            <sz val="9"/>
            <color indexed="81"/>
            <rFont val="Tahoma"/>
            <family val="2"/>
          </rPr>
          <t xml:space="preserve">
Thru 2/28/17:
Karen Rapponotti</t>
        </r>
      </text>
    </comment>
    <comment ref="N11" authorId="0" shapeId="0" xr:uid="{00000000-0006-0000-0200-000003000000}">
      <text>
        <r>
          <rPr>
            <b/>
            <sz val="9"/>
            <color indexed="81"/>
            <rFont val="Tahoma"/>
            <family val="2"/>
          </rPr>
          <t>Cari L. Garcia:</t>
        </r>
        <r>
          <rPr>
            <sz val="9"/>
            <color indexed="81"/>
            <rFont val="Tahoma"/>
            <family val="2"/>
          </rPr>
          <t xml:space="preserve">
Thru 2/28/18:
Karen Rapponotti</t>
        </r>
      </text>
    </comment>
    <comment ref="P11" authorId="0" shapeId="0" xr:uid="{00000000-0006-0000-0200-000004000000}">
      <text>
        <r>
          <rPr>
            <b/>
            <sz val="9"/>
            <color indexed="81"/>
            <rFont val="Tahoma"/>
            <family val="2"/>
          </rPr>
          <t>Cari L. Garcia:</t>
        </r>
        <r>
          <rPr>
            <sz val="9"/>
            <color indexed="81"/>
            <rFont val="Tahoma"/>
            <family val="2"/>
          </rPr>
          <t xml:space="preserve">
As of 3/1/18
Karen Rapponotti</t>
        </r>
      </text>
    </comment>
    <comment ref="M25" authorId="0" shapeId="0" xr:uid="{00000000-0006-0000-0200-000005000000}">
      <text>
        <r>
          <rPr>
            <b/>
            <sz val="9"/>
            <color indexed="81"/>
            <rFont val="Tahoma"/>
            <family val="2"/>
          </rPr>
          <t>Cari L. Garcia:</t>
        </r>
        <r>
          <rPr>
            <sz val="9"/>
            <color indexed="81"/>
            <rFont val="Tahoma"/>
            <family val="2"/>
          </rPr>
          <t xml:space="preserve">
Thru 2/28/17:
Jenn Hobbs</t>
        </r>
      </text>
    </comment>
    <comment ref="O25" authorId="0" shapeId="0" xr:uid="{00000000-0006-0000-0200-000006000000}">
      <text>
        <r>
          <rPr>
            <b/>
            <sz val="9"/>
            <color indexed="81"/>
            <rFont val="Tahoma"/>
            <family val="2"/>
          </rPr>
          <t>Cari L. Garcia:</t>
        </r>
        <r>
          <rPr>
            <sz val="9"/>
            <color indexed="81"/>
            <rFont val="Tahoma"/>
            <family val="2"/>
          </rPr>
          <t xml:space="preserve">
Thru 2/28/18:
Jenn Hobbs</t>
        </r>
      </text>
    </comment>
    <comment ref="Q25" authorId="0" shapeId="0" xr:uid="{00000000-0006-0000-0200-000007000000}">
      <text>
        <r>
          <rPr>
            <b/>
            <sz val="9"/>
            <color indexed="81"/>
            <rFont val="Tahoma"/>
            <family val="2"/>
          </rPr>
          <t>Cari L. Garcia:</t>
        </r>
        <r>
          <rPr>
            <sz val="9"/>
            <color indexed="81"/>
            <rFont val="Tahoma"/>
            <family val="2"/>
          </rPr>
          <t xml:space="preserve">
As of 3/1/18
Jenn Hobbs</t>
        </r>
      </text>
    </comment>
    <comment ref="M32" authorId="0" shapeId="0" xr:uid="{00000000-0006-0000-0200-000008000000}">
      <text>
        <r>
          <rPr>
            <b/>
            <sz val="9"/>
            <color indexed="81"/>
            <rFont val="Tahoma"/>
            <family val="2"/>
          </rPr>
          <t>Cari L. Garcia:</t>
        </r>
        <r>
          <rPr>
            <sz val="9"/>
            <color indexed="81"/>
            <rFont val="Tahoma"/>
            <family val="2"/>
          </rPr>
          <t xml:space="preserve">
Thru 2/28/17:
Jon Burkett</t>
        </r>
      </text>
    </comment>
    <comment ref="O32" authorId="0" shapeId="0" xr:uid="{00000000-0006-0000-0200-000009000000}">
      <text>
        <r>
          <rPr>
            <b/>
            <sz val="9"/>
            <color indexed="81"/>
            <rFont val="Tahoma"/>
            <family val="2"/>
          </rPr>
          <t>Cari L. Garcia:</t>
        </r>
        <r>
          <rPr>
            <sz val="9"/>
            <color indexed="81"/>
            <rFont val="Tahoma"/>
            <family val="2"/>
          </rPr>
          <t xml:space="preserve">
Thru 2/28/18:
Jon Burkett</t>
        </r>
      </text>
    </comment>
    <comment ref="Q32" authorId="0" shapeId="0" xr:uid="{00000000-0006-0000-0200-00000A000000}">
      <text>
        <r>
          <rPr>
            <b/>
            <sz val="9"/>
            <color indexed="81"/>
            <rFont val="Tahoma"/>
            <family val="2"/>
          </rPr>
          <t>Cari L. Garcia:</t>
        </r>
        <r>
          <rPr>
            <sz val="9"/>
            <color indexed="81"/>
            <rFont val="Tahoma"/>
            <family val="2"/>
          </rPr>
          <t xml:space="preserve">
As of 3/1/18
Jon Burkett</t>
        </r>
      </text>
    </comment>
    <comment ref="L39" authorId="0" shapeId="0" xr:uid="{00000000-0006-0000-0200-00000B000000}">
      <text>
        <r>
          <rPr>
            <b/>
            <sz val="9"/>
            <color indexed="81"/>
            <rFont val="Tahoma"/>
            <family val="2"/>
          </rPr>
          <t>Cari L. Garcia:</t>
        </r>
        <r>
          <rPr>
            <sz val="9"/>
            <color indexed="81"/>
            <rFont val="Tahoma"/>
            <family val="2"/>
          </rPr>
          <t xml:space="preserve">
Thru 2/28/17
Joel Acevedo</t>
        </r>
      </text>
    </comment>
    <comment ref="N39" authorId="0" shapeId="0" xr:uid="{00000000-0006-0000-0200-00000C000000}">
      <text>
        <r>
          <rPr>
            <b/>
            <sz val="9"/>
            <color indexed="81"/>
            <rFont val="Tahoma"/>
            <family val="2"/>
          </rPr>
          <t>Cari L. Garcia:</t>
        </r>
        <r>
          <rPr>
            <sz val="9"/>
            <color indexed="81"/>
            <rFont val="Tahoma"/>
            <family val="2"/>
          </rPr>
          <t xml:space="preserve">
Joel Acevedo as of 3/1/18
Thru 2/28/17
Elisa Miller</t>
        </r>
      </text>
    </comment>
    <comment ref="P39" authorId="0" shapeId="0" xr:uid="{00000000-0006-0000-0200-00000D000000}">
      <text>
        <r>
          <rPr>
            <b/>
            <sz val="9"/>
            <color indexed="81"/>
            <rFont val="Tahoma"/>
            <family val="2"/>
          </rPr>
          <t>Cari L. Garcia:</t>
        </r>
        <r>
          <rPr>
            <sz val="9"/>
            <color indexed="81"/>
            <rFont val="Tahoma"/>
            <family val="2"/>
          </rPr>
          <t xml:space="preserve">
As of 3/1/18
Elisa Miller</t>
        </r>
      </text>
    </comment>
    <comment ref="R39" authorId="0" shapeId="0" xr:uid="{00000000-0006-0000-0200-00000E000000}">
      <text>
        <r>
          <rPr>
            <b/>
            <sz val="9"/>
            <color indexed="81"/>
            <rFont val="Tahoma"/>
            <family val="2"/>
          </rPr>
          <t>Cari L. Garcia:</t>
        </r>
        <r>
          <rPr>
            <sz val="9"/>
            <color indexed="81"/>
            <rFont val="Tahoma"/>
            <family val="2"/>
          </rPr>
          <t xml:space="preserve">
Thru 2/28/17:
Danielle Benoit</t>
        </r>
      </text>
    </comment>
    <comment ref="T39" authorId="0" shapeId="0" xr:uid="{00000000-0006-0000-0200-00000F000000}">
      <text>
        <r>
          <rPr>
            <b/>
            <sz val="9"/>
            <color indexed="81"/>
            <rFont val="Tahoma"/>
            <family val="2"/>
          </rPr>
          <t>Cari L. Garcia:</t>
        </r>
        <r>
          <rPr>
            <sz val="9"/>
            <color indexed="81"/>
            <rFont val="Tahoma"/>
            <family val="2"/>
          </rPr>
          <t xml:space="preserve">
As of 3/1/17 &amp; no change for 3/1/18:
Daneille Benoit
</t>
        </r>
      </text>
    </comment>
    <comment ref="H46" authorId="0" shapeId="0" xr:uid="{00000000-0006-0000-0200-000010000000}">
      <text>
        <r>
          <rPr>
            <b/>
            <sz val="9"/>
            <color indexed="81"/>
            <rFont val="Tahoma"/>
            <family val="2"/>
          </rPr>
          <t>Cari L. Garcia:</t>
        </r>
        <r>
          <rPr>
            <sz val="9"/>
            <color indexed="81"/>
            <rFont val="Tahoma"/>
            <family val="2"/>
          </rPr>
          <t xml:space="preserve">
As of 3/1/18:
Paul Robertson
Taras Shemchuk
Daisy Villasenor
Darcy Alexander
Tyler Vaisau
Andrea Maddox</t>
        </r>
      </text>
    </comment>
    <comment ref="G53" authorId="0" shapeId="0" xr:uid="{00000000-0006-0000-0200-000011000000}">
      <text>
        <r>
          <rPr>
            <b/>
            <sz val="9"/>
            <color indexed="81"/>
            <rFont val="Tahoma"/>
            <family val="2"/>
          </rPr>
          <t>Cari L. Garcia:</t>
        </r>
        <r>
          <rPr>
            <sz val="9"/>
            <color indexed="81"/>
            <rFont val="Tahoma"/>
            <family val="2"/>
          </rPr>
          <t xml:space="preserve">
Thru 2/28/17
Paul Robertson
Taras Shemchuk</t>
        </r>
      </text>
    </comment>
    <comment ref="J53" authorId="0" shapeId="0" xr:uid="{00000000-0006-0000-0200-000012000000}">
      <text>
        <r>
          <rPr>
            <b/>
            <sz val="9"/>
            <color indexed="81"/>
            <rFont val="Tahoma"/>
            <family val="2"/>
          </rPr>
          <t>Cari L. Garcia:</t>
        </r>
        <r>
          <rPr>
            <sz val="9"/>
            <color indexed="81"/>
            <rFont val="Tahoma"/>
            <family val="2"/>
          </rPr>
          <t xml:space="preserve">
Thru 2/28/17:
Andrea Maddox
Daisy Villasenor
Darcy Alexander
Tyler Vaisau</t>
        </r>
      </text>
    </comment>
    <comment ref="L53" authorId="0" shapeId="0" xr:uid="{00000000-0006-0000-0200-000013000000}">
      <text>
        <r>
          <rPr>
            <b/>
            <sz val="9"/>
            <color indexed="81"/>
            <rFont val="Tahoma"/>
            <family val="2"/>
          </rPr>
          <t>Cari L. Garcia:</t>
        </r>
        <r>
          <rPr>
            <sz val="9"/>
            <color indexed="81"/>
            <rFont val="Tahoma"/>
            <family val="2"/>
          </rPr>
          <t xml:space="preserve">
Thru 2/28/18:
Paul Robertson
Taras Shemchuk
Daisy Villasenor
Darcy Alexander
Tyler Vaisau
Andrea Maddox</t>
        </r>
      </text>
    </comment>
    <comment ref="M53" authorId="0" shapeId="0" xr:uid="{00000000-0006-0000-0200-000014000000}">
      <text>
        <r>
          <rPr>
            <b/>
            <sz val="9"/>
            <color indexed="81"/>
            <rFont val="Tahoma"/>
            <family val="2"/>
          </rPr>
          <t>Cari L. Garcia:</t>
        </r>
        <r>
          <rPr>
            <sz val="9"/>
            <color indexed="81"/>
            <rFont val="Tahoma"/>
            <family val="2"/>
          </rPr>
          <t xml:space="preserve">
Thru 2/28/17:
Ravette Taylor </t>
        </r>
      </text>
    </comment>
    <comment ref="Q60" authorId="0" shapeId="0" xr:uid="{00000000-0006-0000-0200-000015000000}">
      <text>
        <r>
          <rPr>
            <b/>
            <sz val="9"/>
            <color indexed="81"/>
            <rFont val="Tahoma"/>
            <family val="2"/>
          </rPr>
          <t>Cari L. Garcia:</t>
        </r>
        <r>
          <rPr>
            <sz val="9"/>
            <color indexed="81"/>
            <rFont val="Tahoma"/>
            <family val="2"/>
          </rPr>
          <t xml:space="preserve">
Thru 2/28/17:
Dave McKinney</t>
        </r>
      </text>
    </comment>
    <comment ref="S60" authorId="0" shapeId="0" xr:uid="{00000000-0006-0000-0200-000016000000}">
      <text>
        <r>
          <rPr>
            <b/>
            <sz val="9"/>
            <color indexed="81"/>
            <rFont val="Tahoma"/>
            <family val="2"/>
          </rPr>
          <t>Cari L. Garcia:</t>
        </r>
        <r>
          <rPr>
            <sz val="9"/>
            <color indexed="81"/>
            <rFont val="Tahoma"/>
            <family val="2"/>
          </rPr>
          <t xml:space="preserve">
Thru 2/28/18:
Dave McKinney</t>
        </r>
      </text>
    </comment>
    <comment ref="T60" authorId="0" shapeId="0" xr:uid="{00000000-0006-0000-0200-000017000000}">
      <text>
        <r>
          <rPr>
            <b/>
            <sz val="9"/>
            <color indexed="81"/>
            <rFont val="Tahoma"/>
            <family val="2"/>
          </rPr>
          <t>Cari L. Garcia:</t>
        </r>
        <r>
          <rPr>
            <sz val="9"/>
            <color indexed="81"/>
            <rFont val="Tahoma"/>
            <family val="2"/>
          </rPr>
          <t xml:space="preserve">
As of 3/1/18</t>
        </r>
      </text>
    </comment>
    <comment ref="M67" authorId="0" shapeId="0" xr:uid="{00000000-0006-0000-0200-000018000000}">
      <text>
        <r>
          <rPr>
            <b/>
            <sz val="9"/>
            <color indexed="81"/>
            <rFont val="Tahoma"/>
            <family val="2"/>
          </rPr>
          <t>Cari L. Garcia:</t>
        </r>
        <r>
          <rPr>
            <sz val="9"/>
            <color indexed="81"/>
            <rFont val="Tahoma"/>
            <family val="2"/>
          </rPr>
          <t xml:space="preserve">
Thru 2/28/17:
Raychelle Menefee</t>
        </r>
      </text>
    </comment>
    <comment ref="O67" authorId="0" shapeId="0" xr:uid="{00000000-0006-0000-0200-000019000000}">
      <text>
        <r>
          <rPr>
            <b/>
            <sz val="9"/>
            <color indexed="81"/>
            <rFont val="Tahoma"/>
            <family val="2"/>
          </rPr>
          <t>Cari L. Garcia:</t>
        </r>
        <r>
          <rPr>
            <sz val="9"/>
            <color indexed="81"/>
            <rFont val="Tahoma"/>
            <family val="2"/>
          </rPr>
          <t xml:space="preserve">
Thru 2/28/18:
Raychelle Menefee</t>
        </r>
      </text>
    </comment>
    <comment ref="Q67" authorId="0" shapeId="0" xr:uid="{00000000-0006-0000-0200-00001A000000}">
      <text>
        <r>
          <rPr>
            <b/>
            <sz val="9"/>
            <color indexed="81"/>
            <rFont val="Tahoma"/>
            <family val="2"/>
          </rPr>
          <t>Cari L. Garcia:</t>
        </r>
        <r>
          <rPr>
            <sz val="9"/>
            <color indexed="81"/>
            <rFont val="Tahoma"/>
            <family val="2"/>
          </rPr>
          <t xml:space="preserve">
As of 3/1/18:
Raychelle Menefee
As of 10/17/18: 
Raychelle rolled off - this position is unfilled</t>
        </r>
      </text>
    </comment>
  </commentList>
</comments>
</file>

<file path=xl/sharedStrings.xml><?xml version="1.0" encoding="utf-8"?>
<sst xmlns="http://schemas.openxmlformats.org/spreadsheetml/2006/main" count="532" uniqueCount="184">
  <si>
    <t>Sal Plan</t>
  </si>
  <si>
    <t>Grade</t>
  </si>
  <si>
    <t>Step 1</t>
  </si>
  <si>
    <t>Step 2</t>
  </si>
  <si>
    <t>Step 3</t>
  </si>
  <si>
    <t>Step 4</t>
  </si>
  <si>
    <t>Step 5</t>
  </si>
  <si>
    <t>Step 6</t>
  </si>
  <si>
    <t>Step 7</t>
  </si>
  <si>
    <t>Step 8</t>
  </si>
  <si>
    <t>Step 9</t>
  </si>
  <si>
    <t>Step 10</t>
  </si>
  <si>
    <t>Step 11</t>
  </si>
  <si>
    <t>Step 12</t>
  </si>
  <si>
    <t>Step 13</t>
  </si>
  <si>
    <t>Step 14</t>
  </si>
  <si>
    <t>XMB</t>
  </si>
  <si>
    <t>Min Hr</t>
  </si>
  <si>
    <t>Bi-wkly</t>
  </si>
  <si>
    <t>Approx. Month</t>
  </si>
  <si>
    <t>Approx Annual</t>
  </si>
  <si>
    <t>MRP</t>
  </si>
  <si>
    <t>Business Application Manager</t>
  </si>
  <si>
    <t>394</t>
  </si>
  <si>
    <t>Regional Project Manager</t>
  </si>
  <si>
    <t>Technical Manager</t>
  </si>
  <si>
    <t>ITS</t>
  </si>
  <si>
    <t>559</t>
  </si>
  <si>
    <t>SEU</t>
  </si>
  <si>
    <t>602</t>
  </si>
  <si>
    <t>494</t>
  </si>
  <si>
    <t>363</t>
  </si>
  <si>
    <t>Technical Analyst</t>
  </si>
  <si>
    <t>372</t>
  </si>
  <si>
    <t>Executive Secretary</t>
  </si>
  <si>
    <t>MCO</t>
  </si>
  <si>
    <t>Contracts Officer</t>
  </si>
  <si>
    <t>MRP  SEU</t>
  </si>
  <si>
    <t>495  569</t>
  </si>
  <si>
    <t>San Bernardino Equivalent</t>
  </si>
  <si>
    <t>Project Director</t>
  </si>
  <si>
    <t>Deputy Project Director</t>
  </si>
  <si>
    <t>Business Analyst III</t>
  </si>
  <si>
    <t xml:space="preserve">Lead Business Analyst </t>
  </si>
  <si>
    <t>Business Analyst II</t>
  </si>
  <si>
    <t>Business Analyst I</t>
  </si>
  <si>
    <t>System Support Analyst II</t>
  </si>
  <si>
    <t>Executive Secretary II</t>
  </si>
  <si>
    <t>Contracts and Compliance Officer</t>
  </si>
  <si>
    <t>73</t>
  </si>
  <si>
    <t>67</t>
  </si>
  <si>
    <t>80</t>
  </si>
  <si>
    <t>Dept. IS Admin</t>
  </si>
  <si>
    <t>63</t>
  </si>
  <si>
    <t>57</t>
  </si>
  <si>
    <t>Assistant Director</t>
  </si>
  <si>
    <t>Determined by JPA Board</t>
  </si>
  <si>
    <t>Range</t>
  </si>
  <si>
    <t xml:space="preserve">Director </t>
  </si>
  <si>
    <t>Business Analyst II (Journey level)</t>
  </si>
  <si>
    <t>Business Analyst I (Entry level)</t>
  </si>
  <si>
    <t>Business Analyst Manager</t>
  </si>
  <si>
    <t>RGS Fees</t>
  </si>
  <si>
    <t>Item</t>
  </si>
  <si>
    <t>RGS Fees/Mth</t>
  </si>
  <si>
    <t>Hourly Rate</t>
  </si>
  <si>
    <t>Monthly Pay</t>
  </si>
  <si>
    <t>C-IV Title</t>
  </si>
  <si>
    <t>Staff Name</t>
  </si>
  <si>
    <t>Effective Date(s)</t>
  </si>
  <si>
    <t>Rate Frequency</t>
  </si>
  <si>
    <t>Travel</t>
  </si>
  <si>
    <t>Month</t>
  </si>
  <si>
    <t>C-IV Project Director</t>
  </si>
  <si>
    <t>Hour</t>
  </si>
  <si>
    <t>Governance Consultant</t>
  </si>
  <si>
    <t>EXHIBIT A – TABLE 1</t>
  </si>
  <si>
    <t>Tom Hartman</t>
  </si>
  <si>
    <t>Tyler Vaisau</t>
  </si>
  <si>
    <t>Paul Robertson</t>
  </si>
  <si>
    <t>Taras Shemchuk</t>
  </si>
  <si>
    <t>Andrea Everett</t>
  </si>
  <si>
    <t>Darcy Alexander</t>
  </si>
  <si>
    <t>Danielle Benoit</t>
  </si>
  <si>
    <t>Daisy Villasenor</t>
  </si>
  <si>
    <t>Raychelle Menefee</t>
  </si>
  <si>
    <t>Betty Uzipus</t>
  </si>
  <si>
    <t>Jenn Hobbs</t>
  </si>
  <si>
    <t>Dave McKinney</t>
  </si>
  <si>
    <t>Jon Burkett</t>
  </si>
  <si>
    <t>RaVette Taylor</t>
  </si>
  <si>
    <t>Current Step</t>
  </si>
  <si>
    <t>N/A</t>
  </si>
  <si>
    <t>Business Analyst Lead</t>
  </si>
  <si>
    <t>Min. Benefits/Mth</t>
  </si>
  <si>
    <t>Max. Benefits/Mth</t>
  </si>
  <si>
    <r>
      <t xml:space="preserve">Min. Rate </t>
    </r>
    <r>
      <rPr>
        <b/>
        <vertAlign val="superscript"/>
        <sz val="11"/>
        <rFont val="Calibri"/>
        <family val="2"/>
        <scheme val="minor"/>
      </rPr>
      <t>1</t>
    </r>
  </si>
  <si>
    <r>
      <t xml:space="preserve">Max Rate </t>
    </r>
    <r>
      <rPr>
        <b/>
        <vertAlign val="superscript"/>
        <sz val="11"/>
        <rFont val="Calibri"/>
        <family val="2"/>
        <scheme val="minor"/>
      </rPr>
      <t>2</t>
    </r>
  </si>
  <si>
    <r>
      <t>Actual</t>
    </r>
    <r>
      <rPr>
        <vertAlign val="superscript"/>
        <sz val="11"/>
        <rFont val="Calibri"/>
        <family val="2"/>
        <scheme val="minor"/>
      </rPr>
      <t>3</t>
    </r>
  </si>
  <si>
    <r>
      <t>$1000/month</t>
    </r>
    <r>
      <rPr>
        <vertAlign val="superscript"/>
        <sz val="11"/>
        <rFont val="Calibri"/>
        <family val="2"/>
        <scheme val="minor"/>
      </rPr>
      <t>4</t>
    </r>
    <r>
      <rPr>
        <sz val="11"/>
        <rFont val="Calibri"/>
        <family val="2"/>
        <scheme val="minor"/>
      </rPr>
      <t xml:space="preserve"> + Actual</t>
    </r>
    <r>
      <rPr>
        <vertAlign val="superscript"/>
        <sz val="11"/>
        <rFont val="Calibri"/>
        <family val="2"/>
        <scheme val="minor"/>
      </rPr>
      <t>3</t>
    </r>
  </si>
  <si>
    <r>
      <t>Included</t>
    </r>
    <r>
      <rPr>
        <vertAlign val="superscript"/>
        <sz val="11"/>
        <rFont val="Calibri"/>
        <family val="2"/>
        <scheme val="minor"/>
      </rPr>
      <t>5</t>
    </r>
  </si>
  <si>
    <t>RGS Fee</t>
  </si>
  <si>
    <t>Annual Travel Budget</t>
  </si>
  <si>
    <t>Karen Rapponotti</t>
  </si>
  <si>
    <r>
      <rPr>
        <b/>
        <sz val="11"/>
        <color rgb="FFFF0000"/>
        <rFont val="Calibri"/>
        <family val="2"/>
        <scheme val="minor"/>
      </rPr>
      <t>Actual</t>
    </r>
    <r>
      <rPr>
        <b/>
        <sz val="11"/>
        <color theme="1"/>
        <rFont val="Calibri"/>
        <family val="2"/>
        <scheme val="minor"/>
      </rPr>
      <t xml:space="preserve"> Rates for Personnel and Travel Reimbursement Policies</t>
    </r>
  </si>
  <si>
    <r>
      <rPr>
        <b/>
        <sz val="11"/>
        <color rgb="FFFF0000"/>
        <rFont val="Calibri"/>
        <family val="2"/>
        <scheme val="minor"/>
      </rPr>
      <t>Range</t>
    </r>
    <r>
      <rPr>
        <b/>
        <sz val="11"/>
        <color theme="1"/>
        <rFont val="Calibri"/>
        <family val="2"/>
        <scheme val="minor"/>
      </rPr>
      <t xml:space="preserve"> of Rates for Personnel and Travel Reimbursement Policies</t>
    </r>
  </si>
  <si>
    <t>Min. Monthly Budget</t>
  </si>
  <si>
    <t>Max Monthly Budget</t>
  </si>
  <si>
    <t>C-IV Position</t>
  </si>
  <si>
    <t>Max Benefits/Mth</t>
  </si>
  <si>
    <t>RGS Start Date</t>
  </si>
  <si>
    <t xml:space="preserve">Uzipus, Betty </t>
  </si>
  <si>
    <t xml:space="preserve">Villasenor, Daisy </t>
  </si>
  <si>
    <t xml:space="preserve">Benoit, Danielle </t>
  </si>
  <si>
    <t>Alexander, Darcy</t>
  </si>
  <si>
    <t>McKinney, Dave</t>
  </si>
  <si>
    <t xml:space="preserve">Burkett, Jon </t>
  </si>
  <si>
    <t>Rapponotti, Karen</t>
  </si>
  <si>
    <t xml:space="preserve">Robertson, Paul </t>
  </si>
  <si>
    <t xml:space="preserve">Shemchuk, Taras </t>
  </si>
  <si>
    <t xml:space="preserve">Vaisau, Tyler </t>
  </si>
  <si>
    <t>Hartman, Thomas</t>
  </si>
  <si>
    <t>Hobbs, Jennifer</t>
  </si>
  <si>
    <t>TOTAL</t>
  </si>
  <si>
    <t>Monthly Travel Budget</t>
  </si>
  <si>
    <t>Exhibit A Salary Schedule</t>
  </si>
  <si>
    <r>
      <t xml:space="preserve">Total Monthly Budget 
</t>
    </r>
    <r>
      <rPr>
        <b/>
        <sz val="9"/>
        <rFont val="Calibri"/>
        <family val="2"/>
        <scheme val="minor"/>
      </rPr>
      <t>(Salary + Benefits + Fees)</t>
    </r>
  </si>
  <si>
    <t>Salary &amp; Benefit Effective Date</t>
  </si>
  <si>
    <t>Months on Project</t>
  </si>
  <si>
    <t>Hours/
year</t>
  </si>
  <si>
    <t>Accrual Rate</t>
  </si>
  <si>
    <t>Time</t>
  </si>
  <si>
    <t>0-&lt;60</t>
  </si>
  <si>
    <t>&gt;61-120</t>
  </si>
  <si>
    <t>&gt;120</t>
  </si>
  <si>
    <t>Vacation Accrual Rate per hour</t>
  </si>
  <si>
    <t>Hrs/year</t>
  </si>
  <si>
    <t>Days/Year</t>
  </si>
  <si>
    <t>Min Monthly Budget</t>
  </si>
  <si>
    <t>Joel Acevedo</t>
  </si>
  <si>
    <t>Elisa Miller</t>
  </si>
  <si>
    <t>Acevedo, Joel</t>
  </si>
  <si>
    <t>Miller, Elisa</t>
  </si>
  <si>
    <t>Andrea Maddox</t>
  </si>
  <si>
    <t>Maddox, Andrea</t>
  </si>
  <si>
    <r>
      <t>C-IV Project Start Date</t>
    </r>
    <r>
      <rPr>
        <b/>
        <sz val="8"/>
        <rFont val="Calibri"/>
        <family val="2"/>
        <scheme val="minor"/>
      </rPr>
      <t xml:space="preserve">
(Use for Vacation Accrual)</t>
    </r>
  </si>
  <si>
    <r>
      <rPr>
        <b/>
        <sz val="11"/>
        <rFont val="Calibri"/>
        <family val="2"/>
        <scheme val="minor"/>
      </rPr>
      <t xml:space="preserve">Range </t>
    </r>
    <r>
      <rPr>
        <b/>
        <sz val="11"/>
        <color theme="1"/>
        <rFont val="Calibri"/>
        <family val="2"/>
        <scheme val="minor"/>
      </rPr>
      <t>of Rates for Personnel and Travel Reimbursement Policies</t>
    </r>
  </si>
  <si>
    <t>RGS Program Advisor</t>
  </si>
  <si>
    <t>RGS Project Advisor</t>
  </si>
  <si>
    <t>RGS Project Coordinator</t>
  </si>
  <si>
    <t>RGS Senior Advisor/Department Director</t>
  </si>
  <si>
    <t>Title</t>
  </si>
  <si>
    <t>None</t>
  </si>
  <si>
    <t>Hourly Rate $81.73</t>
  </si>
  <si>
    <t>Monthly Rate $14,167</t>
  </si>
  <si>
    <t>RGS Amendment 19 Budget</t>
  </si>
  <si>
    <t>CalACES North Director</t>
  </si>
  <si>
    <t>CalACES North Deputy Project Director</t>
  </si>
  <si>
    <t>CalACES Position</t>
  </si>
  <si>
    <t>CalACES North Deputy Director</t>
  </si>
  <si>
    <r>
      <t xml:space="preserve">Current Benefits
</t>
    </r>
    <r>
      <rPr>
        <b/>
        <sz val="9"/>
        <rFont val="Calibri"/>
        <family val="2"/>
        <scheme val="minor"/>
      </rPr>
      <t>(Per Jeff on 2/8/18)</t>
    </r>
  </si>
  <si>
    <t>RGS Chief Operating Officer</t>
  </si>
  <si>
    <t>RGS Deputy Chief Operating Officer</t>
  </si>
  <si>
    <t>RGS Senior/Lead Advisor</t>
  </si>
  <si>
    <t>Procurement Consultant</t>
  </si>
  <si>
    <r>
      <t xml:space="preserve">Min Rate </t>
    </r>
    <r>
      <rPr>
        <b/>
        <vertAlign val="superscript"/>
        <sz val="11"/>
        <rFont val="Calibri"/>
        <family val="2"/>
        <scheme val="minor"/>
      </rPr>
      <t>2</t>
    </r>
  </si>
  <si>
    <r>
      <t xml:space="preserve">Max Rate </t>
    </r>
    <r>
      <rPr>
        <b/>
        <vertAlign val="superscript"/>
        <sz val="12"/>
        <rFont val="Calibri"/>
        <family val="2"/>
        <scheme val="minor"/>
      </rPr>
      <t>3</t>
    </r>
  </si>
  <si>
    <t>Current  Step</t>
  </si>
  <si>
    <r>
      <t xml:space="preserve"># of Positions </t>
    </r>
    <r>
      <rPr>
        <b/>
        <vertAlign val="superscript"/>
        <sz val="11"/>
        <rFont val="Calibri"/>
        <family val="2"/>
        <scheme val="minor"/>
      </rPr>
      <t>1</t>
    </r>
  </si>
  <si>
    <r>
      <t>Actual</t>
    </r>
    <r>
      <rPr>
        <vertAlign val="superscript"/>
        <sz val="11"/>
        <rFont val="Calibri"/>
        <family val="2"/>
        <scheme val="minor"/>
      </rPr>
      <t>4</t>
    </r>
  </si>
  <si>
    <r>
      <t>Actual</t>
    </r>
    <r>
      <rPr>
        <vertAlign val="superscript"/>
        <sz val="11"/>
        <rFont val="Calibri"/>
        <family val="2"/>
        <scheme val="minor"/>
      </rPr>
      <t>4</t>
    </r>
    <r>
      <rPr>
        <sz val="11"/>
        <color theme="1"/>
        <rFont val="Calibri"/>
        <family val="2"/>
        <scheme val="minor"/>
      </rPr>
      <t/>
    </r>
  </si>
  <si>
    <r>
      <t>$1000/month</t>
    </r>
    <r>
      <rPr>
        <vertAlign val="superscript"/>
        <sz val="11"/>
        <rFont val="Calibri"/>
        <family val="2"/>
        <scheme val="minor"/>
      </rPr>
      <t>5</t>
    </r>
    <r>
      <rPr>
        <sz val="11"/>
        <rFont val="Calibri"/>
        <family val="2"/>
        <scheme val="minor"/>
      </rPr>
      <t xml:space="preserve"> + Actual</t>
    </r>
    <r>
      <rPr>
        <vertAlign val="superscript"/>
        <sz val="11"/>
        <rFont val="Calibri"/>
        <family val="2"/>
        <scheme val="minor"/>
      </rPr>
      <t>4</t>
    </r>
  </si>
  <si>
    <r>
      <t>Included</t>
    </r>
    <r>
      <rPr>
        <vertAlign val="superscript"/>
        <sz val="11"/>
        <rFont val="Calibri"/>
        <family val="2"/>
        <scheme val="minor"/>
      </rPr>
      <t>6</t>
    </r>
  </si>
  <si>
    <t>Office Assistant II</t>
  </si>
  <si>
    <t>Unfilled as of 10/2018; Raychelle Menefee rolled off</t>
  </si>
  <si>
    <r>
      <t xml:space="preserve">Salary as of </t>
    </r>
    <r>
      <rPr>
        <b/>
        <sz val="11"/>
        <color rgb="FFFF0000"/>
        <rFont val="Calibri"/>
        <family val="2"/>
        <scheme val="minor"/>
      </rPr>
      <t>11/1/18</t>
    </r>
  </si>
  <si>
    <t>As of 11/1/18</t>
  </si>
  <si>
    <r>
      <t xml:space="preserve">Step as of </t>
    </r>
    <r>
      <rPr>
        <b/>
        <sz val="11"/>
        <color rgb="FFFF0000"/>
        <rFont val="Calibri"/>
        <family val="2"/>
        <scheme val="minor"/>
      </rPr>
      <t>11/1/18</t>
    </r>
  </si>
  <si>
    <t>UNFILLED</t>
  </si>
  <si>
    <t>UNFILLED-Recruitment Planned</t>
  </si>
  <si>
    <t>1-14</t>
  </si>
  <si>
    <t>Regional Manager</t>
  </si>
  <si>
    <t>Open until filled</t>
  </si>
  <si>
    <t>Cloud Architect Consultant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</si>
</sst>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quot;#,##0.00_);[Red]\(&quot;$&quot;#,##0.00\)"/>
    <numFmt numFmtId="44" formatCode="_(&quot;$&quot;* #,##0.00_);_(&quot;$&quot;* \(#,##0.00\);_(&quot;$&quot;* &quot;-&quot;??_);_(@_)"/>
    <numFmt numFmtId="164" formatCode="&quot;$&quot;#,##0.00"/>
    <numFmt numFmtId="165" formatCode="_(&quot;$&quot;* #,##0_);_(&quot;$&quot;* \(#,##0\);_(&quot;$&quot;* &quot;-&quot;??_);_(@_)"/>
    <numFmt numFmtId="166" formatCode="0.0000"/>
    <numFmt numFmtId="167" formatCode="&quot;$&quot;#,##0.0000"/>
  </numFmts>
  <fonts count="28">
    <font>
      <sz val="11"/>
      <color theme="1"/>
      <name val="Calibri"/>
      <family val="2"/>
      <scheme val="minor"/>
    </font>
    <font>
      <sz val="11"/>
      <color theme="1"/>
      <name val="Calibri"/>
      <family val="2"/>
      <scheme val="minor"/>
    </font>
    <font>
      <b/>
      <sz val="11"/>
      <color theme="3"/>
      <name val="Calibri"/>
      <family val="2"/>
      <scheme val="minor"/>
    </font>
    <font>
      <b/>
      <sz val="8"/>
      <color theme="3"/>
      <name val="Calibri"/>
      <family val="2"/>
      <scheme val="minor"/>
    </font>
    <font>
      <b/>
      <sz val="9"/>
      <color theme="1"/>
      <name val="Calibri"/>
      <family val="2"/>
      <scheme val="minor"/>
    </font>
    <font>
      <sz val="9"/>
      <color theme="1"/>
      <name val="Calibri"/>
      <family val="2"/>
      <scheme val="minor"/>
    </font>
    <font>
      <b/>
      <sz val="8"/>
      <color theme="1"/>
      <name val="Calibri"/>
      <family val="2"/>
      <scheme val="minor"/>
    </font>
    <font>
      <sz val="8"/>
      <color theme="1"/>
      <name val="Calibri"/>
      <family val="2"/>
      <scheme val="minor"/>
    </font>
    <font>
      <b/>
      <sz val="11"/>
      <color theme="1"/>
      <name val="Calibri"/>
      <family val="2"/>
      <scheme val="minor"/>
    </font>
    <font>
      <b/>
      <sz val="11"/>
      <name val="Calibri"/>
      <family val="2"/>
      <scheme val="minor"/>
    </font>
    <font>
      <sz val="11"/>
      <name val="Calibri"/>
      <family val="2"/>
      <scheme val="minor"/>
    </font>
    <font>
      <vertAlign val="superscript"/>
      <sz val="11"/>
      <name val="Calibri"/>
      <family val="2"/>
      <scheme val="minor"/>
    </font>
    <font>
      <sz val="10"/>
      <color theme="1"/>
      <name val="Arial"/>
      <family val="2"/>
    </font>
    <font>
      <sz val="9"/>
      <color indexed="81"/>
      <name val="Tahoma"/>
      <family val="2"/>
    </font>
    <font>
      <b/>
      <sz val="9"/>
      <color indexed="81"/>
      <name val="Tahoma"/>
      <family val="2"/>
    </font>
    <font>
      <b/>
      <sz val="16"/>
      <color theme="1"/>
      <name val="Calibri"/>
      <family val="2"/>
      <scheme val="minor"/>
    </font>
    <font>
      <b/>
      <vertAlign val="superscript"/>
      <sz val="11"/>
      <name val="Calibri"/>
      <family val="2"/>
      <scheme val="minor"/>
    </font>
    <font>
      <b/>
      <sz val="11"/>
      <color rgb="FFFF0000"/>
      <name val="Calibri"/>
      <family val="2"/>
      <scheme val="minor"/>
    </font>
    <font>
      <sz val="11"/>
      <name val="Calibri"/>
      <family val="2"/>
    </font>
    <font>
      <sz val="9"/>
      <color theme="0"/>
      <name val="Calibri"/>
      <family val="2"/>
      <scheme val="minor"/>
    </font>
    <font>
      <b/>
      <sz val="9"/>
      <name val="Calibri"/>
      <family val="2"/>
      <scheme val="minor"/>
    </font>
    <font>
      <b/>
      <sz val="8"/>
      <name val="Calibri"/>
      <family val="2"/>
      <scheme val="minor"/>
    </font>
    <font>
      <b/>
      <sz val="11"/>
      <name val="Calibri"/>
      <family val="2"/>
      <scheme val="minor"/>
    </font>
    <font>
      <sz val="11"/>
      <name val="Calibri"/>
      <family val="2"/>
      <scheme val="minor"/>
    </font>
    <font>
      <sz val="11"/>
      <name val="Calibri"/>
      <family val="2"/>
    </font>
    <font>
      <sz val="11"/>
      <name val="Calibri"/>
      <family val="2"/>
      <scheme val="minor"/>
    </font>
    <font>
      <sz val="11"/>
      <name val="Calibri"/>
      <scheme val="minor"/>
    </font>
    <font>
      <b/>
      <vertAlign val="superscript"/>
      <sz val="12"/>
      <name val="Calibri"/>
      <family val="2"/>
      <scheme val="minor"/>
    </font>
  </fonts>
  <fills count="7">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1"/>
        <bgColor indexed="64"/>
      </patternFill>
    </fill>
    <fill>
      <patternFill patternType="solid">
        <fgColor theme="6" tint="0.79998168889431442"/>
        <bgColor indexed="64"/>
      </patternFill>
    </fill>
  </fills>
  <borders count="31">
    <border>
      <left/>
      <right/>
      <top/>
      <bottom/>
      <diagonal/>
    </border>
    <border>
      <left/>
      <right/>
      <top/>
      <bottom style="medium">
        <color theme="4" tint="0.39997558519241921"/>
      </bottom>
      <diagonal/>
    </border>
    <border>
      <left style="thin">
        <color indexed="64"/>
      </left>
      <right style="thin">
        <color indexed="64"/>
      </right>
      <top style="thin">
        <color indexed="64"/>
      </top>
      <bottom/>
      <diagonal/>
    </border>
    <border>
      <left/>
      <right/>
      <top style="thin">
        <color indexed="64"/>
      </top>
      <bottom/>
      <diagonal/>
    </border>
    <border>
      <left/>
      <right style="thick">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bottom/>
      <diagonal/>
    </border>
  </borders>
  <cellStyleXfs count="4">
    <xf numFmtId="0" fontId="0" fillId="0" borderId="0"/>
    <xf numFmtId="44" fontId="1" fillId="0" borderId="0" applyFont="0" applyFill="0" applyBorder="0" applyAlignment="0" applyProtection="0"/>
    <xf numFmtId="0" fontId="2" fillId="0" borderId="1" applyNumberFormat="0" applyFill="0" applyAlignment="0" applyProtection="0"/>
    <xf numFmtId="0" fontId="12" fillId="0" borderId="0"/>
  </cellStyleXfs>
  <cellXfs count="212">
    <xf numFmtId="0" fontId="0" fillId="0" borderId="0" xfId="0"/>
    <xf numFmtId="0" fontId="3" fillId="2" borderId="2" xfId="2" applyFont="1" applyFill="1" applyBorder="1" applyAlignment="1">
      <alignment horizontal="left" wrapText="1"/>
    </xf>
    <xf numFmtId="0" fontId="3" fillId="2" borderId="2" xfId="2" applyFont="1" applyFill="1" applyBorder="1" applyAlignment="1">
      <alignment horizontal="center" wrapText="1"/>
    </xf>
    <xf numFmtId="0" fontId="3" fillId="2" borderId="3" xfId="2" applyFont="1" applyFill="1" applyBorder="1" applyAlignment="1">
      <alignment horizontal="center" wrapText="1"/>
    </xf>
    <xf numFmtId="0" fontId="3" fillId="2" borderId="4" xfId="2" applyFont="1" applyFill="1" applyBorder="1" applyAlignment="1">
      <alignment horizontal="left" wrapText="1"/>
    </xf>
    <xf numFmtId="0" fontId="3" fillId="2" borderId="5" xfId="2" applyFont="1" applyFill="1" applyBorder="1" applyAlignment="1">
      <alignment horizontal="left" wrapText="1"/>
    </xf>
    <xf numFmtId="0" fontId="6" fillId="0" borderId="6" xfId="0" applyFont="1" applyFill="1" applyBorder="1" applyAlignment="1">
      <alignment horizontal="left" vertical="top" wrapText="1"/>
    </xf>
    <xf numFmtId="44" fontId="7" fillId="0" borderId="6" xfId="1" applyFont="1" applyFill="1" applyBorder="1" applyAlignment="1">
      <alignment horizontal="left" vertical="top" wrapText="1"/>
    </xf>
    <xf numFmtId="44" fontId="7" fillId="3" borderId="6" xfId="1" applyFont="1" applyFill="1" applyBorder="1" applyAlignment="1">
      <alignment horizontal="left" vertical="top" wrapText="1"/>
    </xf>
    <xf numFmtId="0" fontId="6" fillId="3" borderId="6" xfId="0" applyFont="1" applyFill="1" applyBorder="1" applyAlignment="1">
      <alignment horizontal="left" vertical="top" wrapText="1"/>
    </xf>
    <xf numFmtId="44" fontId="7" fillId="3" borderId="6" xfId="1" applyNumberFormat="1" applyFont="1" applyFill="1" applyBorder="1" applyAlignment="1">
      <alignment vertical="top"/>
    </xf>
    <xf numFmtId="44" fontId="7" fillId="3" borderId="6" xfId="1" applyFont="1" applyFill="1" applyBorder="1" applyAlignment="1">
      <alignment vertical="top"/>
    </xf>
    <xf numFmtId="44" fontId="7" fillId="0" borderId="6" xfId="1" applyNumberFormat="1" applyFont="1" applyFill="1" applyBorder="1" applyAlignment="1">
      <alignment vertical="top"/>
    </xf>
    <xf numFmtId="0" fontId="0" fillId="0" borderId="0" xfId="0" applyFill="1"/>
    <xf numFmtId="44" fontId="7" fillId="0" borderId="6" xfId="1" applyFont="1" applyFill="1" applyBorder="1" applyAlignment="1">
      <alignment vertical="top"/>
    </xf>
    <xf numFmtId="0" fontId="0" fillId="0" borderId="0" xfId="0" applyAlignment="1">
      <alignment horizontal="centerContinuous"/>
    </xf>
    <xf numFmtId="0" fontId="0" fillId="0" borderId="0" xfId="0" applyAlignment="1">
      <alignment vertical="top"/>
    </xf>
    <xf numFmtId="0" fontId="8" fillId="0" borderId="0" xfId="0" applyFont="1" applyAlignment="1">
      <alignment horizontal="centerContinuous" vertical="top"/>
    </xf>
    <xf numFmtId="0" fontId="9" fillId="0" borderId="0" xfId="0" applyFont="1" applyFill="1" applyBorder="1" applyAlignment="1">
      <alignment horizontal="center" vertical="top"/>
    </xf>
    <xf numFmtId="0" fontId="10" fillId="0" borderId="0" xfId="0" applyFont="1" applyFill="1" applyBorder="1" applyAlignment="1">
      <alignment horizontal="center" vertical="center"/>
    </xf>
    <xf numFmtId="14" fontId="10" fillId="0" borderId="0" xfId="0" applyNumberFormat="1" applyFont="1" applyFill="1" applyBorder="1" applyAlignment="1">
      <alignment horizontal="center" vertical="center"/>
    </xf>
    <xf numFmtId="1" fontId="0" fillId="0" borderId="0" xfId="0" applyNumberFormat="1"/>
    <xf numFmtId="1" fontId="10" fillId="0" borderId="0" xfId="0" applyNumberFormat="1" applyFont="1" applyFill="1" applyBorder="1" applyAlignment="1">
      <alignment horizontal="center" vertical="center"/>
    </xf>
    <xf numFmtId="0" fontId="0" fillId="0" borderId="0" xfId="0" applyAlignment="1"/>
    <xf numFmtId="1" fontId="0" fillId="0" borderId="0" xfId="0" applyNumberFormat="1" applyAlignment="1">
      <alignment horizontal="centerContinuous"/>
    </xf>
    <xf numFmtId="44" fontId="10" fillId="0" borderId="0" xfId="1" applyFont="1" applyFill="1" applyBorder="1" applyAlignment="1">
      <alignment horizontal="center" vertical="center"/>
    </xf>
    <xf numFmtId="0" fontId="15" fillId="0" borderId="0" xfId="0" applyFont="1"/>
    <xf numFmtId="164" fontId="10" fillId="0" borderId="0" xfId="0" applyNumberFormat="1" applyFont="1" applyFill="1" applyBorder="1" applyAlignment="1">
      <alignment horizontal="right" vertical="center"/>
    </xf>
    <xf numFmtId="164" fontId="10" fillId="0" borderId="0" xfId="1" applyNumberFormat="1" applyFont="1" applyFill="1" applyBorder="1" applyAlignment="1">
      <alignment horizontal="right" vertical="center"/>
    </xf>
    <xf numFmtId="0" fontId="9" fillId="0" borderId="0" xfId="0" applyFont="1" applyFill="1" applyBorder="1" applyAlignment="1">
      <alignment horizontal="center" vertical="top" wrapText="1"/>
    </xf>
    <xf numFmtId="1" fontId="10" fillId="0" borderId="0" xfId="1" applyNumberFormat="1" applyFont="1" applyFill="1" applyBorder="1" applyAlignment="1">
      <alignment horizontal="center" vertical="center"/>
    </xf>
    <xf numFmtId="1" fontId="9" fillId="0" borderId="0" xfId="0" applyNumberFormat="1" applyFont="1" applyFill="1" applyBorder="1" applyAlignment="1">
      <alignment horizontal="center" vertical="top" wrapText="1"/>
    </xf>
    <xf numFmtId="0" fontId="10" fillId="0" borderId="0" xfId="0" applyFont="1" applyFill="1" applyBorder="1" applyAlignment="1">
      <alignment horizontal="center" vertical="center" wrapText="1"/>
    </xf>
    <xf numFmtId="0" fontId="9" fillId="0" borderId="0" xfId="0" applyFont="1" applyFill="1" applyBorder="1" applyAlignment="1">
      <alignment horizontal="left" vertical="center"/>
    </xf>
    <xf numFmtId="0" fontId="10" fillId="0" borderId="0" xfId="0" applyFont="1" applyFill="1" applyBorder="1" applyAlignment="1">
      <alignment horizontal="left" vertical="center"/>
    </xf>
    <xf numFmtId="164" fontId="7" fillId="0" borderId="6" xfId="1" applyNumberFormat="1" applyFont="1" applyFill="1" applyBorder="1" applyAlignment="1">
      <alignment horizontal="right" vertical="top" wrapText="1"/>
    </xf>
    <xf numFmtId="164" fontId="7" fillId="0" borderId="6" xfId="1" applyNumberFormat="1" applyFont="1" applyFill="1" applyBorder="1" applyAlignment="1">
      <alignment horizontal="right" vertical="top"/>
    </xf>
    <xf numFmtId="164" fontId="7" fillId="0" borderId="2" xfId="1" applyNumberFormat="1" applyFont="1" applyFill="1" applyBorder="1" applyAlignment="1">
      <alignment horizontal="right" vertical="top" wrapText="1"/>
    </xf>
    <xf numFmtId="164" fontId="7" fillId="3" borderId="6" xfId="1" applyNumberFormat="1" applyFont="1" applyFill="1" applyBorder="1" applyAlignment="1">
      <alignment horizontal="right" vertical="top" wrapText="1"/>
    </xf>
    <xf numFmtId="14" fontId="10" fillId="0" borderId="0" xfId="0" applyNumberFormat="1" applyFont="1" applyFill="1" applyBorder="1" applyAlignment="1">
      <alignment horizontal="center" vertical="center" wrapText="1"/>
    </xf>
    <xf numFmtId="164" fontId="7" fillId="0" borderId="8" xfId="1" applyNumberFormat="1" applyFont="1" applyFill="1" applyBorder="1" applyAlignment="1">
      <alignment horizontal="right" vertical="top" wrapText="1"/>
    </xf>
    <xf numFmtId="164" fontId="7" fillId="0" borderId="8" xfId="1" applyNumberFormat="1" applyFont="1" applyFill="1" applyBorder="1" applyAlignment="1">
      <alignment horizontal="right" vertical="top"/>
    </xf>
    <xf numFmtId="164" fontId="7" fillId="3" borderId="10" xfId="1" applyNumberFormat="1" applyFont="1" applyFill="1" applyBorder="1" applyAlignment="1">
      <alignment horizontal="right" vertical="top" wrapText="1"/>
    </xf>
    <xf numFmtId="164" fontId="7" fillId="3" borderId="12" xfId="1" applyNumberFormat="1" applyFont="1" applyFill="1" applyBorder="1" applyAlignment="1">
      <alignment horizontal="right" vertical="top" wrapText="1"/>
    </xf>
    <xf numFmtId="164" fontId="7" fillId="3" borderId="14" xfId="1" applyNumberFormat="1" applyFont="1" applyFill="1" applyBorder="1" applyAlignment="1">
      <alignment horizontal="right" vertical="top" wrapText="1"/>
    </xf>
    <xf numFmtId="164" fontId="7" fillId="3" borderId="16" xfId="1" applyNumberFormat="1" applyFont="1" applyFill="1" applyBorder="1" applyAlignment="1">
      <alignment horizontal="right" vertical="top" wrapText="1"/>
    </xf>
    <xf numFmtId="164" fontId="7" fillId="3" borderId="18" xfId="1" applyNumberFormat="1" applyFont="1" applyFill="1" applyBorder="1" applyAlignment="1">
      <alignment horizontal="right" vertical="top" wrapText="1"/>
    </xf>
    <xf numFmtId="164" fontId="7" fillId="3" borderId="8" xfId="1" applyNumberFormat="1" applyFont="1" applyFill="1" applyBorder="1" applyAlignment="1">
      <alignment horizontal="right" vertical="top" wrapText="1"/>
    </xf>
    <xf numFmtId="164" fontId="7" fillId="3" borderId="10" xfId="1" applyNumberFormat="1" applyFont="1" applyFill="1" applyBorder="1" applyAlignment="1">
      <alignment horizontal="right" vertical="top"/>
    </xf>
    <xf numFmtId="164" fontId="7" fillId="3" borderId="12" xfId="1" applyNumberFormat="1" applyFont="1" applyFill="1" applyBorder="1" applyAlignment="1">
      <alignment horizontal="right" vertical="top"/>
    </xf>
    <xf numFmtId="164" fontId="7" fillId="0" borderId="10" xfId="1" applyNumberFormat="1" applyFont="1" applyFill="1" applyBorder="1" applyAlignment="1">
      <alignment horizontal="right" vertical="top" wrapText="1"/>
    </xf>
    <xf numFmtId="164" fontId="7" fillId="0" borderId="12" xfId="1" applyNumberFormat="1" applyFont="1" applyFill="1" applyBorder="1" applyAlignment="1">
      <alignment horizontal="right" vertical="top" wrapText="1"/>
    </xf>
    <xf numFmtId="164" fontId="7" fillId="0" borderId="14" xfId="1" applyNumberFormat="1" applyFont="1" applyFill="1" applyBorder="1" applyAlignment="1">
      <alignment horizontal="right" vertical="top" wrapText="1"/>
    </xf>
    <xf numFmtId="164" fontId="7" fillId="0" borderId="14" xfId="1" applyNumberFormat="1" applyFont="1" applyFill="1" applyBorder="1" applyAlignment="1">
      <alignment horizontal="right" vertical="top"/>
    </xf>
    <xf numFmtId="164" fontId="7" fillId="0" borderId="16" xfId="1" applyNumberFormat="1" applyFont="1" applyFill="1" applyBorder="1" applyAlignment="1">
      <alignment horizontal="right" vertical="top" wrapText="1"/>
    </xf>
    <xf numFmtId="164" fontId="7" fillId="0" borderId="18" xfId="1" applyNumberFormat="1" applyFont="1" applyFill="1" applyBorder="1" applyAlignment="1">
      <alignment horizontal="right" vertical="top" wrapText="1"/>
    </xf>
    <xf numFmtId="164" fontId="7" fillId="0" borderId="10" xfId="1" applyNumberFormat="1" applyFont="1" applyFill="1" applyBorder="1" applyAlignment="1">
      <alignment horizontal="right" vertical="top"/>
    </xf>
    <xf numFmtId="164" fontId="7" fillId="0" borderId="12" xfId="1" applyNumberFormat="1" applyFont="1" applyFill="1" applyBorder="1" applyAlignment="1">
      <alignment horizontal="right" vertical="top"/>
    </xf>
    <xf numFmtId="164" fontId="7" fillId="3" borderId="24" xfId="1" applyNumberFormat="1" applyFont="1" applyFill="1" applyBorder="1" applyAlignment="1">
      <alignment horizontal="right" vertical="top" wrapText="1"/>
    </xf>
    <xf numFmtId="0" fontId="3" fillId="2" borderId="4" xfId="2" applyFont="1" applyFill="1" applyBorder="1" applyAlignment="1">
      <alignment horizontal="left"/>
    </xf>
    <xf numFmtId="0" fontId="6" fillId="0" borderId="10" xfId="0" applyFont="1" applyFill="1" applyBorder="1" applyAlignment="1">
      <alignment horizontal="left" vertical="top"/>
    </xf>
    <xf numFmtId="0" fontId="6" fillId="0" borderId="6" xfId="0" applyFont="1" applyFill="1" applyBorder="1" applyAlignment="1">
      <alignment horizontal="left" vertical="top"/>
    </xf>
    <xf numFmtId="0" fontId="6" fillId="0" borderId="16" xfId="0" applyFont="1" applyFill="1" applyBorder="1" applyAlignment="1">
      <alignment horizontal="left" vertical="top"/>
    </xf>
    <xf numFmtId="0" fontId="6" fillId="3" borderId="10" xfId="0" applyFont="1" applyFill="1" applyBorder="1" applyAlignment="1">
      <alignment horizontal="left" vertical="top"/>
    </xf>
    <xf numFmtId="0" fontId="6" fillId="3" borderId="6" xfId="0" applyFont="1" applyFill="1" applyBorder="1" applyAlignment="1">
      <alignment horizontal="left" vertical="top"/>
    </xf>
    <xf numFmtId="0" fontId="6" fillId="3" borderId="16" xfId="0" applyFont="1" applyFill="1" applyBorder="1" applyAlignment="1">
      <alignment horizontal="left" vertical="top"/>
    </xf>
    <xf numFmtId="0" fontId="6" fillId="3" borderId="8" xfId="0" applyFont="1" applyFill="1" applyBorder="1" applyAlignment="1">
      <alignment horizontal="left" vertical="top"/>
    </xf>
    <xf numFmtId="0" fontId="6" fillId="0" borderId="8" xfId="0" applyFont="1" applyFill="1" applyBorder="1" applyAlignment="1">
      <alignment horizontal="left" vertical="top"/>
    </xf>
    <xf numFmtId="0" fontId="6" fillId="0" borderId="2" xfId="0" applyFont="1" applyFill="1" applyBorder="1" applyAlignment="1">
      <alignment horizontal="left" vertical="top"/>
    </xf>
    <xf numFmtId="44" fontId="10" fillId="0" borderId="0" xfId="1" applyFont="1" applyFill="1" applyBorder="1" applyAlignment="1">
      <alignment horizontal="right" vertical="center"/>
    </xf>
    <xf numFmtId="44" fontId="9" fillId="0" borderId="0" xfId="1" applyFont="1" applyFill="1" applyBorder="1" applyAlignment="1">
      <alignment horizontal="right" vertical="center"/>
    </xf>
    <xf numFmtId="165" fontId="10" fillId="0" borderId="0" xfId="1" applyNumberFormat="1" applyFont="1" applyFill="1" applyBorder="1" applyAlignment="1">
      <alignment horizontal="center" vertical="center"/>
    </xf>
    <xf numFmtId="164" fontId="7" fillId="3" borderId="6" xfId="1" applyNumberFormat="1" applyFont="1" applyFill="1" applyBorder="1" applyAlignment="1">
      <alignment horizontal="right" vertical="top" wrapText="1"/>
    </xf>
    <xf numFmtId="164" fontId="7" fillId="3" borderId="14" xfId="1" applyNumberFormat="1" applyFont="1" applyFill="1" applyBorder="1" applyAlignment="1">
      <alignment horizontal="right" vertical="top" wrapText="1"/>
    </xf>
    <xf numFmtId="164" fontId="7" fillId="0" borderId="6" xfId="1" applyNumberFormat="1" applyFont="1" applyFill="1" applyBorder="1" applyAlignment="1">
      <alignment horizontal="right" vertical="top" wrapText="1"/>
    </xf>
    <xf numFmtId="164" fontId="7" fillId="0" borderId="14" xfId="1" applyNumberFormat="1" applyFont="1" applyFill="1" applyBorder="1" applyAlignment="1">
      <alignment horizontal="right" vertical="top" wrapText="1"/>
    </xf>
    <xf numFmtId="164" fontId="7" fillId="3" borderId="6" xfId="1" applyNumberFormat="1" applyFont="1" applyFill="1" applyBorder="1" applyAlignment="1">
      <alignment horizontal="right" vertical="top" wrapText="1"/>
    </xf>
    <xf numFmtId="164" fontId="7" fillId="3" borderId="14" xfId="1" applyNumberFormat="1" applyFont="1" applyFill="1" applyBorder="1" applyAlignment="1">
      <alignment horizontal="right" vertical="top" wrapText="1"/>
    </xf>
    <xf numFmtId="164" fontId="7" fillId="0" borderId="6" xfId="1" applyNumberFormat="1" applyFont="1" applyFill="1" applyBorder="1" applyAlignment="1">
      <alignment horizontal="right" vertical="top" wrapText="1"/>
    </xf>
    <xf numFmtId="164" fontId="7" fillId="3" borderId="6" xfId="1" applyNumberFormat="1" applyFont="1" applyFill="1" applyBorder="1" applyAlignment="1">
      <alignment horizontal="right" vertical="top" wrapText="1"/>
    </xf>
    <xf numFmtId="164" fontId="7" fillId="0" borderId="6" xfId="1" applyNumberFormat="1" applyFont="1" applyFill="1" applyBorder="1" applyAlignment="1">
      <alignment horizontal="right" vertical="top" wrapText="1"/>
    </xf>
    <xf numFmtId="164" fontId="7" fillId="0" borderId="14" xfId="1" applyNumberFormat="1" applyFont="1" applyFill="1" applyBorder="1" applyAlignment="1">
      <alignment horizontal="right" vertical="top" wrapText="1"/>
    </xf>
    <xf numFmtId="164" fontId="7" fillId="3" borderId="6" xfId="1" applyNumberFormat="1" applyFont="1" applyFill="1" applyBorder="1" applyAlignment="1">
      <alignment horizontal="right" vertical="top" wrapText="1"/>
    </xf>
    <xf numFmtId="164" fontId="7" fillId="3" borderId="14" xfId="1" applyNumberFormat="1" applyFont="1" applyFill="1" applyBorder="1" applyAlignment="1">
      <alignment horizontal="right" vertical="top" wrapText="1"/>
    </xf>
    <xf numFmtId="164" fontId="7" fillId="0" borderId="6" xfId="1" applyNumberFormat="1" applyFont="1" applyFill="1" applyBorder="1" applyAlignment="1">
      <alignment horizontal="right" vertical="top" wrapText="1"/>
    </xf>
    <xf numFmtId="164" fontId="7" fillId="3" borderId="6" xfId="1" applyNumberFormat="1" applyFont="1" applyFill="1" applyBorder="1" applyAlignment="1">
      <alignment horizontal="right" vertical="top" wrapText="1"/>
    </xf>
    <xf numFmtId="164" fontId="7" fillId="3" borderId="14" xfId="1" applyNumberFormat="1" applyFont="1" applyFill="1" applyBorder="1" applyAlignment="1">
      <alignment horizontal="right" vertical="top" wrapText="1"/>
    </xf>
    <xf numFmtId="164" fontId="7" fillId="0" borderId="6" xfId="1" applyNumberFormat="1" applyFont="1" applyFill="1" applyBorder="1" applyAlignment="1">
      <alignment horizontal="right" vertical="top" wrapText="1"/>
    </xf>
    <xf numFmtId="44" fontId="10" fillId="0" borderId="0" xfId="1" applyFont="1" applyFill="1" applyBorder="1" applyAlignment="1">
      <alignment horizontal="right" vertical="center"/>
    </xf>
    <xf numFmtId="0" fontId="0" fillId="0" borderId="0" xfId="0" applyAlignment="1">
      <alignment horizontal="center"/>
    </xf>
    <xf numFmtId="44" fontId="0" fillId="0" borderId="0" xfId="1" applyFont="1"/>
    <xf numFmtId="44" fontId="9" fillId="0" borderId="0" xfId="1" applyFont="1" applyFill="1" applyAlignment="1">
      <alignment horizontal="center" vertical="top" wrapText="1"/>
    </xf>
    <xf numFmtId="44" fontId="18" fillId="0" borderId="0" xfId="1" applyFont="1" applyFill="1" applyAlignment="1">
      <alignment horizontal="center" vertical="center"/>
    </xf>
    <xf numFmtId="0" fontId="0" fillId="5" borderId="0" xfId="0" applyFill="1"/>
    <xf numFmtId="0" fontId="0" fillId="5" borderId="0" xfId="0" applyFill="1" applyAlignment="1">
      <alignment horizontal="center"/>
    </xf>
    <xf numFmtId="1" fontId="0" fillId="5" borderId="0" xfId="0" applyNumberFormat="1" applyFill="1"/>
    <xf numFmtId="44" fontId="0" fillId="5" borderId="0" xfId="1" applyFont="1" applyFill="1"/>
    <xf numFmtId="0" fontId="8" fillId="3" borderId="0" xfId="0" applyFont="1" applyFill="1"/>
    <xf numFmtId="0" fontId="8" fillId="3" borderId="0" xfId="0" applyFont="1" applyFill="1" applyAlignment="1">
      <alignment horizontal="center"/>
    </xf>
    <xf numFmtId="44" fontId="8" fillId="3" borderId="0" xfId="1" applyFont="1" applyFill="1"/>
    <xf numFmtId="0" fontId="8" fillId="0" borderId="0" xfId="0" applyFont="1" applyFill="1"/>
    <xf numFmtId="0" fontId="8" fillId="0" borderId="0" xfId="0" applyFont="1" applyFill="1" applyAlignment="1">
      <alignment horizontal="center"/>
    </xf>
    <xf numFmtId="44" fontId="8" fillId="0" borderId="0" xfId="1" applyFont="1" applyFill="1"/>
    <xf numFmtId="0" fontId="7" fillId="0" borderId="0" xfId="0" applyFont="1" applyAlignment="1">
      <alignment vertical="top"/>
    </xf>
    <xf numFmtId="44" fontId="19" fillId="0" borderId="0" xfId="0" applyNumberFormat="1" applyFont="1"/>
    <xf numFmtId="0" fontId="9" fillId="0" borderId="0" xfId="0" applyFont="1" applyFill="1" applyBorder="1" applyAlignment="1">
      <alignment horizontal="center" vertical="top" wrapText="1"/>
    </xf>
    <xf numFmtId="2" fontId="10" fillId="0" borderId="0" xfId="0" applyNumberFormat="1" applyFont="1" applyFill="1" applyBorder="1" applyAlignment="1">
      <alignment horizontal="center" vertical="center"/>
    </xf>
    <xf numFmtId="0" fontId="10" fillId="0" borderId="0" xfId="0" applyFont="1" applyFill="1" applyBorder="1" applyAlignment="1">
      <alignment horizontal="center" vertical="center"/>
    </xf>
    <xf numFmtId="14"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center" vertical="center"/>
    </xf>
    <xf numFmtId="0" fontId="0" fillId="0" borderId="0" xfId="0" applyAlignment="1">
      <alignment horizontal="center"/>
    </xf>
    <xf numFmtId="2" fontId="10" fillId="0" borderId="0" xfId="0" applyNumberFormat="1" applyFont="1" applyFill="1" applyBorder="1" applyAlignment="1">
      <alignment horizontal="center" vertical="center"/>
    </xf>
    <xf numFmtId="0" fontId="8" fillId="0" borderId="0" xfId="0" applyFont="1" applyAlignment="1">
      <alignment horizontal="center" wrapText="1"/>
    </xf>
    <xf numFmtId="166" fontId="10" fillId="0" borderId="0" xfId="0" applyNumberFormat="1" applyFont="1" applyFill="1" applyBorder="1" applyAlignment="1">
      <alignment horizontal="center" vertical="center"/>
    </xf>
    <xf numFmtId="0" fontId="8" fillId="0" borderId="0" xfId="0" applyFont="1" applyAlignment="1">
      <alignment horizontal="center"/>
    </xf>
    <xf numFmtId="166" fontId="0" fillId="0" borderId="0" xfId="0" applyNumberFormat="1" applyAlignment="1">
      <alignment horizontal="center"/>
    </xf>
    <xf numFmtId="8" fontId="0" fillId="0" borderId="0" xfId="0" applyNumberFormat="1"/>
    <xf numFmtId="0" fontId="0" fillId="0" borderId="0" xfId="0" applyNumberFormat="1" applyAlignment="1">
      <alignment horizontal="center"/>
    </xf>
    <xf numFmtId="0" fontId="22" fillId="0" borderId="0" xfId="0" applyFont="1" applyFill="1" applyBorder="1" applyAlignment="1">
      <alignment horizontal="left" vertical="center"/>
    </xf>
    <xf numFmtId="0" fontId="23" fillId="0" borderId="0" xfId="0" applyFont="1" applyFill="1" applyBorder="1" applyAlignment="1">
      <alignment horizontal="left" vertical="center"/>
    </xf>
    <xf numFmtId="14" fontId="23" fillId="0" borderId="0" xfId="0" applyNumberFormat="1" applyFont="1" applyFill="1" applyBorder="1" applyAlignment="1">
      <alignment horizontal="center" vertical="center"/>
    </xf>
    <xf numFmtId="44" fontId="23" fillId="0" borderId="0" xfId="1" applyFont="1" applyFill="1" applyBorder="1" applyAlignment="1">
      <alignment horizontal="right" vertical="center"/>
    </xf>
    <xf numFmtId="44" fontId="24" fillId="0" borderId="0" xfId="1" applyFont="1" applyFill="1" applyAlignment="1">
      <alignment horizontal="center" vertical="center"/>
    </xf>
    <xf numFmtId="0" fontId="23" fillId="0" borderId="0" xfId="0" applyFont="1" applyFill="1" applyBorder="1" applyAlignment="1">
      <alignment horizontal="center" vertical="center"/>
    </xf>
    <xf numFmtId="165" fontId="23" fillId="0" borderId="0" xfId="1" applyNumberFormat="1" applyFont="1" applyFill="1" applyBorder="1" applyAlignment="1">
      <alignment horizontal="center" vertical="center"/>
    </xf>
    <xf numFmtId="164" fontId="0" fillId="0" borderId="0" xfId="0" applyNumberFormat="1" applyFill="1"/>
    <xf numFmtId="44" fontId="0" fillId="0" borderId="0" xfId="0" applyNumberFormat="1"/>
    <xf numFmtId="164" fontId="7" fillId="6" borderId="6" xfId="1" applyNumberFormat="1" applyFont="1" applyFill="1" applyBorder="1" applyAlignment="1">
      <alignment horizontal="right" vertical="top" wrapText="1"/>
    </xf>
    <xf numFmtId="164" fontId="7" fillId="6" borderId="16" xfId="1" applyNumberFormat="1" applyFont="1" applyFill="1" applyBorder="1" applyAlignment="1">
      <alignment horizontal="right" vertical="top" wrapText="1"/>
    </xf>
    <xf numFmtId="164" fontId="7" fillId="6" borderId="10" xfId="1" applyNumberFormat="1" applyFont="1" applyFill="1" applyBorder="1" applyAlignment="1">
      <alignment horizontal="right" vertical="top" wrapText="1"/>
    </xf>
    <xf numFmtId="164" fontId="7" fillId="6" borderId="8" xfId="1" applyNumberFormat="1" applyFont="1" applyFill="1" applyBorder="1" applyAlignment="1">
      <alignment horizontal="right" vertical="top"/>
    </xf>
    <xf numFmtId="164" fontId="7" fillId="6" borderId="2" xfId="1" applyNumberFormat="1" applyFont="1" applyFill="1" applyBorder="1" applyAlignment="1">
      <alignment horizontal="right" vertical="top" wrapText="1"/>
    </xf>
    <xf numFmtId="164" fontId="7" fillId="6" borderId="8" xfId="1" applyNumberFormat="1" applyFont="1" applyFill="1" applyBorder="1" applyAlignment="1">
      <alignment horizontal="right" vertical="top" wrapText="1"/>
    </xf>
    <xf numFmtId="164" fontId="0" fillId="0" borderId="0" xfId="0" applyNumberFormat="1"/>
    <xf numFmtId="14" fontId="25" fillId="0" borderId="0" xfId="0" applyNumberFormat="1" applyFont="1" applyFill="1" applyBorder="1" applyAlignment="1">
      <alignment horizontal="center" vertical="center"/>
    </xf>
    <xf numFmtId="44" fontId="25" fillId="0" borderId="0" xfId="1" applyFont="1" applyFill="1" applyBorder="1" applyAlignment="1">
      <alignment horizontal="right" vertical="center"/>
    </xf>
    <xf numFmtId="0" fontId="0" fillId="0" borderId="0" xfId="0" applyFill="1" applyAlignment="1"/>
    <xf numFmtId="1" fontId="23" fillId="0" borderId="0" xfId="0" applyNumberFormat="1" applyFont="1" applyFill="1" applyBorder="1" applyAlignment="1">
      <alignment horizontal="center" vertical="center"/>
    </xf>
    <xf numFmtId="167" fontId="7" fillId="0" borderId="30" xfId="1" applyNumberFormat="1" applyFont="1" applyFill="1" applyBorder="1" applyAlignment="1">
      <alignment horizontal="right" vertical="top" wrapText="1"/>
    </xf>
    <xf numFmtId="0" fontId="26" fillId="0" borderId="0" xfId="0" applyFont="1" applyFill="1" applyBorder="1" applyAlignment="1">
      <alignment horizontal="center" vertical="center"/>
    </xf>
    <xf numFmtId="14" fontId="26" fillId="0" borderId="0" xfId="0" applyNumberFormat="1" applyFont="1" applyFill="1" applyBorder="1" applyAlignment="1">
      <alignment horizontal="center" vertical="center"/>
    </xf>
    <xf numFmtId="44" fontId="26" fillId="0" borderId="0" xfId="1" applyFont="1" applyFill="1" applyBorder="1" applyAlignment="1">
      <alignment horizontal="right" vertical="center"/>
    </xf>
    <xf numFmtId="44" fontId="10" fillId="0" borderId="0" xfId="1" applyNumberFormat="1" applyFont="1" applyFill="1" applyBorder="1" applyAlignment="1">
      <alignment horizontal="right" vertical="center"/>
    </xf>
    <xf numFmtId="1" fontId="10" fillId="0" borderId="0" xfId="0" quotePrefix="1" applyNumberFormat="1" applyFont="1" applyFill="1" applyBorder="1" applyAlignment="1">
      <alignment horizontal="center" vertical="center"/>
    </xf>
    <xf numFmtId="44" fontId="7" fillId="0" borderId="2" xfId="1" applyFont="1" applyFill="1" applyBorder="1" applyAlignment="1">
      <alignment horizontal="center" vertical="center" wrapText="1"/>
    </xf>
    <xf numFmtId="44" fontId="7" fillId="0" borderId="8" xfId="1" applyFont="1" applyFill="1" applyBorder="1" applyAlignment="1">
      <alignment horizontal="center" vertical="center" wrapText="1"/>
    </xf>
    <xf numFmtId="0" fontId="4" fillId="3" borderId="6" xfId="0" applyFont="1" applyFill="1" applyBorder="1" applyAlignment="1">
      <alignment horizontal="center" vertical="top" wrapText="1"/>
    </xf>
    <xf numFmtId="0" fontId="5" fillId="3" borderId="6" xfId="0" applyFont="1" applyFill="1" applyBorder="1" applyAlignment="1">
      <alignment horizontal="center" vertical="top" wrapText="1"/>
    </xf>
    <xf numFmtId="0" fontId="5" fillId="3" borderId="2" xfId="0" applyFont="1" applyFill="1" applyBorder="1" applyAlignment="1">
      <alignment horizontal="center" vertical="top" wrapText="1"/>
    </xf>
    <xf numFmtId="0" fontId="5" fillId="3" borderId="7" xfId="0" applyFont="1" applyFill="1" applyBorder="1" applyAlignment="1">
      <alignment horizontal="center" vertical="top" wrapText="1"/>
    </xf>
    <xf numFmtId="0" fontId="5" fillId="3" borderId="8" xfId="0" applyFont="1" applyFill="1" applyBorder="1" applyAlignment="1">
      <alignment horizontal="center" vertical="top" wrapText="1"/>
    </xf>
    <xf numFmtId="0" fontId="4" fillId="0" borderId="6" xfId="0" applyFont="1" applyFill="1" applyBorder="1" applyAlignment="1">
      <alignment horizontal="center" vertical="top" wrapText="1"/>
    </xf>
    <xf numFmtId="0" fontId="5" fillId="0" borderId="6" xfId="0" applyFont="1" applyFill="1" applyBorder="1" applyAlignment="1">
      <alignment horizontal="center" vertical="top" wrapText="1"/>
    </xf>
    <xf numFmtId="0" fontId="5" fillId="0" borderId="2"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8" xfId="0" applyFont="1" applyFill="1" applyBorder="1" applyAlignment="1">
      <alignment horizontal="center" vertical="top" wrapText="1"/>
    </xf>
    <xf numFmtId="49" fontId="5" fillId="3" borderId="6" xfId="0" applyNumberFormat="1" applyFont="1" applyFill="1" applyBorder="1" applyAlignment="1">
      <alignment horizontal="center" vertical="top"/>
    </xf>
    <xf numFmtId="49" fontId="5" fillId="3" borderId="6" xfId="0" applyNumberFormat="1" applyFont="1" applyFill="1" applyBorder="1" applyAlignment="1">
      <alignment horizontal="center" vertical="top" wrapText="1"/>
    </xf>
    <xf numFmtId="49" fontId="5" fillId="3" borderId="2" xfId="0" applyNumberFormat="1" applyFont="1" applyFill="1" applyBorder="1" applyAlignment="1">
      <alignment horizontal="center" vertical="top" wrapText="1"/>
    </xf>
    <xf numFmtId="49" fontId="5" fillId="3" borderId="7" xfId="0" applyNumberFormat="1" applyFont="1" applyFill="1" applyBorder="1" applyAlignment="1">
      <alignment horizontal="center" vertical="top" wrapText="1"/>
    </xf>
    <xf numFmtId="49" fontId="5" fillId="3" borderId="8" xfId="0" applyNumberFormat="1" applyFont="1" applyFill="1" applyBorder="1" applyAlignment="1">
      <alignment horizontal="center" vertical="top" wrapText="1"/>
    </xf>
    <xf numFmtId="49" fontId="5" fillId="0" borderId="6" xfId="0" applyNumberFormat="1" applyFont="1" applyFill="1" applyBorder="1" applyAlignment="1">
      <alignment horizontal="center" vertical="top"/>
    </xf>
    <xf numFmtId="49" fontId="5" fillId="0" borderId="6" xfId="0" applyNumberFormat="1" applyFont="1" applyFill="1" applyBorder="1" applyAlignment="1">
      <alignment horizontal="center" vertical="top" wrapText="1"/>
    </xf>
    <xf numFmtId="49" fontId="5" fillId="0" borderId="2"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8" xfId="0" applyNumberFormat="1" applyFont="1" applyFill="1" applyBorder="1" applyAlignment="1">
      <alignment horizontal="center" vertical="top" wrapText="1"/>
    </xf>
    <xf numFmtId="49" fontId="5" fillId="3" borderId="2" xfId="0" applyNumberFormat="1" applyFont="1" applyFill="1" applyBorder="1" applyAlignment="1">
      <alignment horizontal="center" vertical="top"/>
    </xf>
    <xf numFmtId="49" fontId="5" fillId="3" borderId="7" xfId="0" applyNumberFormat="1" applyFont="1" applyFill="1" applyBorder="1" applyAlignment="1">
      <alignment horizontal="center" vertical="top"/>
    </xf>
    <xf numFmtId="49" fontId="5" fillId="3" borderId="8" xfId="0" applyNumberFormat="1" applyFont="1" applyFill="1" applyBorder="1" applyAlignment="1">
      <alignment horizontal="center" vertical="top"/>
    </xf>
    <xf numFmtId="0" fontId="8" fillId="0" borderId="0" xfId="0" applyFont="1" applyAlignment="1">
      <alignment horizontal="center" vertical="top"/>
    </xf>
    <xf numFmtId="0" fontId="4" fillId="0" borderId="19" xfId="0" applyFont="1" applyFill="1" applyBorder="1" applyAlignment="1">
      <alignment horizontal="center" vertical="top" wrapText="1"/>
    </xf>
    <xf numFmtId="0" fontId="4" fillId="0" borderId="20" xfId="0" applyFont="1" applyFill="1" applyBorder="1" applyAlignment="1">
      <alignment horizontal="center" vertical="top" wrapText="1"/>
    </xf>
    <xf numFmtId="0" fontId="4" fillId="0" borderId="21" xfId="0"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6"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0" fontId="5" fillId="0" borderId="11" xfId="0" applyFont="1" applyFill="1" applyBorder="1" applyAlignment="1">
      <alignment horizontal="center" vertical="top" wrapText="1"/>
    </xf>
    <xf numFmtId="0" fontId="5" fillId="0" borderId="17"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3" xfId="0" applyFont="1" applyFill="1" applyBorder="1" applyAlignment="1">
      <alignment horizontal="center" vertical="top" wrapText="1"/>
    </xf>
    <xf numFmtId="0" fontId="4" fillId="0" borderId="15" xfId="0" applyFont="1" applyFill="1" applyBorder="1" applyAlignment="1">
      <alignment horizontal="center" vertical="top" wrapText="1"/>
    </xf>
    <xf numFmtId="49" fontId="5" fillId="0" borderId="10" xfId="0" applyNumberFormat="1" applyFont="1" applyFill="1" applyBorder="1" applyAlignment="1">
      <alignment horizontal="center" vertical="top"/>
    </xf>
    <xf numFmtId="49" fontId="5" fillId="0" borderId="16" xfId="0" applyNumberFormat="1" applyFont="1" applyFill="1" applyBorder="1" applyAlignment="1">
      <alignment horizontal="center" vertical="top"/>
    </xf>
    <xf numFmtId="49" fontId="5" fillId="0" borderId="11" xfId="0" applyNumberFormat="1" applyFont="1" applyFill="1" applyBorder="1" applyAlignment="1">
      <alignment horizontal="center" vertical="top" wrapText="1"/>
    </xf>
    <xf numFmtId="49" fontId="5" fillId="0" borderId="17" xfId="0" applyNumberFormat="1" applyFont="1" applyFill="1" applyBorder="1" applyAlignment="1">
      <alignment horizontal="center" vertical="top" wrapText="1"/>
    </xf>
    <xf numFmtId="0" fontId="5" fillId="3" borderId="10" xfId="0" applyFont="1" applyFill="1" applyBorder="1" applyAlignment="1">
      <alignment horizontal="center" vertical="top" wrapText="1"/>
    </xf>
    <xf numFmtId="0" fontId="5" fillId="3" borderId="16" xfId="0" applyFont="1" applyFill="1" applyBorder="1" applyAlignment="1">
      <alignment horizontal="center" vertical="top" wrapText="1"/>
    </xf>
    <xf numFmtId="49" fontId="5" fillId="3"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0" fontId="5" fillId="3" borderId="11" xfId="0" applyFont="1" applyFill="1" applyBorder="1" applyAlignment="1">
      <alignment horizontal="center" vertical="top" wrapText="1"/>
    </xf>
    <xf numFmtId="0" fontId="5" fillId="3" borderId="17" xfId="0" applyFont="1" applyFill="1" applyBorder="1" applyAlignment="1">
      <alignment horizontal="center" vertical="top" wrapText="1"/>
    </xf>
    <xf numFmtId="49" fontId="5" fillId="3" borderId="10" xfId="0" applyNumberFormat="1" applyFont="1" applyFill="1" applyBorder="1" applyAlignment="1">
      <alignment horizontal="center" vertical="top" wrapText="1"/>
    </xf>
    <xf numFmtId="49" fontId="5" fillId="3" borderId="16" xfId="0" applyNumberFormat="1" applyFont="1" applyFill="1" applyBorder="1" applyAlignment="1">
      <alignment horizontal="center" vertical="top" wrapText="1"/>
    </xf>
    <xf numFmtId="49" fontId="5" fillId="3" borderId="11"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0" fontId="4" fillId="0" borderId="8" xfId="0" applyFont="1" applyFill="1" applyBorder="1" applyAlignment="1">
      <alignment horizontal="center" vertical="top" wrapText="1"/>
    </xf>
    <xf numFmtId="0" fontId="4" fillId="0" borderId="2" xfId="0" applyFont="1" applyFill="1" applyBorder="1" applyAlignment="1">
      <alignment horizontal="center" vertical="top" wrapText="1"/>
    </xf>
    <xf numFmtId="49" fontId="5" fillId="0" borderId="8" xfId="0" applyNumberFormat="1" applyFont="1" applyFill="1" applyBorder="1" applyAlignment="1">
      <alignment horizontal="center" vertical="top"/>
    </xf>
    <xf numFmtId="49" fontId="5" fillId="0" borderId="2" xfId="0" applyNumberFormat="1" applyFont="1" applyFill="1" applyBorder="1" applyAlignment="1">
      <alignment horizontal="center" vertical="top"/>
    </xf>
    <xf numFmtId="49" fontId="5" fillId="3" borderId="11" xfId="0" applyNumberFormat="1" applyFont="1" applyFill="1" applyBorder="1" applyAlignment="1">
      <alignment horizontal="center" vertical="top" wrapText="1"/>
    </xf>
    <xf numFmtId="49" fontId="5" fillId="3" borderId="17" xfId="0" applyNumberFormat="1" applyFont="1" applyFill="1" applyBorder="1" applyAlignment="1">
      <alignment horizontal="center" vertical="top" wrapText="1"/>
    </xf>
    <xf numFmtId="0" fontId="4" fillId="0" borderId="23" xfId="0" applyFont="1" applyFill="1" applyBorder="1" applyAlignment="1">
      <alignment horizontal="center" vertical="top" wrapText="1"/>
    </xf>
    <xf numFmtId="164" fontId="7" fillId="4" borderId="2" xfId="1" applyNumberFormat="1" applyFont="1" applyFill="1" applyBorder="1" applyAlignment="1">
      <alignment horizontal="right" vertical="center" wrapText="1"/>
    </xf>
    <xf numFmtId="164" fontId="7" fillId="4" borderId="17" xfId="1" applyNumberFormat="1" applyFont="1" applyFill="1" applyBorder="1" applyAlignment="1">
      <alignment horizontal="right" vertical="center" wrapText="1"/>
    </xf>
    <xf numFmtId="0" fontId="4" fillId="0" borderId="25" xfId="0" applyFont="1" applyFill="1" applyBorder="1" applyAlignment="1">
      <alignment horizontal="center" vertical="top" wrapText="1"/>
    </xf>
    <xf numFmtId="0" fontId="4" fillId="0" borderId="26" xfId="0" applyFont="1" applyFill="1" applyBorder="1" applyAlignment="1">
      <alignment horizontal="center" vertical="top" wrapText="1"/>
    </xf>
    <xf numFmtId="0" fontId="4" fillId="0" borderId="27" xfId="0" applyFont="1" applyFill="1" applyBorder="1" applyAlignment="1">
      <alignment horizontal="center" vertical="top" wrapText="1"/>
    </xf>
    <xf numFmtId="0" fontId="5" fillId="0" borderId="28" xfId="0" applyFont="1" applyFill="1" applyBorder="1" applyAlignment="1">
      <alignment horizontal="center" vertical="top" wrapText="1"/>
    </xf>
    <xf numFmtId="0" fontId="5" fillId="0" borderId="22" xfId="0" applyFont="1" applyFill="1" applyBorder="1" applyAlignment="1">
      <alignment horizontal="center" vertical="top" wrapText="1"/>
    </xf>
    <xf numFmtId="0" fontId="5" fillId="0" borderId="29" xfId="0" applyFont="1" applyFill="1" applyBorder="1" applyAlignment="1">
      <alignment horizontal="center" vertical="top" wrapText="1"/>
    </xf>
    <xf numFmtId="0" fontId="8" fillId="0" borderId="0" xfId="0" applyFont="1" applyAlignment="1">
      <alignment horizontal="center"/>
    </xf>
  </cellXfs>
  <cellStyles count="4">
    <cellStyle name="Currency" xfId="1" builtinId="4"/>
    <cellStyle name="Heading 3" xfId="2" builtinId="18"/>
    <cellStyle name="Normal" xfId="0" builtinId="0"/>
    <cellStyle name="Normal 2" xfId="3" xr:uid="{00000000-0005-0000-0000-000003000000}"/>
  </cellStyles>
  <dxfs count="37">
    <dxf>
      <font>
        <b val="0"/>
        <i val="0"/>
        <strike val="0"/>
        <condense val="0"/>
        <extend val="0"/>
        <outline val="0"/>
        <shadow val="0"/>
        <u val="none"/>
        <vertAlign val="baseline"/>
        <sz val="11"/>
        <color auto="1"/>
        <name val="Calibri"/>
        <scheme val="none"/>
      </font>
      <fill>
        <patternFill patternType="none">
          <fgColor rgb="FF000000"/>
          <bgColor rgb="FFFFFFFF"/>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165" formatCode="_(&quot;$&quot;* #,##0_);_(&quot;$&quot;* \(#,##0\);_(&quot;$&quot;* &quot;-&quot;??_);_(@_)"/>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1" formatCode="0"/>
      <fill>
        <patternFill patternType="solid">
          <fgColor indexed="64"/>
          <bgColor rgb="FFFFFF00"/>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solid">
          <fgColor indexed="64"/>
          <bgColor rgb="FFFFFF00"/>
        </patternFill>
      </fill>
      <alignment horizontal="right"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19" formatCode="m/d/yyyy"/>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19" formatCode="m/d/yyyy"/>
      <fill>
        <patternFill patternType="solid">
          <fgColor indexed="64"/>
          <bgColor rgb="FFFFFF00"/>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19" formatCode="m/d/yyyy"/>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11"/>
        <color auto="1"/>
        <name val="Calibri"/>
        <scheme val="none"/>
      </font>
      <fill>
        <patternFill patternType="none">
          <fgColor rgb="FF000000"/>
          <bgColor rgb="FFFFFFFF"/>
        </patternFill>
      </fill>
      <alignment horizontal="center" vertical="center" textRotation="0" wrapText="0" indent="0" justifyLastLine="0" shrinkToFit="0" readingOrder="0"/>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1" formatCode="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quot;$&quot;#,##0.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quot;$&quot;#,##0.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19" formatCode="m/d/yyyy"/>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19" formatCode="m/d/yyyy"/>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11"/>
        <color auto="1"/>
        <name val="Calibri"/>
        <scheme val="none"/>
      </font>
      <fill>
        <patternFill patternType="none">
          <fgColor rgb="FF000000"/>
          <bgColor rgb="FFFFFFFF"/>
        </patternFill>
      </fill>
      <alignment horizontal="center" vertical="center" textRotation="0" wrapText="0" indent="0" justifyLastLine="0" shrinkToFit="0" readingOrder="0"/>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top"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19" formatCode="m/d/yyyy"/>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19" formatCode="m/d/yyyy"/>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dxf>
    <dxf>
      <font>
        <b/>
        <i val="0"/>
        <strike val="0"/>
        <condense val="0"/>
        <extend val="0"/>
        <outline val="0"/>
        <shadow val="0"/>
        <u val="none"/>
        <vertAlign val="baseline"/>
        <sz val="11"/>
        <color auto="1"/>
        <name val="Calibri"/>
        <scheme val="minor"/>
      </font>
      <numFmt numFmtId="1" formatCode="0"/>
      <fill>
        <patternFill patternType="none">
          <fgColor indexed="64"/>
          <bgColor indexed="65"/>
        </patternFill>
      </fill>
      <alignment horizontal="center" vertical="center" textRotation="0" wrapText="0" indent="0" justifyLastLine="0" shrinkToFit="0" readingOrder="0"/>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11"/>
        <color auto="1"/>
        <name val="Calibri"/>
        <scheme val="none"/>
      </font>
      <fill>
        <patternFill patternType="none">
          <fgColor rgb="FF000000"/>
          <bgColor rgb="FFFFFFFF"/>
        </patternFill>
      </fill>
      <alignment horizontal="center" vertical="center" textRotation="0" wrapText="0" indent="0" justifyLastLine="0" shrinkToFit="0" readingOrder="0"/>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top"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11603</xdr:colOff>
      <xdr:row>22</xdr:row>
      <xdr:rowOff>7936</xdr:rowOff>
    </xdr:from>
    <xdr:to>
      <xdr:col>9</xdr:col>
      <xdr:colOff>119064</xdr:colOff>
      <xdr:row>31</xdr:row>
      <xdr:rowOff>150813</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11603" y="4437061"/>
          <a:ext cx="8878399" cy="18573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baseline="30000">
              <a:solidFill>
                <a:schemeClr val="dk1"/>
              </a:solidFill>
              <a:effectLst/>
              <a:latin typeface="+mn-lt"/>
              <a:ea typeface="+mn-ea"/>
              <a:cs typeface="+mn-cs"/>
            </a:rPr>
            <a:t>1</a:t>
          </a:r>
          <a:r>
            <a:rPr lang="en-US" sz="900" baseline="0">
              <a:solidFill>
                <a:schemeClr val="dk1"/>
              </a:solidFill>
              <a:effectLst/>
              <a:latin typeface="+mn-lt"/>
              <a:ea typeface="+mn-ea"/>
              <a:cs typeface="+mn-cs"/>
            </a:rPr>
            <a:t>Positions allocations are indicated for staff positions.  Consultant services do not represent a position and show as N/A in this column.</a:t>
          </a:r>
        </a:p>
        <a:p>
          <a:r>
            <a:rPr lang="en-US" sz="900" baseline="30000">
              <a:solidFill>
                <a:schemeClr val="dk1"/>
              </a:solidFill>
              <a:effectLst/>
              <a:latin typeface="+mn-lt"/>
              <a:ea typeface="+mn-ea"/>
              <a:cs typeface="+mn-cs"/>
            </a:rPr>
            <a:t>2</a:t>
          </a:r>
          <a:r>
            <a:rPr lang="en-US" sz="900" baseline="0">
              <a:solidFill>
                <a:schemeClr val="dk1"/>
              </a:solidFill>
              <a:effectLst/>
              <a:latin typeface="+mn-lt"/>
              <a:ea typeface="+mn-ea"/>
              <a:cs typeface="+mn-cs"/>
            </a:rPr>
            <a:t>M</a:t>
          </a:r>
          <a:r>
            <a:rPr lang="en-US" sz="900">
              <a:solidFill>
                <a:schemeClr val="dk1"/>
              </a:solidFill>
              <a:effectLst/>
              <a:latin typeface="+mn-lt"/>
              <a:ea typeface="+mn-ea"/>
              <a:cs typeface="+mn-cs"/>
            </a:rPr>
            <a:t>inimum Rate reflects</a:t>
          </a:r>
          <a:r>
            <a:rPr lang="en-US" sz="900" baseline="0">
              <a:solidFill>
                <a:schemeClr val="dk1"/>
              </a:solidFill>
              <a:effectLst/>
              <a:latin typeface="+mn-lt"/>
              <a:ea typeface="+mn-ea"/>
              <a:cs typeface="+mn-cs"/>
            </a:rPr>
            <a:t> the lowest monthly rate for salary and benefits based on position and step</a:t>
          </a:r>
        </a:p>
        <a:p>
          <a:r>
            <a:rPr lang="en-US" sz="900" baseline="30000">
              <a:solidFill>
                <a:schemeClr val="dk1"/>
              </a:solidFill>
              <a:effectLst/>
              <a:latin typeface="+mn-lt"/>
              <a:ea typeface="+mn-ea"/>
              <a:cs typeface="+mn-cs"/>
            </a:rPr>
            <a:t>3</a:t>
          </a:r>
          <a:r>
            <a:rPr lang="en-US" sz="900">
              <a:solidFill>
                <a:schemeClr val="dk1"/>
              </a:solidFill>
              <a:effectLst/>
              <a:latin typeface="+mn-lt"/>
              <a:ea typeface="+mn-ea"/>
              <a:cs typeface="+mn-cs"/>
            </a:rPr>
            <a:t>Maximum Rate reflects the highest monthly rate for salary and benefits</a:t>
          </a:r>
          <a:r>
            <a:rPr lang="en-US" sz="900" baseline="0">
              <a:solidFill>
                <a:schemeClr val="dk1"/>
              </a:solidFill>
              <a:effectLst/>
              <a:latin typeface="+mn-lt"/>
              <a:ea typeface="+mn-ea"/>
              <a:cs typeface="+mn-cs"/>
            </a:rPr>
            <a:t> based on position and step</a:t>
          </a:r>
          <a:endParaRPr lang="en-US" sz="900" baseline="30000">
            <a:solidFill>
              <a:schemeClr val="dk1"/>
            </a:solidFill>
            <a:effectLst/>
            <a:latin typeface="+mn-lt"/>
            <a:ea typeface="+mn-ea"/>
            <a:cs typeface="+mn-cs"/>
          </a:endParaRPr>
        </a:p>
        <a:p>
          <a:r>
            <a:rPr lang="en-US" sz="900" baseline="30000">
              <a:solidFill>
                <a:schemeClr val="dk1"/>
              </a:solidFill>
              <a:effectLst/>
              <a:latin typeface="+mn-lt"/>
              <a:ea typeface="+mn-ea"/>
              <a:cs typeface="+mn-cs"/>
            </a:rPr>
            <a:t>4</a:t>
          </a:r>
          <a:r>
            <a:rPr lang="en-US" sz="900">
              <a:solidFill>
                <a:schemeClr val="dk1"/>
              </a:solidFill>
              <a:effectLst/>
              <a:latin typeface="+mn-lt"/>
              <a:ea typeface="+mn-ea"/>
              <a:cs typeface="+mn-cs"/>
            </a:rPr>
            <a:t>Travel will be invoiced to CalACES</a:t>
          </a:r>
          <a:r>
            <a:rPr lang="en-US" sz="900" baseline="0">
              <a:solidFill>
                <a:schemeClr val="dk1"/>
              </a:solidFill>
              <a:effectLst/>
              <a:latin typeface="+mn-lt"/>
              <a:ea typeface="+mn-ea"/>
              <a:cs typeface="+mn-cs"/>
            </a:rPr>
            <a:t> North</a:t>
          </a:r>
          <a:r>
            <a:rPr lang="en-US" sz="900">
              <a:solidFill>
                <a:schemeClr val="dk1"/>
              </a:solidFill>
              <a:effectLst/>
              <a:latin typeface="+mn-lt"/>
              <a:ea typeface="+mn-ea"/>
              <a:cs typeface="+mn-cs"/>
            </a:rPr>
            <a:t> for actual expenditures in accordance with the procedures describe in Exhibit A, “Terms of Payment” section.</a:t>
          </a:r>
        </a:p>
        <a:p>
          <a:r>
            <a:rPr lang="en-US" sz="900" baseline="30000">
              <a:solidFill>
                <a:schemeClr val="dk1"/>
              </a:solidFill>
              <a:effectLst/>
              <a:latin typeface="+mn-lt"/>
              <a:ea typeface="+mn-ea"/>
              <a:cs typeface="+mn-cs"/>
            </a:rPr>
            <a:t>5</a:t>
          </a:r>
          <a:r>
            <a:rPr lang="en-US" sz="900">
              <a:solidFill>
                <a:schemeClr val="dk1"/>
              </a:solidFill>
              <a:effectLst/>
              <a:latin typeface="+mn-lt"/>
              <a:ea typeface="+mn-ea"/>
              <a:cs typeface="+mn-cs"/>
            </a:rPr>
            <a:t>The Monthly Travel Rate for the CalACES North Director is intended to assist with the cost of weekly travel between Southern California and CalACES North.  The Monthly Travel Rate will be invoiced to C-IV at the monthly travel rate as listed in this table. The CalACES North Director may claim reimbursement for travel expenses to and from C-IV related meetings throughout the United States.   Business Travel for the CalACES</a:t>
          </a:r>
          <a:r>
            <a:rPr lang="en-US" sz="900" baseline="0">
              <a:solidFill>
                <a:schemeClr val="dk1"/>
              </a:solidFill>
              <a:effectLst/>
              <a:latin typeface="+mn-lt"/>
              <a:ea typeface="+mn-ea"/>
              <a:cs typeface="+mn-cs"/>
            </a:rPr>
            <a:t> North </a:t>
          </a:r>
          <a:r>
            <a:rPr lang="en-US" sz="900">
              <a:solidFill>
                <a:schemeClr val="dk1"/>
              </a:solidFill>
              <a:effectLst/>
              <a:latin typeface="+mn-lt"/>
              <a:ea typeface="+mn-ea"/>
              <a:cs typeface="+mn-cs"/>
            </a:rPr>
            <a:t>Director will be invoiced for actual expenditures in accordance with the procedures in Exhibit A, “Terms of Payment” section.   </a:t>
          </a:r>
        </a:p>
        <a:p>
          <a:r>
            <a:rPr lang="en-US" sz="900" baseline="30000">
              <a:solidFill>
                <a:schemeClr val="dk1"/>
              </a:solidFill>
              <a:effectLst/>
              <a:latin typeface="+mn-lt"/>
              <a:ea typeface="+mn-ea"/>
              <a:cs typeface="+mn-cs"/>
            </a:rPr>
            <a:t>6</a:t>
          </a:r>
          <a:r>
            <a:rPr lang="en-US" sz="900">
              <a:solidFill>
                <a:schemeClr val="dk1"/>
              </a:solidFill>
              <a:effectLst/>
              <a:latin typeface="+mn-lt"/>
              <a:ea typeface="+mn-ea"/>
              <a:cs typeface="+mn-cs"/>
            </a:rPr>
            <a:t>Travel of the Technical Manager is included in the Monthly rate.  Both parties agree that should a change in CalACES</a:t>
          </a:r>
          <a:r>
            <a:rPr lang="en-US" sz="900" baseline="0">
              <a:solidFill>
                <a:schemeClr val="dk1"/>
              </a:solidFill>
              <a:effectLst/>
              <a:latin typeface="+mn-lt"/>
              <a:ea typeface="+mn-ea"/>
              <a:cs typeface="+mn-cs"/>
            </a:rPr>
            <a:t> North</a:t>
          </a:r>
          <a:r>
            <a:rPr lang="en-US" sz="900">
              <a:solidFill>
                <a:schemeClr val="dk1"/>
              </a:solidFill>
              <a:effectLst/>
              <a:latin typeface="+mn-lt"/>
              <a:ea typeface="+mn-ea"/>
              <a:cs typeface="+mn-cs"/>
            </a:rPr>
            <a:t> strategy or organization result in significant change in Travel Expense for this position either party may request a modification in writing.</a:t>
          </a:r>
        </a:p>
        <a:p>
          <a:endParaRPr lang="en-US" sz="8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146538</xdr:colOff>
      <xdr:row>19</xdr:row>
      <xdr:rowOff>47625</xdr:rowOff>
    </xdr:from>
    <xdr:to>
      <xdr:col>9</xdr:col>
      <xdr:colOff>0</xdr:colOff>
      <xdr:row>26</xdr:row>
      <xdr:rowOff>95250</xdr:rowOff>
    </xdr:to>
    <xdr:sp macro="" textlink="">
      <xdr:nvSpPr>
        <xdr:cNvPr id="2" name="TextBox 1">
          <a:extLst>
            <a:ext uri="{FF2B5EF4-FFF2-40B4-BE49-F238E27FC236}">
              <a16:creationId xmlns:a16="http://schemas.microsoft.com/office/drawing/2014/main" id="{00000000-0008-0000-0300-000002000000}"/>
            </a:ext>
          </a:extLst>
        </xdr:cNvPr>
        <xdr:cNvSpPr txBox="1"/>
      </xdr:nvSpPr>
      <xdr:spPr>
        <a:xfrm>
          <a:off x="146538" y="5330337"/>
          <a:ext cx="9755066" cy="1381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baseline="30000">
              <a:solidFill>
                <a:schemeClr val="dk1"/>
              </a:solidFill>
              <a:effectLst/>
              <a:latin typeface="+mn-lt"/>
              <a:ea typeface="+mn-ea"/>
              <a:cs typeface="+mn-cs"/>
            </a:rPr>
            <a:t>1</a:t>
          </a:r>
          <a:r>
            <a:rPr lang="en-US" sz="900">
              <a:solidFill>
                <a:schemeClr val="dk1"/>
              </a:solidFill>
              <a:effectLst/>
              <a:latin typeface="+mn-lt"/>
              <a:ea typeface="+mn-ea"/>
              <a:cs typeface="+mn-cs"/>
            </a:rPr>
            <a:t>Minimum Rate reflects</a:t>
          </a:r>
          <a:r>
            <a:rPr lang="en-US" sz="900" baseline="0">
              <a:solidFill>
                <a:schemeClr val="dk1"/>
              </a:solidFill>
              <a:effectLst/>
              <a:latin typeface="+mn-lt"/>
              <a:ea typeface="+mn-ea"/>
              <a:cs typeface="+mn-cs"/>
            </a:rPr>
            <a:t> the lowest monthly rate for salary and benefits based on position and step</a:t>
          </a:r>
        </a:p>
        <a:p>
          <a:r>
            <a:rPr lang="en-US" sz="900" baseline="30000">
              <a:solidFill>
                <a:schemeClr val="dk1"/>
              </a:solidFill>
              <a:effectLst/>
              <a:latin typeface="+mn-lt"/>
              <a:ea typeface="+mn-ea"/>
              <a:cs typeface="+mn-cs"/>
            </a:rPr>
            <a:t>2</a:t>
          </a:r>
          <a:r>
            <a:rPr lang="en-US" sz="900">
              <a:solidFill>
                <a:schemeClr val="dk1"/>
              </a:solidFill>
              <a:effectLst/>
              <a:latin typeface="+mn-lt"/>
              <a:ea typeface="+mn-ea"/>
              <a:cs typeface="+mn-cs"/>
            </a:rPr>
            <a:t>Maximum Rate reflects the highest monthly rate for salary and benefits</a:t>
          </a:r>
          <a:r>
            <a:rPr lang="en-US" sz="900" baseline="0">
              <a:solidFill>
                <a:schemeClr val="dk1"/>
              </a:solidFill>
              <a:effectLst/>
              <a:latin typeface="+mn-lt"/>
              <a:ea typeface="+mn-ea"/>
              <a:cs typeface="+mn-cs"/>
            </a:rPr>
            <a:t> based on position and step</a:t>
          </a:r>
          <a:endParaRPr lang="en-US" sz="900" baseline="30000">
            <a:solidFill>
              <a:schemeClr val="dk1"/>
            </a:solidFill>
            <a:effectLst/>
            <a:latin typeface="+mn-lt"/>
            <a:ea typeface="+mn-ea"/>
            <a:cs typeface="+mn-cs"/>
          </a:endParaRPr>
        </a:p>
        <a:p>
          <a:r>
            <a:rPr lang="en-US" sz="900" baseline="30000">
              <a:solidFill>
                <a:schemeClr val="dk1"/>
              </a:solidFill>
              <a:effectLst/>
              <a:latin typeface="+mn-lt"/>
              <a:ea typeface="+mn-ea"/>
              <a:cs typeface="+mn-cs"/>
            </a:rPr>
            <a:t>3</a:t>
          </a:r>
          <a:r>
            <a:rPr lang="en-US" sz="900">
              <a:solidFill>
                <a:schemeClr val="dk1"/>
              </a:solidFill>
              <a:effectLst/>
              <a:latin typeface="+mn-lt"/>
              <a:ea typeface="+mn-ea"/>
              <a:cs typeface="+mn-cs"/>
            </a:rPr>
            <a:t>Travel will be invoiced to C-IV for actual expenditures in accordance with the procedures describe in Exhibit A, “Terms of Payment” section.</a:t>
          </a:r>
        </a:p>
        <a:p>
          <a:r>
            <a:rPr lang="en-US" sz="900" baseline="30000">
              <a:solidFill>
                <a:schemeClr val="dk1"/>
              </a:solidFill>
              <a:effectLst/>
              <a:latin typeface="+mn-lt"/>
              <a:ea typeface="+mn-ea"/>
              <a:cs typeface="+mn-cs"/>
            </a:rPr>
            <a:t>4</a:t>
          </a:r>
          <a:r>
            <a:rPr lang="en-US" sz="900">
              <a:solidFill>
                <a:schemeClr val="dk1"/>
              </a:solidFill>
              <a:effectLst/>
              <a:latin typeface="+mn-lt"/>
              <a:ea typeface="+mn-ea"/>
              <a:cs typeface="+mn-cs"/>
            </a:rPr>
            <a:t>The Monthly Travel Rate for the C-IV Project Director is intended to assist with the cost of weekly travel between Southern California and the C-IV Project.  The Monthly Travel Rate will be invoiced to C-IV at the monthly travel rate as listed in this table. The C-IV Project Director may claim reimbursement for travel expenses to and from C-IV related meetings throughout the United States.   Business Travel for the C-IV Project Director will be invoiced for actual expenditures in accordance with the procedures in Exhibit A, “Terms of Payment” section.   </a:t>
          </a:r>
        </a:p>
        <a:p>
          <a:r>
            <a:rPr lang="en-US" sz="900" baseline="30000">
              <a:solidFill>
                <a:schemeClr val="dk1"/>
              </a:solidFill>
              <a:effectLst/>
              <a:latin typeface="+mn-lt"/>
              <a:ea typeface="+mn-ea"/>
              <a:cs typeface="+mn-cs"/>
            </a:rPr>
            <a:t>5</a:t>
          </a:r>
          <a:r>
            <a:rPr lang="en-US" sz="900">
              <a:solidFill>
                <a:schemeClr val="dk1"/>
              </a:solidFill>
              <a:effectLst/>
              <a:latin typeface="+mn-lt"/>
              <a:ea typeface="+mn-ea"/>
              <a:cs typeface="+mn-cs"/>
            </a:rPr>
            <a:t>Travel of the Technical Manager is included in the Monthly rate.  Both parties agree that should a change in C-IV strategy or organization result in significant change in Travel Expense for this position either party may request a modification in writing.</a:t>
          </a:r>
        </a:p>
        <a:p>
          <a:endParaRPr lang="en-US" sz="800"/>
        </a:p>
      </xdr:txBody>
    </xdr:sp>
    <xdr:clientData/>
  </xdr:twoCellAnchor>
  <xdr:twoCellAnchor>
    <xdr:from>
      <xdr:col>9</xdr:col>
      <xdr:colOff>169334</xdr:colOff>
      <xdr:row>1</xdr:row>
      <xdr:rowOff>41276</xdr:rowOff>
    </xdr:from>
    <xdr:to>
      <xdr:col>19</xdr:col>
      <xdr:colOff>397934</xdr:colOff>
      <xdr:row>4</xdr:row>
      <xdr:rowOff>193676</xdr:rowOff>
    </xdr:to>
    <xdr:sp macro="" textlink="">
      <xdr:nvSpPr>
        <xdr:cNvPr id="3" name="TextBox 2">
          <a:extLst>
            <a:ext uri="{FF2B5EF4-FFF2-40B4-BE49-F238E27FC236}">
              <a16:creationId xmlns:a16="http://schemas.microsoft.com/office/drawing/2014/main" id="{00000000-0008-0000-0300-000003000000}"/>
            </a:ext>
          </a:extLst>
        </xdr:cNvPr>
        <xdr:cNvSpPr txBox="1"/>
      </xdr:nvSpPr>
      <xdr:spPr>
        <a:xfrm>
          <a:off x="10001251" y="231776"/>
          <a:ext cx="6366933" cy="9355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600"/>
            <a:t>****To</a:t>
          </a:r>
          <a:r>
            <a:rPr lang="en-US" sz="1600" baseline="0"/>
            <a:t> be copied into the Microsoft Word Document template located: </a:t>
          </a:r>
        </a:p>
        <a:p>
          <a:pPr algn="ctr"/>
          <a:r>
            <a:rPr lang="en-US" sz="1600" baseline="0"/>
            <a:t>X:\Contract Management\Contracts and Amendments\RGS\Exhibit A Template.docx</a:t>
          </a:r>
          <a:endParaRPr lang="en-US" sz="16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134216</xdr:colOff>
      <xdr:row>23</xdr:row>
      <xdr:rowOff>33770</xdr:rowOff>
    </xdr:from>
    <xdr:to>
      <xdr:col>11</xdr:col>
      <xdr:colOff>379503</xdr:colOff>
      <xdr:row>30</xdr:row>
      <xdr:rowOff>81395</xdr:rowOff>
    </xdr:to>
    <xdr:sp macro="" textlink="">
      <xdr:nvSpPr>
        <xdr:cNvPr id="4" name="TextBox 3">
          <a:extLst>
            <a:ext uri="{FF2B5EF4-FFF2-40B4-BE49-F238E27FC236}">
              <a16:creationId xmlns:a16="http://schemas.microsoft.com/office/drawing/2014/main" id="{00000000-0008-0000-0400-000004000000}"/>
            </a:ext>
          </a:extLst>
        </xdr:cNvPr>
        <xdr:cNvSpPr txBox="1"/>
      </xdr:nvSpPr>
      <xdr:spPr>
        <a:xfrm>
          <a:off x="277091" y="6463145"/>
          <a:ext cx="10246537" cy="1381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baseline="30000">
              <a:solidFill>
                <a:schemeClr val="dk1"/>
              </a:solidFill>
              <a:effectLst/>
              <a:latin typeface="+mn-lt"/>
              <a:ea typeface="+mn-ea"/>
              <a:cs typeface="+mn-cs"/>
            </a:rPr>
            <a:t>1</a:t>
          </a:r>
          <a:r>
            <a:rPr lang="en-US" sz="900">
              <a:solidFill>
                <a:schemeClr val="dk1"/>
              </a:solidFill>
              <a:effectLst/>
              <a:latin typeface="+mn-lt"/>
              <a:ea typeface="+mn-ea"/>
              <a:cs typeface="+mn-cs"/>
            </a:rPr>
            <a:t>The Monthly Travel Rate for the C-IV Project Director is intended to assist with the cost of weekly travel between Southern California and the C-IV Project.  The Monthly Travel Rate will be invoiced to C-IV at the monthly travel rate as listed in this table. The C-IV Project Director may claim reimbursement for travel expenses to and from C-IV related meetings throughout the United States.   Business Travel for the C-IV Project Director will be invoiced for actual expenditures in accordance with the procedures in Exhibit A, “Terms of Payment” section.   </a:t>
          </a:r>
        </a:p>
        <a:p>
          <a:r>
            <a:rPr lang="en-US" sz="900" baseline="30000">
              <a:solidFill>
                <a:schemeClr val="dk1"/>
              </a:solidFill>
              <a:effectLst/>
              <a:latin typeface="+mn-lt"/>
              <a:ea typeface="+mn-ea"/>
              <a:cs typeface="+mn-cs"/>
            </a:rPr>
            <a:t>2</a:t>
          </a:r>
          <a:r>
            <a:rPr lang="en-US" sz="900">
              <a:solidFill>
                <a:schemeClr val="dk1"/>
              </a:solidFill>
              <a:effectLst/>
              <a:latin typeface="+mn-lt"/>
              <a:ea typeface="+mn-ea"/>
              <a:cs typeface="+mn-cs"/>
            </a:rPr>
            <a:t>Travel of the Technical Manager is included in the Monthly rate.  Both parties agree that should a change in C-IV strategy or organization result in significant change in Travel Expense for this position either party may request a modification in writing.</a:t>
          </a:r>
        </a:p>
        <a:p>
          <a:endParaRPr lang="en-US" sz="8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Table135" displayName="Table135" ref="B3:I24" totalsRowShown="0" headerRowDxfId="36" dataDxfId="35">
  <sortState ref="B4:J24">
    <sortCondition ref="B3:B24"/>
  </sortState>
  <tableColumns count="8">
    <tableColumn id="1" xr3:uid="{00000000-0010-0000-0000-000001000000}" name="Title" dataDxfId="34"/>
    <tableColumn id="8" xr3:uid="{00000000-0010-0000-0000-000008000000}" name="Current  Step" dataDxfId="33"/>
    <tableColumn id="2" xr3:uid="{00000000-0010-0000-0000-000002000000}" name="# of Positions 1" dataDxfId="32"/>
    <tableColumn id="3" xr3:uid="{00000000-0010-0000-0000-000003000000}" name="Effective Date(s)" dataDxfId="31"/>
    <tableColumn id="9" xr3:uid="{00000000-0010-0000-0000-000009000000}" name="Rate Frequency" dataDxfId="30"/>
    <tableColumn id="4" xr3:uid="{00000000-0010-0000-0000-000004000000}" name="Min Rate 2" dataDxfId="29" dataCellStyle="Currency"/>
    <tableColumn id="5" xr3:uid="{00000000-0010-0000-0000-000005000000}" name="Max Rate 3" dataDxfId="28" dataCellStyle="Currency"/>
    <tableColumn id="7" xr3:uid="{00000000-0010-0000-0000-000007000000}" name="Travel" dataDxfId="27"/>
  </tableColumns>
  <tableStyleInfo name="TableStyleMedium1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13" displayName="Table13" ref="B4:I19" totalsRowShown="0" headerRowDxfId="26" dataDxfId="25">
  <autoFilter ref="B4:I19" xr:uid="{00000000-0009-0000-0100-000002000000}">
    <filterColumn colId="6">
      <filters>
        <filter val="1"/>
      </filters>
    </filterColumn>
  </autoFilter>
  <sortState ref="B5:I18">
    <sortCondition descending="1" ref="E6:E20"/>
  </sortState>
  <tableColumns count="8">
    <tableColumn id="1" xr3:uid="{00000000-0010-0000-0100-000001000000}" name="C-IV Title" dataDxfId="24"/>
    <tableColumn id="2" xr3:uid="{00000000-0010-0000-0100-000002000000}" name="Staff Name" dataDxfId="23"/>
    <tableColumn id="3" xr3:uid="{00000000-0010-0000-0100-000003000000}" name="Effective Date(s)" dataDxfId="22"/>
    <tableColumn id="9" xr3:uid="{00000000-0010-0000-0100-000009000000}" name="Rate Frequency" dataDxfId="21"/>
    <tableColumn id="4" xr3:uid="{00000000-0010-0000-0100-000004000000}" name="Min. Rate 1" dataDxfId="20"/>
    <tableColumn id="5" xr3:uid="{00000000-0010-0000-0100-000005000000}" name="Max Rate 2" dataDxfId="19"/>
    <tableColumn id="8" xr3:uid="{00000000-0010-0000-0100-000008000000}" name="Current Step" dataDxfId="18"/>
    <tableColumn id="7" xr3:uid="{00000000-0010-0000-0100-000007000000}" name="Travel" dataDxfId="17"/>
  </tableColumns>
  <tableStyleInfo name="TableStyleMedium16"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134" displayName="Table134" ref="B4:P21" totalsRowShown="0" headerRowDxfId="16" dataDxfId="15">
  <autoFilter ref="B4:P21" xr:uid="{00000000-0009-0000-0100-000003000000}"/>
  <sortState ref="B5:P21">
    <sortCondition ref="C4:C21"/>
  </sortState>
  <tableColumns count="15">
    <tableColumn id="1" xr3:uid="{00000000-0010-0000-0200-000001000000}" name="C-IV Title" dataDxfId="14"/>
    <tableColumn id="2" xr3:uid="{00000000-0010-0000-0200-000002000000}" name="Staff Name" dataDxfId="13"/>
    <tableColumn id="11" xr3:uid="{00000000-0010-0000-0200-00000B000000}" name="RGS Start Date" dataDxfId="12"/>
    <tableColumn id="12" xr3:uid="{00000000-0010-0000-0200-00000C000000}" name="C-IV Project Start Date_x000a_(Use for Vacation Accrual)" dataDxfId="11"/>
    <tableColumn id="14" xr3:uid="{00000000-0010-0000-0200-00000E000000}" name="Months on Project" dataDxfId="10"/>
    <tableColumn id="15" xr3:uid="{00000000-0010-0000-0200-00000F000000}" name="Vacation Accrual Rate per hour" dataDxfId="9">
      <calculatedColumnFormula>IF(F5&gt;120,T12,"")</calculatedColumnFormula>
    </tableColumn>
    <tableColumn id="3" xr3:uid="{00000000-0010-0000-0200-000003000000}" name="Salary &amp; Benefit Effective Date" dataDxfId="8"/>
    <tableColumn id="9" xr3:uid="{00000000-0010-0000-0200-000009000000}" name="Rate Frequency" dataDxfId="7"/>
    <tableColumn id="4" xr3:uid="{00000000-0010-0000-0200-000004000000}" name="Salary as of 11/1/18" dataDxfId="6" dataCellStyle="Currency"/>
    <tableColumn id="5" xr3:uid="{00000000-0010-0000-0200-000005000000}" name="Current Benefits_x000a_(Per Jeff on 2/8/18)" dataDxfId="5" dataCellStyle="Currency"/>
    <tableColumn id="10" xr3:uid="{00000000-0010-0000-0200-00000A000000}" name="RGS Fee" dataDxfId="4" dataCellStyle="Currency"/>
    <tableColumn id="6" xr3:uid="{00000000-0010-0000-0200-000006000000}" name="Total Monthly Budget _x000a_(Salary + Benefits + Fees)" dataDxfId="3" dataCellStyle="Currency">
      <calculatedColumnFormula>ROUND(SUM(Table134[[#This Row],[Salary as of 11/1/18]:[RGS Fee]]),0)</calculatedColumnFormula>
    </tableColumn>
    <tableColumn id="8" xr3:uid="{00000000-0010-0000-0200-000008000000}" name="Step as of 11/1/18" dataDxfId="2"/>
    <tableColumn id="7" xr3:uid="{00000000-0010-0000-0200-000007000000}" name="Annual Travel Budget" dataDxfId="1" dataCellStyle="Currency"/>
    <tableColumn id="13" xr3:uid="{00000000-0010-0000-0200-00000D000000}" name="Monthly Travel Budget" dataDxfId="0" dataCellStyle="Currency">
      <calculatedColumnFormula>Table134[[#This Row],[Annual Travel Budget]]/12</calculatedColumnFormula>
    </tableColumn>
  </tableColumns>
  <tableStyleInfo name="TableStyleMedium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45"/>
  <sheetViews>
    <sheetView showGridLines="0" workbookViewId="0">
      <selection activeCell="F2" sqref="F2"/>
    </sheetView>
  </sheetViews>
  <sheetFormatPr defaultRowHeight="15"/>
  <cols>
    <col min="2" max="2" width="13.85546875" customWidth="1"/>
    <col min="3" max="3" width="4.7109375" hidden="1" customWidth="1"/>
    <col min="4" max="4" width="11.28515625" hidden="1" customWidth="1"/>
    <col min="5" max="5" width="4.7109375" customWidth="1"/>
    <col min="6" max="20" width="10.7109375" customWidth="1"/>
  </cols>
  <sheetData>
    <row r="1" spans="1:20" ht="23.25">
      <c r="A1" s="1" t="s">
        <v>108</v>
      </c>
      <c r="B1" s="1" t="s">
        <v>39</v>
      </c>
      <c r="C1" s="2" t="s">
        <v>0</v>
      </c>
      <c r="D1" s="2" t="s">
        <v>1</v>
      </c>
      <c r="E1" s="3" t="s">
        <v>57</v>
      </c>
      <c r="F1" s="4"/>
      <c r="G1" s="5" t="s">
        <v>2</v>
      </c>
      <c r="H1" s="1" t="s">
        <v>3</v>
      </c>
      <c r="I1" s="1" t="s">
        <v>4</v>
      </c>
      <c r="J1" s="1" t="s">
        <v>5</v>
      </c>
      <c r="K1" s="1" t="s">
        <v>6</v>
      </c>
      <c r="L1" s="1" t="s">
        <v>7</v>
      </c>
      <c r="M1" s="1" t="s">
        <v>8</v>
      </c>
      <c r="N1" s="1" t="s">
        <v>9</v>
      </c>
      <c r="O1" s="1" t="s">
        <v>10</v>
      </c>
      <c r="P1" s="1" t="s">
        <v>11</v>
      </c>
      <c r="Q1" s="1" t="s">
        <v>12</v>
      </c>
      <c r="R1" s="1" t="s">
        <v>13</v>
      </c>
      <c r="S1" s="1" t="s">
        <v>14</v>
      </c>
      <c r="T1" s="1" t="s">
        <v>15</v>
      </c>
    </row>
    <row r="2" spans="1:20" s="13" customFormat="1">
      <c r="A2" s="151" t="s">
        <v>40</v>
      </c>
      <c r="B2" s="152" t="s">
        <v>58</v>
      </c>
      <c r="C2" s="152" t="s">
        <v>16</v>
      </c>
      <c r="D2" s="152">
        <v>170</v>
      </c>
      <c r="E2" s="153"/>
      <c r="F2" s="6" t="s">
        <v>17</v>
      </c>
      <c r="G2" s="7"/>
      <c r="H2" s="7"/>
      <c r="I2" s="7"/>
      <c r="J2" s="7"/>
      <c r="K2" s="12"/>
      <c r="L2" s="12"/>
      <c r="M2" s="12"/>
      <c r="N2" s="12"/>
      <c r="O2" s="12"/>
      <c r="P2" s="12"/>
      <c r="Q2" s="12"/>
      <c r="R2" s="12"/>
      <c r="S2" s="12"/>
      <c r="T2" s="12"/>
    </row>
    <row r="3" spans="1:20" s="13" customFormat="1">
      <c r="A3" s="151"/>
      <c r="B3" s="152"/>
      <c r="C3" s="152"/>
      <c r="D3" s="152"/>
      <c r="E3" s="154"/>
      <c r="F3" s="6" t="s">
        <v>18</v>
      </c>
      <c r="G3" s="7"/>
      <c r="H3" s="7"/>
      <c r="I3" s="7"/>
      <c r="J3" s="7"/>
      <c r="K3" s="14"/>
      <c r="L3" s="14"/>
      <c r="M3" s="14"/>
      <c r="N3" s="14"/>
      <c r="O3" s="14"/>
      <c r="P3" s="14"/>
      <c r="Q3" s="14"/>
      <c r="R3" s="14"/>
      <c r="S3" s="14"/>
      <c r="T3" s="14"/>
    </row>
    <row r="4" spans="1:20" s="13" customFormat="1" ht="22.5">
      <c r="A4" s="151"/>
      <c r="B4" s="152"/>
      <c r="C4" s="152"/>
      <c r="D4" s="152"/>
      <c r="E4" s="154"/>
      <c r="F4" s="6" t="s">
        <v>19</v>
      </c>
      <c r="G4" s="144" t="s">
        <v>56</v>
      </c>
      <c r="H4" s="7"/>
      <c r="I4" s="7"/>
      <c r="J4" s="7"/>
      <c r="K4" s="14"/>
      <c r="L4" s="14"/>
      <c r="M4" s="14"/>
      <c r="N4" s="14"/>
      <c r="O4" s="14"/>
      <c r="P4" s="14"/>
      <c r="Q4" s="14"/>
      <c r="R4" s="14"/>
      <c r="S4" s="14"/>
      <c r="T4" s="14"/>
    </row>
    <row r="5" spans="1:20" s="13" customFormat="1" ht="22.5">
      <c r="A5" s="151"/>
      <c r="B5" s="152"/>
      <c r="C5" s="152"/>
      <c r="D5" s="152"/>
      <c r="E5" s="155"/>
      <c r="F5" s="6" t="s">
        <v>20</v>
      </c>
      <c r="G5" s="145"/>
      <c r="H5" s="7"/>
      <c r="I5" s="7"/>
      <c r="J5" s="7"/>
      <c r="K5" s="7"/>
      <c r="L5" s="7"/>
      <c r="M5" s="7"/>
      <c r="N5" s="7"/>
      <c r="O5" s="7"/>
      <c r="P5" s="7"/>
      <c r="Q5" s="7"/>
      <c r="R5" s="7"/>
      <c r="S5" s="7"/>
      <c r="T5" s="7"/>
    </row>
    <row r="6" spans="1:20" s="13" customFormat="1">
      <c r="A6" s="146" t="s">
        <v>41</v>
      </c>
      <c r="B6" s="147" t="s">
        <v>55</v>
      </c>
      <c r="C6" s="147" t="s">
        <v>21</v>
      </c>
      <c r="D6" s="147">
        <v>723</v>
      </c>
      <c r="E6" s="148">
        <v>84</v>
      </c>
      <c r="F6" s="9" t="s">
        <v>17</v>
      </c>
      <c r="G6" s="8">
        <v>49.31</v>
      </c>
      <c r="H6" s="8">
        <v>50.54</v>
      </c>
      <c r="I6" s="8">
        <v>51.8</v>
      </c>
      <c r="J6" s="8">
        <v>53.1</v>
      </c>
      <c r="K6" s="8">
        <v>54.41</v>
      </c>
      <c r="L6" s="8">
        <v>55.82</v>
      </c>
      <c r="M6" s="8">
        <v>57.19</v>
      </c>
      <c r="N6" s="8">
        <v>58.64</v>
      </c>
      <c r="O6" s="8">
        <v>60.11</v>
      </c>
      <c r="P6" s="8">
        <v>61.59</v>
      </c>
      <c r="Q6" s="8">
        <v>63.14</v>
      </c>
      <c r="R6" s="8">
        <v>64.73</v>
      </c>
      <c r="S6" s="8">
        <v>66.34</v>
      </c>
      <c r="T6" s="8">
        <v>68</v>
      </c>
    </row>
    <row r="7" spans="1:20" s="13" customFormat="1">
      <c r="A7" s="146"/>
      <c r="B7" s="147"/>
      <c r="C7" s="147"/>
      <c r="D7" s="147"/>
      <c r="E7" s="149"/>
      <c r="F7" s="9" t="s">
        <v>18</v>
      </c>
      <c r="G7" s="8">
        <f>G6*80</f>
        <v>3944.8</v>
      </c>
      <c r="H7" s="8">
        <f t="shared" ref="H7:P7" si="0">H6*80</f>
        <v>4043.2</v>
      </c>
      <c r="I7" s="8">
        <f t="shared" si="0"/>
        <v>4144</v>
      </c>
      <c r="J7" s="8">
        <f t="shared" si="0"/>
        <v>4248</v>
      </c>
      <c r="K7" s="8">
        <f t="shared" si="0"/>
        <v>4352.7999999999993</v>
      </c>
      <c r="L7" s="8">
        <f t="shared" si="0"/>
        <v>4465.6000000000004</v>
      </c>
      <c r="M7" s="8">
        <f t="shared" si="0"/>
        <v>4575.2</v>
      </c>
      <c r="N7" s="8">
        <f t="shared" si="0"/>
        <v>4691.2</v>
      </c>
      <c r="O7" s="8">
        <f t="shared" si="0"/>
        <v>4808.8</v>
      </c>
      <c r="P7" s="8">
        <f t="shared" si="0"/>
        <v>4927.2000000000007</v>
      </c>
      <c r="Q7" s="8">
        <f>Q6*80</f>
        <v>5051.2</v>
      </c>
      <c r="R7" s="8">
        <f>R6*80</f>
        <v>5178.4000000000005</v>
      </c>
      <c r="S7" s="8">
        <f>S6*80</f>
        <v>5307.2000000000007</v>
      </c>
      <c r="T7" s="8">
        <f>T6*80</f>
        <v>5440</v>
      </c>
    </row>
    <row r="8" spans="1:20" s="13" customFormat="1" ht="22.5">
      <c r="A8" s="146"/>
      <c r="B8" s="147"/>
      <c r="C8" s="147"/>
      <c r="D8" s="147"/>
      <c r="E8" s="149"/>
      <c r="F8" s="9" t="s">
        <v>19</v>
      </c>
      <c r="G8" s="8">
        <f>G7*2.167</f>
        <v>8548.3815999999988</v>
      </c>
      <c r="H8" s="8">
        <f t="shared" ref="H8:P8" si="1">H7*2.167</f>
        <v>8761.6143999999986</v>
      </c>
      <c r="I8" s="8">
        <f t="shared" si="1"/>
        <v>8980.0479999999989</v>
      </c>
      <c r="J8" s="8">
        <f>J7*2.167</f>
        <v>9205.4159999999993</v>
      </c>
      <c r="K8" s="8">
        <f t="shared" si="1"/>
        <v>9432.5175999999974</v>
      </c>
      <c r="L8" s="8">
        <f t="shared" si="1"/>
        <v>9676.9552000000003</v>
      </c>
      <c r="M8" s="8">
        <f t="shared" si="1"/>
        <v>9914.4583999999995</v>
      </c>
      <c r="N8" s="8">
        <f t="shared" si="1"/>
        <v>10165.830399999999</v>
      </c>
      <c r="O8" s="8">
        <f t="shared" si="1"/>
        <v>10420.669599999999</v>
      </c>
      <c r="P8" s="8">
        <f t="shared" si="1"/>
        <v>10677.242400000001</v>
      </c>
      <c r="Q8" s="8">
        <f>Q7*2.167</f>
        <v>10945.950399999998</v>
      </c>
      <c r="R8" s="8">
        <f>R7*2.167</f>
        <v>11221.5928</v>
      </c>
      <c r="S8" s="8">
        <f>S7*2.167</f>
        <v>11500.7024</v>
      </c>
      <c r="T8" s="8">
        <f>T7*2.167</f>
        <v>11788.48</v>
      </c>
    </row>
    <row r="9" spans="1:20" s="13" customFormat="1" ht="16.5" customHeight="1">
      <c r="A9" s="146"/>
      <c r="B9" s="147"/>
      <c r="C9" s="147"/>
      <c r="D9" s="147"/>
      <c r="E9" s="150"/>
      <c r="F9" s="9" t="s">
        <v>20</v>
      </c>
      <c r="G9" s="8">
        <f>G8*12</f>
        <v>102580.57919999998</v>
      </c>
      <c r="H9" s="8">
        <f t="shared" ref="H9:P9" si="2">H8*12</f>
        <v>105139.37279999998</v>
      </c>
      <c r="I9" s="8">
        <f t="shared" si="2"/>
        <v>107760.57599999999</v>
      </c>
      <c r="J9" s="8">
        <f t="shared" si="2"/>
        <v>110464.992</v>
      </c>
      <c r="K9" s="8">
        <f t="shared" si="2"/>
        <v>113190.21119999996</v>
      </c>
      <c r="L9" s="8">
        <f t="shared" si="2"/>
        <v>116123.4624</v>
      </c>
      <c r="M9" s="8">
        <f t="shared" si="2"/>
        <v>118973.50079999999</v>
      </c>
      <c r="N9" s="8">
        <f t="shared" si="2"/>
        <v>121989.96479999999</v>
      </c>
      <c r="O9" s="8">
        <f t="shared" si="2"/>
        <v>125048.03519999998</v>
      </c>
      <c r="P9" s="8">
        <f t="shared" si="2"/>
        <v>128126.9088</v>
      </c>
      <c r="Q9" s="8">
        <f>Q8*12</f>
        <v>131351.40479999996</v>
      </c>
      <c r="R9" s="8">
        <f>R8*12</f>
        <v>134659.11360000001</v>
      </c>
      <c r="S9" s="8">
        <f>S8*12</f>
        <v>138008.42879999999</v>
      </c>
      <c r="T9" s="8">
        <f>T8*12</f>
        <v>141461.76000000001</v>
      </c>
    </row>
    <row r="10" spans="1:20" s="13" customFormat="1">
      <c r="A10" s="151" t="s">
        <v>61</v>
      </c>
      <c r="B10" s="152" t="s">
        <v>22</v>
      </c>
      <c r="C10" s="161" t="s">
        <v>21</v>
      </c>
      <c r="D10" s="162" t="s">
        <v>23</v>
      </c>
      <c r="E10" s="163" t="s">
        <v>49</v>
      </c>
      <c r="F10" s="6" t="s">
        <v>17</v>
      </c>
      <c r="G10" s="7">
        <v>37.6</v>
      </c>
      <c r="H10" s="7">
        <v>38.54</v>
      </c>
      <c r="I10" s="7">
        <v>39.5</v>
      </c>
      <c r="J10" s="7">
        <v>40.46</v>
      </c>
      <c r="K10" s="7">
        <v>41.5</v>
      </c>
      <c r="L10" s="7">
        <v>42.54</v>
      </c>
      <c r="M10" s="7">
        <v>43.59</v>
      </c>
      <c r="N10" s="7">
        <v>44.69</v>
      </c>
      <c r="O10" s="7">
        <v>45.82</v>
      </c>
      <c r="P10" s="7">
        <v>46.98</v>
      </c>
      <c r="Q10" s="7">
        <v>48.13</v>
      </c>
      <c r="R10" s="7">
        <v>49.33</v>
      </c>
      <c r="S10" s="7">
        <v>50.55</v>
      </c>
      <c r="T10" s="7">
        <v>51.81</v>
      </c>
    </row>
    <row r="11" spans="1:20" s="13" customFormat="1">
      <c r="A11" s="151"/>
      <c r="B11" s="152"/>
      <c r="C11" s="161"/>
      <c r="D11" s="162"/>
      <c r="E11" s="164"/>
      <c r="F11" s="6" t="s">
        <v>18</v>
      </c>
      <c r="G11" s="7">
        <f>G10*80</f>
        <v>3008</v>
      </c>
      <c r="H11" s="7">
        <f t="shared" ref="H11:P11" si="3">H10*80</f>
        <v>3083.2</v>
      </c>
      <c r="I11" s="7">
        <f t="shared" si="3"/>
        <v>3160</v>
      </c>
      <c r="J11" s="7">
        <f t="shared" si="3"/>
        <v>3236.8</v>
      </c>
      <c r="K11" s="7">
        <f t="shared" si="3"/>
        <v>3320</v>
      </c>
      <c r="L11" s="7">
        <f t="shared" si="3"/>
        <v>3403.2</v>
      </c>
      <c r="M11" s="7">
        <f t="shared" si="3"/>
        <v>3487.2000000000003</v>
      </c>
      <c r="N11" s="7">
        <f t="shared" si="3"/>
        <v>3575.2</v>
      </c>
      <c r="O11" s="7">
        <f t="shared" si="3"/>
        <v>3665.6</v>
      </c>
      <c r="P11" s="7">
        <f t="shared" si="3"/>
        <v>3758.3999999999996</v>
      </c>
      <c r="Q11" s="7">
        <f>Q10*80</f>
        <v>3850.4</v>
      </c>
      <c r="R11" s="7">
        <f>R10*80</f>
        <v>3946.3999999999996</v>
      </c>
      <c r="S11" s="7">
        <f>S10*80</f>
        <v>4044</v>
      </c>
      <c r="T11" s="7">
        <f>T10*80</f>
        <v>4144.8</v>
      </c>
    </row>
    <row r="12" spans="1:20" s="13" customFormat="1" ht="22.5">
      <c r="A12" s="151"/>
      <c r="B12" s="152"/>
      <c r="C12" s="161"/>
      <c r="D12" s="162"/>
      <c r="E12" s="164"/>
      <c r="F12" s="6" t="s">
        <v>19</v>
      </c>
      <c r="G12" s="7">
        <f>G11*2.167</f>
        <v>6518.3359999999993</v>
      </c>
      <c r="H12" s="7">
        <f t="shared" ref="H12:P12" si="4">H11*2.167</f>
        <v>6681.2943999999989</v>
      </c>
      <c r="I12" s="7">
        <f t="shared" si="4"/>
        <v>6847.7199999999993</v>
      </c>
      <c r="J12" s="7">
        <f t="shared" si="4"/>
        <v>7014.1455999999998</v>
      </c>
      <c r="K12" s="7">
        <f>K11*2.167</f>
        <v>7194.44</v>
      </c>
      <c r="L12" s="7">
        <f t="shared" si="4"/>
        <v>7374.7343999999994</v>
      </c>
      <c r="M12" s="7">
        <f t="shared" si="4"/>
        <v>7556.7623999999996</v>
      </c>
      <c r="N12" s="7">
        <f t="shared" si="4"/>
        <v>7747.4583999999986</v>
      </c>
      <c r="O12" s="7">
        <f t="shared" si="4"/>
        <v>7943.3551999999991</v>
      </c>
      <c r="P12" s="7">
        <f t="shared" si="4"/>
        <v>8144.4527999999982</v>
      </c>
      <c r="Q12" s="7">
        <f>Q11*2.167</f>
        <v>8343.8167999999987</v>
      </c>
      <c r="R12" s="7">
        <f>R11*2.167</f>
        <v>8551.8487999999979</v>
      </c>
      <c r="S12" s="7">
        <f>S11*2.167</f>
        <v>8763.348</v>
      </c>
      <c r="T12" s="7">
        <f>T11*2.167</f>
        <v>8981.7816000000003</v>
      </c>
    </row>
    <row r="13" spans="1:20" s="13" customFormat="1" ht="15" customHeight="1">
      <c r="A13" s="151"/>
      <c r="B13" s="152"/>
      <c r="C13" s="161"/>
      <c r="D13" s="162"/>
      <c r="E13" s="165"/>
      <c r="F13" s="6" t="s">
        <v>20</v>
      </c>
      <c r="G13" s="7">
        <f>G12*12</f>
        <v>78220.031999999992</v>
      </c>
      <c r="H13" s="7">
        <f t="shared" ref="H13:P13" si="5">H12*12</f>
        <v>80175.532799999986</v>
      </c>
      <c r="I13" s="7">
        <f t="shared" si="5"/>
        <v>82172.639999999985</v>
      </c>
      <c r="J13" s="7">
        <f t="shared" si="5"/>
        <v>84169.747199999998</v>
      </c>
      <c r="K13" s="7">
        <f t="shared" si="5"/>
        <v>86333.28</v>
      </c>
      <c r="L13" s="7">
        <f t="shared" si="5"/>
        <v>88496.812799999985</v>
      </c>
      <c r="M13" s="7">
        <f t="shared" si="5"/>
        <v>90681.148799999995</v>
      </c>
      <c r="N13" s="7">
        <f t="shared" si="5"/>
        <v>92969.50079999998</v>
      </c>
      <c r="O13" s="7">
        <f t="shared" si="5"/>
        <v>95320.262399999992</v>
      </c>
      <c r="P13" s="7">
        <f t="shared" si="5"/>
        <v>97733.433599999975</v>
      </c>
      <c r="Q13" s="7">
        <f>Q12*12</f>
        <v>100125.80159999998</v>
      </c>
      <c r="R13" s="7">
        <f>R12*12</f>
        <v>102622.18559999997</v>
      </c>
      <c r="S13" s="7">
        <f>S12*12</f>
        <v>105160.17600000001</v>
      </c>
      <c r="T13" s="7">
        <f>T12*12</f>
        <v>107781.3792</v>
      </c>
    </row>
    <row r="14" spans="1:20" s="13" customFormat="1">
      <c r="A14" s="146" t="s">
        <v>24</v>
      </c>
      <c r="B14" s="147" t="s">
        <v>42</v>
      </c>
      <c r="C14" s="156" t="s">
        <v>21</v>
      </c>
      <c r="D14" s="157" t="s">
        <v>23</v>
      </c>
      <c r="E14" s="158" t="s">
        <v>50</v>
      </c>
      <c r="F14" s="9" t="s">
        <v>17</v>
      </c>
      <c r="G14" s="8">
        <v>32.46</v>
      </c>
      <c r="H14" s="8">
        <v>33.270000000000003</v>
      </c>
      <c r="I14" s="8">
        <v>34.1</v>
      </c>
      <c r="J14" s="8">
        <v>34.97</v>
      </c>
      <c r="K14" s="8">
        <v>35.82</v>
      </c>
      <c r="L14" s="8">
        <v>36.74</v>
      </c>
      <c r="M14" s="8">
        <v>37.61</v>
      </c>
      <c r="N14" s="8">
        <v>38.58</v>
      </c>
      <c r="O14" s="8">
        <v>39.5</v>
      </c>
      <c r="P14" s="8">
        <v>40.46</v>
      </c>
      <c r="Q14" s="8">
        <v>41.5</v>
      </c>
      <c r="R14" s="8">
        <v>42.54</v>
      </c>
      <c r="S14" s="8">
        <v>43.59</v>
      </c>
      <c r="T14" s="8">
        <v>44.68</v>
      </c>
    </row>
    <row r="15" spans="1:20" s="13" customFormat="1">
      <c r="A15" s="146"/>
      <c r="B15" s="147"/>
      <c r="C15" s="156"/>
      <c r="D15" s="157"/>
      <c r="E15" s="159"/>
      <c r="F15" s="9" t="s">
        <v>18</v>
      </c>
      <c r="G15" s="8">
        <f>G14*80</f>
        <v>2596.8000000000002</v>
      </c>
      <c r="H15" s="8">
        <f t="shared" ref="H15:P15" si="6">H14*80</f>
        <v>2661.6000000000004</v>
      </c>
      <c r="I15" s="8">
        <f t="shared" si="6"/>
        <v>2728</v>
      </c>
      <c r="J15" s="8">
        <f t="shared" si="6"/>
        <v>2797.6</v>
      </c>
      <c r="K15" s="8">
        <f t="shared" si="6"/>
        <v>2865.6</v>
      </c>
      <c r="L15" s="8">
        <f t="shared" si="6"/>
        <v>2939.2000000000003</v>
      </c>
      <c r="M15" s="8">
        <f t="shared" si="6"/>
        <v>3008.8</v>
      </c>
      <c r="N15" s="8">
        <f t="shared" si="6"/>
        <v>3086.3999999999996</v>
      </c>
      <c r="O15" s="8">
        <f t="shared" si="6"/>
        <v>3160</v>
      </c>
      <c r="P15" s="8">
        <f t="shared" si="6"/>
        <v>3236.8</v>
      </c>
      <c r="Q15" s="8">
        <f>Q14*80</f>
        <v>3320</v>
      </c>
      <c r="R15" s="8">
        <f>R14*80</f>
        <v>3403.2</v>
      </c>
      <c r="S15" s="8">
        <f>S14*80</f>
        <v>3487.2000000000003</v>
      </c>
      <c r="T15" s="8">
        <f>T14*80</f>
        <v>3574.4</v>
      </c>
    </row>
    <row r="16" spans="1:20" s="13" customFormat="1" ht="22.5">
      <c r="A16" s="146"/>
      <c r="B16" s="147"/>
      <c r="C16" s="156"/>
      <c r="D16" s="157"/>
      <c r="E16" s="159"/>
      <c r="F16" s="9" t="s">
        <v>19</v>
      </c>
      <c r="G16" s="8">
        <f>G15*2.167</f>
        <v>5627.2655999999997</v>
      </c>
      <c r="H16" s="8">
        <f t="shared" ref="H16:P16" si="7">H15*2.167</f>
        <v>5767.6872000000003</v>
      </c>
      <c r="I16" s="8">
        <f t="shared" si="7"/>
        <v>5911.5759999999991</v>
      </c>
      <c r="J16" s="8">
        <f t="shared" si="7"/>
        <v>6062.3991999999989</v>
      </c>
      <c r="K16" s="8">
        <f t="shared" si="7"/>
        <v>6209.7551999999996</v>
      </c>
      <c r="L16" s="8">
        <f t="shared" si="7"/>
        <v>6369.2464</v>
      </c>
      <c r="M16" s="8">
        <f t="shared" si="7"/>
        <v>6520.0695999999998</v>
      </c>
      <c r="N16" s="8">
        <f t="shared" si="7"/>
        <v>6688.228799999999</v>
      </c>
      <c r="O16" s="8">
        <f t="shared" si="7"/>
        <v>6847.7199999999993</v>
      </c>
      <c r="P16" s="8">
        <f t="shared" si="7"/>
        <v>7014.1455999999998</v>
      </c>
      <c r="Q16" s="8">
        <f>Q15*2.167</f>
        <v>7194.44</v>
      </c>
      <c r="R16" s="8">
        <f>R15*2.167</f>
        <v>7374.7343999999994</v>
      </c>
      <c r="S16" s="8">
        <f>S15*2.167</f>
        <v>7556.7623999999996</v>
      </c>
      <c r="T16" s="8">
        <f>T15*2.167</f>
        <v>7745.7248</v>
      </c>
    </row>
    <row r="17" spans="1:20" s="13" customFormat="1" ht="17.25" customHeight="1">
      <c r="A17" s="146"/>
      <c r="B17" s="147"/>
      <c r="C17" s="156"/>
      <c r="D17" s="157"/>
      <c r="E17" s="160"/>
      <c r="F17" s="9" t="s">
        <v>20</v>
      </c>
      <c r="G17" s="8">
        <f>G16*12</f>
        <v>67527.1872</v>
      </c>
      <c r="H17" s="8">
        <f t="shared" ref="H17:P17" si="8">H16*12</f>
        <v>69212.246400000004</v>
      </c>
      <c r="I17" s="8">
        <f t="shared" si="8"/>
        <v>70938.911999999982</v>
      </c>
      <c r="J17" s="8">
        <f t="shared" si="8"/>
        <v>72748.790399999983</v>
      </c>
      <c r="K17" s="8">
        <f t="shared" si="8"/>
        <v>74517.062399999995</v>
      </c>
      <c r="L17" s="8">
        <f t="shared" si="8"/>
        <v>76430.9568</v>
      </c>
      <c r="M17" s="8">
        <f t="shared" si="8"/>
        <v>78240.835200000001</v>
      </c>
      <c r="N17" s="8">
        <f t="shared" si="8"/>
        <v>80258.745599999995</v>
      </c>
      <c r="O17" s="8">
        <f t="shared" si="8"/>
        <v>82172.639999999985</v>
      </c>
      <c r="P17" s="8">
        <f t="shared" si="8"/>
        <v>84169.747199999998</v>
      </c>
      <c r="Q17" s="8">
        <f>Q16*12</f>
        <v>86333.28</v>
      </c>
      <c r="R17" s="8">
        <f>R16*12</f>
        <v>88496.812799999985</v>
      </c>
      <c r="S17" s="8">
        <f>S16*12</f>
        <v>90681.148799999995</v>
      </c>
      <c r="T17" s="8">
        <f>T16*12</f>
        <v>92948.6976</v>
      </c>
    </row>
    <row r="18" spans="1:20" s="13" customFormat="1">
      <c r="A18" s="151" t="s">
        <v>25</v>
      </c>
      <c r="B18" s="152" t="s">
        <v>52</v>
      </c>
      <c r="C18" s="161" t="s">
        <v>26</v>
      </c>
      <c r="D18" s="162" t="s">
        <v>27</v>
      </c>
      <c r="E18" s="163" t="s">
        <v>51</v>
      </c>
      <c r="F18" s="6" t="s">
        <v>17</v>
      </c>
      <c r="G18" s="7">
        <v>44.71</v>
      </c>
      <c r="H18" s="7">
        <v>45.83</v>
      </c>
      <c r="I18" s="7">
        <v>46.98</v>
      </c>
      <c r="J18" s="7">
        <v>48.13</v>
      </c>
      <c r="K18" s="12">
        <v>49.33</v>
      </c>
      <c r="L18" s="12">
        <v>50.55</v>
      </c>
      <c r="M18" s="12">
        <v>51.8</v>
      </c>
      <c r="N18" s="12">
        <v>53.1</v>
      </c>
      <c r="O18" s="12">
        <v>54.1</v>
      </c>
      <c r="P18" s="12">
        <v>55.82</v>
      </c>
      <c r="Q18" s="12">
        <v>57.19</v>
      </c>
      <c r="R18" s="12">
        <v>58.64</v>
      </c>
      <c r="S18" s="12">
        <v>60.11</v>
      </c>
      <c r="T18" s="12">
        <v>61.61</v>
      </c>
    </row>
    <row r="19" spans="1:20" s="13" customFormat="1">
      <c r="A19" s="151"/>
      <c r="B19" s="152"/>
      <c r="C19" s="161"/>
      <c r="D19" s="162"/>
      <c r="E19" s="164"/>
      <c r="F19" s="6" t="s">
        <v>18</v>
      </c>
      <c r="G19" s="7">
        <f t="shared" ref="G19:T19" si="9">G18*80</f>
        <v>3576.8</v>
      </c>
      <c r="H19" s="7">
        <f t="shared" si="9"/>
        <v>3666.3999999999996</v>
      </c>
      <c r="I19" s="7">
        <f t="shared" si="9"/>
        <v>3758.3999999999996</v>
      </c>
      <c r="J19" s="7">
        <f t="shared" si="9"/>
        <v>3850.4</v>
      </c>
      <c r="K19" s="14">
        <f t="shared" si="9"/>
        <v>3946.3999999999996</v>
      </c>
      <c r="L19" s="14">
        <f t="shared" si="9"/>
        <v>4044</v>
      </c>
      <c r="M19" s="14">
        <f t="shared" si="9"/>
        <v>4144</v>
      </c>
      <c r="N19" s="14">
        <f t="shared" si="9"/>
        <v>4248</v>
      </c>
      <c r="O19" s="14">
        <f t="shared" si="9"/>
        <v>4328</v>
      </c>
      <c r="P19" s="14">
        <f t="shared" si="9"/>
        <v>4465.6000000000004</v>
      </c>
      <c r="Q19" s="14">
        <f t="shared" si="9"/>
        <v>4575.2</v>
      </c>
      <c r="R19" s="14">
        <f t="shared" si="9"/>
        <v>4691.2</v>
      </c>
      <c r="S19" s="14">
        <f t="shared" si="9"/>
        <v>4808.8</v>
      </c>
      <c r="T19" s="14">
        <f t="shared" si="9"/>
        <v>4928.8</v>
      </c>
    </row>
    <row r="20" spans="1:20" s="13" customFormat="1" ht="22.5">
      <c r="A20" s="151"/>
      <c r="B20" s="152"/>
      <c r="C20" s="161"/>
      <c r="D20" s="162"/>
      <c r="E20" s="164"/>
      <c r="F20" s="6" t="s">
        <v>19</v>
      </c>
      <c r="G20" s="7">
        <f t="shared" ref="G20:T20" si="10">G19*2.167</f>
        <v>7750.9255999999996</v>
      </c>
      <c r="H20" s="7">
        <f t="shared" si="10"/>
        <v>7945.0887999999986</v>
      </c>
      <c r="I20" s="7">
        <f t="shared" si="10"/>
        <v>8144.4527999999982</v>
      </c>
      <c r="J20" s="7">
        <f t="shared" si="10"/>
        <v>8343.8167999999987</v>
      </c>
      <c r="K20" s="14">
        <f t="shared" si="10"/>
        <v>8551.8487999999979</v>
      </c>
      <c r="L20" s="14">
        <f t="shared" si="10"/>
        <v>8763.348</v>
      </c>
      <c r="M20" s="14">
        <f t="shared" si="10"/>
        <v>8980.0479999999989</v>
      </c>
      <c r="N20" s="14">
        <f t="shared" si="10"/>
        <v>9205.4159999999993</v>
      </c>
      <c r="O20" s="14">
        <f t="shared" si="10"/>
        <v>9378.7759999999998</v>
      </c>
      <c r="P20" s="14">
        <f t="shared" si="10"/>
        <v>9676.9552000000003</v>
      </c>
      <c r="Q20" s="14">
        <f t="shared" si="10"/>
        <v>9914.4583999999995</v>
      </c>
      <c r="R20" s="14">
        <f t="shared" si="10"/>
        <v>10165.830399999999</v>
      </c>
      <c r="S20" s="14">
        <f t="shared" si="10"/>
        <v>10420.669599999999</v>
      </c>
      <c r="T20" s="14">
        <f t="shared" si="10"/>
        <v>10680.7096</v>
      </c>
    </row>
    <row r="21" spans="1:20" s="13" customFormat="1" ht="16.5" customHeight="1">
      <c r="A21" s="151"/>
      <c r="B21" s="152"/>
      <c r="C21" s="161"/>
      <c r="D21" s="162"/>
      <c r="E21" s="165"/>
      <c r="F21" s="6" t="s">
        <v>20</v>
      </c>
      <c r="G21" s="7">
        <f t="shared" ref="G21:T21" si="11">G20*12</f>
        <v>93011.107199999999</v>
      </c>
      <c r="H21" s="7">
        <f t="shared" si="11"/>
        <v>95341.065599999987</v>
      </c>
      <c r="I21" s="7">
        <f t="shared" si="11"/>
        <v>97733.433599999975</v>
      </c>
      <c r="J21" s="7">
        <f t="shared" si="11"/>
        <v>100125.80159999998</v>
      </c>
      <c r="K21" s="7">
        <f t="shared" si="11"/>
        <v>102622.18559999997</v>
      </c>
      <c r="L21" s="7">
        <f t="shared" si="11"/>
        <v>105160.17600000001</v>
      </c>
      <c r="M21" s="7">
        <f t="shared" si="11"/>
        <v>107760.57599999999</v>
      </c>
      <c r="N21" s="7">
        <f t="shared" si="11"/>
        <v>110464.992</v>
      </c>
      <c r="O21" s="7">
        <f t="shared" si="11"/>
        <v>112545.31200000001</v>
      </c>
      <c r="P21" s="7">
        <f t="shared" si="11"/>
        <v>116123.4624</v>
      </c>
      <c r="Q21" s="7">
        <f t="shared" si="11"/>
        <v>118973.50079999999</v>
      </c>
      <c r="R21" s="7">
        <f t="shared" si="11"/>
        <v>121989.96479999999</v>
      </c>
      <c r="S21" s="7">
        <f t="shared" si="11"/>
        <v>125048.03519999998</v>
      </c>
      <c r="T21" s="7">
        <f t="shared" si="11"/>
        <v>128168.51519999999</v>
      </c>
    </row>
    <row r="22" spans="1:20" s="13" customFormat="1">
      <c r="A22" s="146" t="s">
        <v>43</v>
      </c>
      <c r="B22" s="147" t="s">
        <v>42</v>
      </c>
      <c r="C22" s="156" t="s">
        <v>28</v>
      </c>
      <c r="D22" s="157" t="s">
        <v>29</v>
      </c>
      <c r="E22" s="158" t="s">
        <v>50</v>
      </c>
      <c r="F22" s="9" t="s">
        <v>17</v>
      </c>
      <c r="G22" s="8">
        <v>32.46</v>
      </c>
      <c r="H22" s="8">
        <v>33.270000000000003</v>
      </c>
      <c r="I22" s="8">
        <v>34.1</v>
      </c>
      <c r="J22" s="8">
        <v>34.97</v>
      </c>
      <c r="K22" s="8">
        <v>35.82</v>
      </c>
      <c r="L22" s="8">
        <v>36.74</v>
      </c>
      <c r="M22" s="8">
        <v>37.61</v>
      </c>
      <c r="N22" s="8">
        <v>38.58</v>
      </c>
      <c r="O22" s="8">
        <v>39.5</v>
      </c>
      <c r="P22" s="8">
        <v>40.49</v>
      </c>
      <c r="Q22" s="8">
        <v>41.5</v>
      </c>
      <c r="R22" s="8">
        <v>42.54</v>
      </c>
      <c r="S22" s="8">
        <v>43.59</v>
      </c>
      <c r="T22" s="8">
        <v>44.68</v>
      </c>
    </row>
    <row r="23" spans="1:20" s="13" customFormat="1">
      <c r="A23" s="146"/>
      <c r="B23" s="147"/>
      <c r="C23" s="156"/>
      <c r="D23" s="157"/>
      <c r="E23" s="159"/>
      <c r="F23" s="9" t="s">
        <v>18</v>
      </c>
      <c r="G23" s="8">
        <f>G22*80</f>
        <v>2596.8000000000002</v>
      </c>
      <c r="H23" s="8">
        <f t="shared" ref="H23:P23" si="12">H22*80</f>
        <v>2661.6000000000004</v>
      </c>
      <c r="I23" s="8">
        <f t="shared" si="12"/>
        <v>2728</v>
      </c>
      <c r="J23" s="8">
        <f t="shared" si="12"/>
        <v>2797.6</v>
      </c>
      <c r="K23" s="8">
        <f t="shared" si="12"/>
        <v>2865.6</v>
      </c>
      <c r="L23" s="8">
        <f t="shared" si="12"/>
        <v>2939.2000000000003</v>
      </c>
      <c r="M23" s="8">
        <f t="shared" si="12"/>
        <v>3008.8</v>
      </c>
      <c r="N23" s="8">
        <f t="shared" si="12"/>
        <v>3086.3999999999996</v>
      </c>
      <c r="O23" s="8">
        <f t="shared" si="12"/>
        <v>3160</v>
      </c>
      <c r="P23" s="8">
        <f t="shared" si="12"/>
        <v>3239.2000000000003</v>
      </c>
      <c r="Q23" s="8">
        <f>Q22*80</f>
        <v>3320</v>
      </c>
      <c r="R23" s="8">
        <f>R22*80</f>
        <v>3403.2</v>
      </c>
      <c r="S23" s="8">
        <f>S22*80</f>
        <v>3487.2000000000003</v>
      </c>
      <c r="T23" s="8">
        <f>T22*80</f>
        <v>3574.4</v>
      </c>
    </row>
    <row r="24" spans="1:20" s="13" customFormat="1" ht="22.5">
      <c r="A24" s="146"/>
      <c r="B24" s="147"/>
      <c r="C24" s="156"/>
      <c r="D24" s="157"/>
      <c r="E24" s="159"/>
      <c r="F24" s="9" t="s">
        <v>19</v>
      </c>
      <c r="G24" s="8">
        <f>G23*2.167</f>
        <v>5627.2655999999997</v>
      </c>
      <c r="H24" s="8">
        <f t="shared" ref="H24:P24" si="13">H23*2.167</f>
        <v>5767.6872000000003</v>
      </c>
      <c r="I24" s="8">
        <f t="shared" si="13"/>
        <v>5911.5759999999991</v>
      </c>
      <c r="J24" s="8">
        <f t="shared" si="13"/>
        <v>6062.3991999999989</v>
      </c>
      <c r="K24" s="8">
        <f t="shared" si="13"/>
        <v>6209.7551999999996</v>
      </c>
      <c r="L24" s="8">
        <f t="shared" si="13"/>
        <v>6369.2464</v>
      </c>
      <c r="M24" s="8">
        <f t="shared" si="13"/>
        <v>6520.0695999999998</v>
      </c>
      <c r="N24" s="8">
        <f t="shared" si="13"/>
        <v>6688.228799999999</v>
      </c>
      <c r="O24" s="8">
        <f t="shared" si="13"/>
        <v>6847.7199999999993</v>
      </c>
      <c r="P24" s="8">
        <f t="shared" si="13"/>
        <v>7019.3464000000004</v>
      </c>
      <c r="Q24" s="8">
        <f>Q23*2.167</f>
        <v>7194.44</v>
      </c>
      <c r="R24" s="8">
        <f>R23*2.167</f>
        <v>7374.7343999999994</v>
      </c>
      <c r="S24" s="8">
        <f>S23*2.167</f>
        <v>7556.7623999999996</v>
      </c>
      <c r="T24" s="8">
        <f>T23*2.167</f>
        <v>7745.7248</v>
      </c>
    </row>
    <row r="25" spans="1:20" s="13" customFormat="1" ht="18" customHeight="1">
      <c r="A25" s="146"/>
      <c r="B25" s="147"/>
      <c r="C25" s="156"/>
      <c r="D25" s="157"/>
      <c r="E25" s="160"/>
      <c r="F25" s="9" t="s">
        <v>20</v>
      </c>
      <c r="G25" s="8">
        <f>G24*12</f>
        <v>67527.1872</v>
      </c>
      <c r="H25" s="8">
        <f t="shared" ref="H25:P25" si="14">H24*12</f>
        <v>69212.246400000004</v>
      </c>
      <c r="I25" s="8">
        <f t="shared" si="14"/>
        <v>70938.911999999982</v>
      </c>
      <c r="J25" s="8">
        <f t="shared" si="14"/>
        <v>72748.790399999983</v>
      </c>
      <c r="K25" s="8">
        <f t="shared" si="14"/>
        <v>74517.062399999995</v>
      </c>
      <c r="L25" s="8">
        <f t="shared" si="14"/>
        <v>76430.9568</v>
      </c>
      <c r="M25" s="8">
        <f t="shared" si="14"/>
        <v>78240.835200000001</v>
      </c>
      <c r="N25" s="8">
        <f t="shared" si="14"/>
        <v>80258.745599999995</v>
      </c>
      <c r="O25" s="8">
        <f t="shared" si="14"/>
        <v>82172.639999999985</v>
      </c>
      <c r="P25" s="8">
        <f t="shared" si="14"/>
        <v>84232.156799999997</v>
      </c>
      <c r="Q25" s="8">
        <f>Q24*12</f>
        <v>86333.28</v>
      </c>
      <c r="R25" s="8">
        <f>R24*12</f>
        <v>88496.812799999985</v>
      </c>
      <c r="S25" s="8">
        <f>S24*12</f>
        <v>90681.148799999995</v>
      </c>
      <c r="T25" s="8">
        <f>T24*12</f>
        <v>92948.6976</v>
      </c>
    </row>
    <row r="26" spans="1:20" s="13" customFormat="1">
      <c r="A26" s="151" t="s">
        <v>59</v>
      </c>
      <c r="B26" s="152" t="s">
        <v>44</v>
      </c>
      <c r="C26" s="161" t="s">
        <v>28</v>
      </c>
      <c r="D26" s="162" t="s">
        <v>30</v>
      </c>
      <c r="E26" s="163" t="s">
        <v>53</v>
      </c>
      <c r="F26" s="6" t="s">
        <v>17</v>
      </c>
      <c r="G26" s="7">
        <v>29.43</v>
      </c>
      <c r="H26" s="7">
        <v>30.17</v>
      </c>
      <c r="I26" s="7">
        <v>30.92</v>
      </c>
      <c r="J26" s="7">
        <v>31.69</v>
      </c>
      <c r="K26" s="7">
        <v>32.46</v>
      </c>
      <c r="L26" s="7">
        <v>33.270000000000003</v>
      </c>
      <c r="M26" s="7">
        <v>34.1</v>
      </c>
      <c r="N26" s="7">
        <v>34.97</v>
      </c>
      <c r="O26" s="7">
        <v>35.82</v>
      </c>
      <c r="P26" s="7">
        <v>36.74</v>
      </c>
      <c r="Q26" s="7">
        <v>37.61</v>
      </c>
      <c r="R26" s="7">
        <v>38.58</v>
      </c>
      <c r="S26" s="7">
        <v>39.5</v>
      </c>
      <c r="T26" s="7">
        <v>40.49</v>
      </c>
    </row>
    <row r="27" spans="1:20" s="13" customFormat="1">
      <c r="A27" s="151"/>
      <c r="B27" s="152"/>
      <c r="C27" s="161"/>
      <c r="D27" s="162"/>
      <c r="E27" s="164"/>
      <c r="F27" s="6" t="s">
        <v>18</v>
      </c>
      <c r="G27" s="7">
        <f t="shared" ref="G27:J27" si="15">G26*80</f>
        <v>2354.4</v>
      </c>
      <c r="H27" s="7">
        <f>H26*80</f>
        <v>2413.6000000000004</v>
      </c>
      <c r="I27" s="7">
        <f t="shared" si="15"/>
        <v>2473.6000000000004</v>
      </c>
      <c r="J27" s="7">
        <f t="shared" si="15"/>
        <v>2535.2000000000003</v>
      </c>
      <c r="K27" s="7">
        <f>K26*80</f>
        <v>2596.8000000000002</v>
      </c>
      <c r="L27" s="7">
        <f t="shared" ref="L27:T27" si="16">L26*80</f>
        <v>2661.6000000000004</v>
      </c>
      <c r="M27" s="7">
        <f t="shared" si="16"/>
        <v>2728</v>
      </c>
      <c r="N27" s="7">
        <f t="shared" si="16"/>
        <v>2797.6</v>
      </c>
      <c r="O27" s="7">
        <f t="shared" si="16"/>
        <v>2865.6</v>
      </c>
      <c r="P27" s="7">
        <f t="shared" si="16"/>
        <v>2939.2000000000003</v>
      </c>
      <c r="Q27" s="7">
        <f t="shared" si="16"/>
        <v>3008.8</v>
      </c>
      <c r="R27" s="7">
        <f t="shared" si="16"/>
        <v>3086.3999999999996</v>
      </c>
      <c r="S27" s="7">
        <f t="shared" si="16"/>
        <v>3160</v>
      </c>
      <c r="T27" s="7">
        <f t="shared" si="16"/>
        <v>3239.2000000000003</v>
      </c>
    </row>
    <row r="28" spans="1:20" s="13" customFormat="1" ht="22.5">
      <c r="A28" s="151"/>
      <c r="B28" s="152"/>
      <c r="C28" s="161"/>
      <c r="D28" s="162"/>
      <c r="E28" s="164"/>
      <c r="F28" s="6" t="s">
        <v>19</v>
      </c>
      <c r="G28" s="7">
        <f t="shared" ref="G28:J28" si="17">G27*2.167</f>
        <v>5101.9848000000002</v>
      </c>
      <c r="H28" s="7">
        <f t="shared" si="17"/>
        <v>5230.2712000000001</v>
      </c>
      <c r="I28" s="7">
        <f t="shared" si="17"/>
        <v>5360.2912000000006</v>
      </c>
      <c r="J28" s="7">
        <f t="shared" si="17"/>
        <v>5493.7784000000001</v>
      </c>
      <c r="K28" s="7">
        <f>K27*2.167</f>
        <v>5627.2655999999997</v>
      </c>
      <c r="L28" s="7">
        <f t="shared" ref="L28:T28" si="18">L27*2.167</f>
        <v>5767.6872000000003</v>
      </c>
      <c r="M28" s="7">
        <f t="shared" si="18"/>
        <v>5911.5759999999991</v>
      </c>
      <c r="N28" s="7">
        <f t="shared" si="18"/>
        <v>6062.3991999999989</v>
      </c>
      <c r="O28" s="7">
        <f t="shared" si="18"/>
        <v>6209.7551999999996</v>
      </c>
      <c r="P28" s="7">
        <f t="shared" si="18"/>
        <v>6369.2464</v>
      </c>
      <c r="Q28" s="7">
        <f t="shared" si="18"/>
        <v>6520.0695999999998</v>
      </c>
      <c r="R28" s="7">
        <f t="shared" si="18"/>
        <v>6688.228799999999</v>
      </c>
      <c r="S28" s="7">
        <f t="shared" si="18"/>
        <v>6847.7199999999993</v>
      </c>
      <c r="T28" s="7">
        <f t="shared" si="18"/>
        <v>7019.3464000000004</v>
      </c>
    </row>
    <row r="29" spans="1:20" s="13" customFormat="1" ht="16.5" customHeight="1">
      <c r="A29" s="151"/>
      <c r="B29" s="152"/>
      <c r="C29" s="161"/>
      <c r="D29" s="162"/>
      <c r="E29" s="165"/>
      <c r="F29" s="6" t="s">
        <v>20</v>
      </c>
      <c r="G29" s="7">
        <f t="shared" ref="G29:J29" si="19">G28*12</f>
        <v>61223.817600000002</v>
      </c>
      <c r="H29" s="7">
        <f t="shared" si="19"/>
        <v>62763.254400000005</v>
      </c>
      <c r="I29" s="7">
        <f t="shared" si="19"/>
        <v>64323.494400000011</v>
      </c>
      <c r="J29" s="7">
        <f t="shared" si="19"/>
        <v>65925.340800000005</v>
      </c>
      <c r="K29" s="7">
        <f>K28*12</f>
        <v>67527.1872</v>
      </c>
      <c r="L29" s="7">
        <f t="shared" ref="L29:T29" si="20">L28*12</f>
        <v>69212.246400000004</v>
      </c>
      <c r="M29" s="7">
        <f t="shared" si="20"/>
        <v>70938.911999999982</v>
      </c>
      <c r="N29" s="7">
        <f t="shared" si="20"/>
        <v>72748.790399999983</v>
      </c>
      <c r="O29" s="7">
        <f t="shared" si="20"/>
        <v>74517.062399999995</v>
      </c>
      <c r="P29" s="7">
        <f t="shared" si="20"/>
        <v>76430.9568</v>
      </c>
      <c r="Q29" s="7">
        <f t="shared" si="20"/>
        <v>78240.835200000001</v>
      </c>
      <c r="R29" s="7">
        <f t="shared" si="20"/>
        <v>80258.745599999995</v>
      </c>
      <c r="S29" s="7">
        <f t="shared" si="20"/>
        <v>82172.639999999985</v>
      </c>
      <c r="T29" s="7">
        <f t="shared" si="20"/>
        <v>84232.156799999997</v>
      </c>
    </row>
    <row r="30" spans="1:20" s="13" customFormat="1">
      <c r="A30" s="146" t="s">
        <v>60</v>
      </c>
      <c r="B30" s="147" t="s">
        <v>45</v>
      </c>
      <c r="C30" s="156" t="s">
        <v>28</v>
      </c>
      <c r="D30" s="157" t="s">
        <v>31</v>
      </c>
      <c r="E30" s="166" t="s">
        <v>54</v>
      </c>
      <c r="F30" s="9" t="s">
        <v>17</v>
      </c>
      <c r="G30" s="8">
        <v>25.41</v>
      </c>
      <c r="H30" s="8">
        <v>26.05</v>
      </c>
      <c r="I30" s="8">
        <v>26.7</v>
      </c>
      <c r="J30" s="8">
        <v>27.39</v>
      </c>
      <c r="K30" s="10">
        <v>28.04</v>
      </c>
      <c r="L30" s="10">
        <v>28.73</v>
      </c>
      <c r="M30" s="10">
        <v>29.43</v>
      </c>
      <c r="N30" s="10">
        <v>30.17</v>
      </c>
      <c r="O30" s="10">
        <v>30.92</v>
      </c>
      <c r="P30" s="10">
        <v>31.69</v>
      </c>
      <c r="Q30" s="10">
        <v>32.479999999999997</v>
      </c>
      <c r="R30" s="10">
        <v>33.28</v>
      </c>
      <c r="S30" s="10">
        <v>34.1</v>
      </c>
      <c r="T30" s="10">
        <v>34.950000000000003</v>
      </c>
    </row>
    <row r="31" spans="1:20" s="13" customFormat="1">
      <c r="A31" s="146"/>
      <c r="B31" s="147"/>
      <c r="C31" s="156"/>
      <c r="D31" s="157"/>
      <c r="E31" s="167"/>
      <c r="F31" s="9" t="s">
        <v>18</v>
      </c>
      <c r="G31" s="8">
        <f t="shared" ref="G31:T31" si="21">G30*80</f>
        <v>2032.8</v>
      </c>
      <c r="H31" s="8">
        <f t="shared" si="21"/>
        <v>2084</v>
      </c>
      <c r="I31" s="8">
        <f t="shared" si="21"/>
        <v>2136</v>
      </c>
      <c r="J31" s="8">
        <f t="shared" si="21"/>
        <v>2191.1999999999998</v>
      </c>
      <c r="K31" s="11">
        <f t="shared" si="21"/>
        <v>2243.1999999999998</v>
      </c>
      <c r="L31" s="11">
        <f t="shared" si="21"/>
        <v>2298.4</v>
      </c>
      <c r="M31" s="11">
        <f t="shared" si="21"/>
        <v>2354.4</v>
      </c>
      <c r="N31" s="11">
        <f t="shared" si="21"/>
        <v>2413.6000000000004</v>
      </c>
      <c r="O31" s="11">
        <f t="shared" si="21"/>
        <v>2473.6000000000004</v>
      </c>
      <c r="P31" s="11">
        <f t="shared" si="21"/>
        <v>2535.2000000000003</v>
      </c>
      <c r="Q31" s="11">
        <f t="shared" si="21"/>
        <v>2598.3999999999996</v>
      </c>
      <c r="R31" s="11">
        <f t="shared" si="21"/>
        <v>2662.4</v>
      </c>
      <c r="S31" s="11">
        <f t="shared" si="21"/>
        <v>2728</v>
      </c>
      <c r="T31" s="11">
        <f t="shared" si="21"/>
        <v>2796</v>
      </c>
    </row>
    <row r="32" spans="1:20" s="13" customFormat="1" ht="22.5">
      <c r="A32" s="146"/>
      <c r="B32" s="147"/>
      <c r="C32" s="156"/>
      <c r="D32" s="157"/>
      <c r="E32" s="167"/>
      <c r="F32" s="9" t="s">
        <v>19</v>
      </c>
      <c r="G32" s="8">
        <f t="shared" ref="G32:T32" si="22">G31*2.167</f>
        <v>4405.0775999999996</v>
      </c>
      <c r="H32" s="8">
        <f t="shared" si="22"/>
        <v>4516.0279999999993</v>
      </c>
      <c r="I32" s="8">
        <f t="shared" si="22"/>
        <v>4628.7119999999995</v>
      </c>
      <c r="J32" s="8">
        <f t="shared" si="22"/>
        <v>4748.3303999999989</v>
      </c>
      <c r="K32" s="11">
        <f t="shared" si="22"/>
        <v>4861.0143999999991</v>
      </c>
      <c r="L32" s="11">
        <f t="shared" si="22"/>
        <v>4980.6327999999994</v>
      </c>
      <c r="M32" s="11">
        <f t="shared" si="22"/>
        <v>5101.9848000000002</v>
      </c>
      <c r="N32" s="11">
        <f t="shared" si="22"/>
        <v>5230.2712000000001</v>
      </c>
      <c r="O32" s="11">
        <f t="shared" si="22"/>
        <v>5360.2912000000006</v>
      </c>
      <c r="P32" s="11">
        <f t="shared" si="22"/>
        <v>5493.7784000000001</v>
      </c>
      <c r="Q32" s="11">
        <f t="shared" si="22"/>
        <v>5630.7327999999989</v>
      </c>
      <c r="R32" s="11">
        <f t="shared" si="22"/>
        <v>5769.4207999999999</v>
      </c>
      <c r="S32" s="11">
        <f t="shared" si="22"/>
        <v>5911.5759999999991</v>
      </c>
      <c r="T32" s="11">
        <f t="shared" si="22"/>
        <v>6058.9319999999998</v>
      </c>
    </row>
    <row r="33" spans="1:20" s="13" customFormat="1" ht="17.25" customHeight="1">
      <c r="A33" s="146"/>
      <c r="B33" s="147"/>
      <c r="C33" s="156"/>
      <c r="D33" s="157"/>
      <c r="E33" s="168"/>
      <c r="F33" s="9" t="s">
        <v>20</v>
      </c>
      <c r="G33" s="8">
        <f t="shared" ref="G33:T33" si="23">G32*12</f>
        <v>52860.931199999992</v>
      </c>
      <c r="H33" s="8">
        <f t="shared" si="23"/>
        <v>54192.335999999996</v>
      </c>
      <c r="I33" s="8">
        <f t="shared" si="23"/>
        <v>55544.543999999994</v>
      </c>
      <c r="J33" s="8">
        <f t="shared" si="23"/>
        <v>56979.964799999987</v>
      </c>
      <c r="K33" s="8">
        <f t="shared" si="23"/>
        <v>58332.172799999986</v>
      </c>
      <c r="L33" s="8">
        <f t="shared" si="23"/>
        <v>59767.593599999993</v>
      </c>
      <c r="M33" s="8">
        <f t="shared" si="23"/>
        <v>61223.817600000002</v>
      </c>
      <c r="N33" s="8">
        <f t="shared" si="23"/>
        <v>62763.254400000005</v>
      </c>
      <c r="O33" s="8">
        <f t="shared" si="23"/>
        <v>64323.494400000011</v>
      </c>
      <c r="P33" s="8">
        <f t="shared" si="23"/>
        <v>65925.340800000005</v>
      </c>
      <c r="Q33" s="8">
        <f t="shared" si="23"/>
        <v>67568.79359999999</v>
      </c>
      <c r="R33" s="8">
        <f t="shared" si="23"/>
        <v>69233.049599999998</v>
      </c>
      <c r="S33" s="8">
        <f t="shared" si="23"/>
        <v>70938.911999999982</v>
      </c>
      <c r="T33" s="8">
        <f t="shared" si="23"/>
        <v>72707.183999999994</v>
      </c>
    </row>
    <row r="34" spans="1:20" s="13" customFormat="1">
      <c r="A34" s="151" t="s">
        <v>32</v>
      </c>
      <c r="B34" s="152" t="s">
        <v>46</v>
      </c>
      <c r="C34" s="161" t="s">
        <v>26</v>
      </c>
      <c r="D34" s="162" t="s">
        <v>33</v>
      </c>
      <c r="E34" s="163" t="s">
        <v>53</v>
      </c>
      <c r="F34" s="6" t="s">
        <v>17</v>
      </c>
      <c r="G34" s="7">
        <v>29.43</v>
      </c>
      <c r="H34" s="7">
        <v>30.17</v>
      </c>
      <c r="I34" s="7">
        <v>30.92</v>
      </c>
      <c r="J34" s="7">
        <v>31.69</v>
      </c>
      <c r="K34" s="7">
        <v>32.46</v>
      </c>
      <c r="L34" s="7">
        <v>33.270000000000003</v>
      </c>
      <c r="M34" s="7">
        <v>34.1</v>
      </c>
      <c r="N34" s="7">
        <v>34.97</v>
      </c>
      <c r="O34" s="7">
        <v>35.82</v>
      </c>
      <c r="P34" s="7">
        <v>36.74</v>
      </c>
      <c r="Q34" s="7">
        <v>37.61</v>
      </c>
      <c r="R34" s="7">
        <v>38.58</v>
      </c>
      <c r="S34" s="7">
        <v>39.5</v>
      </c>
      <c r="T34" s="7">
        <v>40.49</v>
      </c>
    </row>
    <row r="35" spans="1:20" s="13" customFormat="1">
      <c r="A35" s="151"/>
      <c r="B35" s="152"/>
      <c r="C35" s="161"/>
      <c r="D35" s="162"/>
      <c r="E35" s="164"/>
      <c r="F35" s="6" t="s">
        <v>18</v>
      </c>
      <c r="G35" s="7">
        <f t="shared" ref="G35" si="24">G34*80</f>
        <v>2354.4</v>
      </c>
      <c r="H35" s="7">
        <f>H34*80</f>
        <v>2413.6000000000004</v>
      </c>
      <c r="I35" s="7">
        <f t="shared" ref="I35:J35" si="25">I34*80</f>
        <v>2473.6000000000004</v>
      </c>
      <c r="J35" s="7">
        <f t="shared" si="25"/>
        <v>2535.2000000000003</v>
      </c>
      <c r="K35" s="7">
        <f>K34*80</f>
        <v>2596.8000000000002</v>
      </c>
      <c r="L35" s="7">
        <f t="shared" ref="L35:T35" si="26">L34*80</f>
        <v>2661.6000000000004</v>
      </c>
      <c r="M35" s="7">
        <f t="shared" si="26"/>
        <v>2728</v>
      </c>
      <c r="N35" s="7">
        <f t="shared" si="26"/>
        <v>2797.6</v>
      </c>
      <c r="O35" s="7">
        <f t="shared" si="26"/>
        <v>2865.6</v>
      </c>
      <c r="P35" s="7">
        <f t="shared" si="26"/>
        <v>2939.2000000000003</v>
      </c>
      <c r="Q35" s="7">
        <f t="shared" si="26"/>
        <v>3008.8</v>
      </c>
      <c r="R35" s="7">
        <f t="shared" si="26"/>
        <v>3086.3999999999996</v>
      </c>
      <c r="S35" s="7">
        <f t="shared" si="26"/>
        <v>3160</v>
      </c>
      <c r="T35" s="7">
        <f t="shared" si="26"/>
        <v>3239.2000000000003</v>
      </c>
    </row>
    <row r="36" spans="1:20" s="13" customFormat="1" ht="22.5">
      <c r="A36" s="151"/>
      <c r="B36" s="152"/>
      <c r="C36" s="161"/>
      <c r="D36" s="162"/>
      <c r="E36" s="164"/>
      <c r="F36" s="6" t="s">
        <v>19</v>
      </c>
      <c r="G36" s="7">
        <f t="shared" ref="G36:J36" si="27">G35*2.167</f>
        <v>5101.9848000000002</v>
      </c>
      <c r="H36" s="7">
        <f t="shared" si="27"/>
        <v>5230.2712000000001</v>
      </c>
      <c r="I36" s="7">
        <f t="shared" si="27"/>
        <v>5360.2912000000006</v>
      </c>
      <c r="J36" s="7">
        <f t="shared" si="27"/>
        <v>5493.7784000000001</v>
      </c>
      <c r="K36" s="7">
        <f>K35*2.167</f>
        <v>5627.2655999999997</v>
      </c>
      <c r="L36" s="7">
        <f t="shared" ref="L36:T36" si="28">L35*2.167</f>
        <v>5767.6872000000003</v>
      </c>
      <c r="M36" s="7">
        <f t="shared" si="28"/>
        <v>5911.5759999999991</v>
      </c>
      <c r="N36" s="7">
        <f t="shared" si="28"/>
        <v>6062.3991999999989</v>
      </c>
      <c r="O36" s="7">
        <f t="shared" si="28"/>
        <v>6209.7551999999996</v>
      </c>
      <c r="P36" s="7">
        <f t="shared" si="28"/>
        <v>6369.2464</v>
      </c>
      <c r="Q36" s="7">
        <f t="shared" si="28"/>
        <v>6520.0695999999998</v>
      </c>
      <c r="R36" s="7">
        <f t="shared" si="28"/>
        <v>6688.228799999999</v>
      </c>
      <c r="S36" s="7">
        <f t="shared" si="28"/>
        <v>6847.7199999999993</v>
      </c>
      <c r="T36" s="7">
        <f t="shared" si="28"/>
        <v>7019.3464000000004</v>
      </c>
    </row>
    <row r="37" spans="1:20" s="13" customFormat="1" ht="17.25" customHeight="1">
      <c r="A37" s="151"/>
      <c r="B37" s="152"/>
      <c r="C37" s="161"/>
      <c r="D37" s="162"/>
      <c r="E37" s="165"/>
      <c r="F37" s="6" t="s">
        <v>20</v>
      </c>
      <c r="G37" s="7">
        <f t="shared" ref="G37:J37" si="29">G36*12</f>
        <v>61223.817600000002</v>
      </c>
      <c r="H37" s="7">
        <f t="shared" si="29"/>
        <v>62763.254400000005</v>
      </c>
      <c r="I37" s="7">
        <f t="shared" si="29"/>
        <v>64323.494400000011</v>
      </c>
      <c r="J37" s="7">
        <f t="shared" si="29"/>
        <v>65925.340800000005</v>
      </c>
      <c r="K37" s="7">
        <f>K36*12</f>
        <v>67527.1872</v>
      </c>
      <c r="L37" s="7">
        <f t="shared" ref="L37:T37" si="30">L36*12</f>
        <v>69212.246400000004</v>
      </c>
      <c r="M37" s="7">
        <f t="shared" si="30"/>
        <v>70938.911999999982</v>
      </c>
      <c r="N37" s="7">
        <f t="shared" si="30"/>
        <v>72748.790399999983</v>
      </c>
      <c r="O37" s="7">
        <f t="shared" si="30"/>
        <v>74517.062399999995</v>
      </c>
      <c r="P37" s="7">
        <f t="shared" si="30"/>
        <v>76430.9568</v>
      </c>
      <c r="Q37" s="7">
        <f t="shared" si="30"/>
        <v>78240.835200000001</v>
      </c>
      <c r="R37" s="7">
        <f t="shared" si="30"/>
        <v>80258.745599999995</v>
      </c>
      <c r="S37" s="7">
        <f t="shared" si="30"/>
        <v>82172.639999999985</v>
      </c>
      <c r="T37" s="7">
        <f t="shared" si="30"/>
        <v>84232.156799999997</v>
      </c>
    </row>
    <row r="38" spans="1:20" s="13" customFormat="1">
      <c r="A38" s="146" t="s">
        <v>34</v>
      </c>
      <c r="B38" s="147" t="s">
        <v>47</v>
      </c>
      <c r="C38" s="156" t="s">
        <v>35</v>
      </c>
      <c r="D38" s="147">
        <v>149</v>
      </c>
      <c r="E38" s="148">
        <v>45</v>
      </c>
      <c r="F38" s="9" t="s">
        <v>17</v>
      </c>
      <c r="G38" s="8">
        <v>18.736699999999999</v>
      </c>
      <c r="H38" s="8">
        <v>19.2318</v>
      </c>
      <c r="I38" s="8">
        <v>19.740400000000001</v>
      </c>
      <c r="J38" s="8">
        <v>20.262899999999998</v>
      </c>
      <c r="K38" s="10">
        <v>20.7986</v>
      </c>
      <c r="L38" s="10">
        <v>21.3508</v>
      </c>
      <c r="M38" s="10">
        <v>21.916899999999998</v>
      </c>
      <c r="N38" s="10">
        <v>22.4984</v>
      </c>
      <c r="O38" s="10">
        <v>23.0959</v>
      </c>
      <c r="P38" s="10">
        <v>23.708300000000001</v>
      </c>
      <c r="Q38" s="10">
        <v>24.351800000000001</v>
      </c>
      <c r="R38" s="10">
        <v>25.011700000000001</v>
      </c>
      <c r="S38" s="10">
        <v>25.689499999999999</v>
      </c>
      <c r="T38" s="10">
        <v>26.3857</v>
      </c>
    </row>
    <row r="39" spans="1:20" s="13" customFormat="1">
      <c r="A39" s="146"/>
      <c r="B39" s="147"/>
      <c r="C39" s="156"/>
      <c r="D39" s="147"/>
      <c r="E39" s="149"/>
      <c r="F39" s="9" t="s">
        <v>18</v>
      </c>
      <c r="G39" s="8">
        <f t="shared" ref="G39:T39" si="31">G38*80</f>
        <v>1498.9359999999999</v>
      </c>
      <c r="H39" s="8">
        <f t="shared" si="31"/>
        <v>1538.5439999999999</v>
      </c>
      <c r="I39" s="8">
        <f t="shared" si="31"/>
        <v>1579.232</v>
      </c>
      <c r="J39" s="8">
        <f t="shared" si="31"/>
        <v>1621.0319999999999</v>
      </c>
      <c r="K39" s="11">
        <f t="shared" si="31"/>
        <v>1663.8879999999999</v>
      </c>
      <c r="L39" s="11">
        <f t="shared" si="31"/>
        <v>1708.0639999999999</v>
      </c>
      <c r="M39" s="11">
        <f t="shared" si="31"/>
        <v>1753.3519999999999</v>
      </c>
      <c r="N39" s="11">
        <f t="shared" si="31"/>
        <v>1799.8720000000001</v>
      </c>
      <c r="O39" s="11">
        <f t="shared" si="31"/>
        <v>1847.672</v>
      </c>
      <c r="P39" s="11">
        <f t="shared" si="31"/>
        <v>1896.6640000000002</v>
      </c>
      <c r="Q39" s="11">
        <f t="shared" si="31"/>
        <v>1948.144</v>
      </c>
      <c r="R39" s="11">
        <f t="shared" si="31"/>
        <v>2000.9360000000001</v>
      </c>
      <c r="S39" s="11">
        <f t="shared" si="31"/>
        <v>2055.16</v>
      </c>
      <c r="T39" s="11">
        <f t="shared" si="31"/>
        <v>2110.8559999999998</v>
      </c>
    </row>
    <row r="40" spans="1:20" s="13" customFormat="1" ht="22.5">
      <c r="A40" s="146"/>
      <c r="B40" s="147"/>
      <c r="C40" s="156"/>
      <c r="D40" s="147"/>
      <c r="E40" s="149"/>
      <c r="F40" s="9" t="s">
        <v>19</v>
      </c>
      <c r="G40" s="8">
        <f t="shared" ref="G40:T40" si="32">G39*2.167</f>
        <v>3248.1943119999996</v>
      </c>
      <c r="H40" s="8">
        <f t="shared" si="32"/>
        <v>3334.0248479999996</v>
      </c>
      <c r="I40" s="8">
        <f t="shared" si="32"/>
        <v>3422.1957439999996</v>
      </c>
      <c r="J40" s="8">
        <f t="shared" si="32"/>
        <v>3512.7763439999994</v>
      </c>
      <c r="K40" s="11">
        <f t="shared" si="32"/>
        <v>3605.6452959999997</v>
      </c>
      <c r="L40" s="11">
        <f t="shared" si="32"/>
        <v>3701.3746879999994</v>
      </c>
      <c r="M40" s="11">
        <f t="shared" si="32"/>
        <v>3799.5137839999993</v>
      </c>
      <c r="N40" s="11">
        <f t="shared" si="32"/>
        <v>3900.3226239999999</v>
      </c>
      <c r="O40" s="11">
        <f t="shared" si="32"/>
        <v>4003.9052239999996</v>
      </c>
      <c r="P40" s="11">
        <f t="shared" si="32"/>
        <v>4110.0708880000002</v>
      </c>
      <c r="Q40" s="11">
        <f t="shared" si="32"/>
        <v>4221.6280479999996</v>
      </c>
      <c r="R40" s="11">
        <f t="shared" si="32"/>
        <v>4336.0283120000004</v>
      </c>
      <c r="S40" s="11">
        <f t="shared" si="32"/>
        <v>4453.531719999999</v>
      </c>
      <c r="T40" s="11">
        <f t="shared" si="32"/>
        <v>4574.2249519999987</v>
      </c>
    </row>
    <row r="41" spans="1:20" s="13" customFormat="1" ht="16.5" customHeight="1">
      <c r="A41" s="146"/>
      <c r="B41" s="147"/>
      <c r="C41" s="156"/>
      <c r="D41" s="147"/>
      <c r="E41" s="150"/>
      <c r="F41" s="9" t="s">
        <v>20</v>
      </c>
      <c r="G41" s="8">
        <f t="shared" ref="G41:T41" si="33">G40*12</f>
        <v>38978.331743999996</v>
      </c>
      <c r="H41" s="8">
        <f t="shared" si="33"/>
        <v>40008.298175999997</v>
      </c>
      <c r="I41" s="8">
        <f t="shared" si="33"/>
        <v>41066.348927999992</v>
      </c>
      <c r="J41" s="8">
        <f t="shared" si="33"/>
        <v>42153.316127999991</v>
      </c>
      <c r="K41" s="8">
        <f t="shared" si="33"/>
        <v>43267.743552</v>
      </c>
      <c r="L41" s="8">
        <f t="shared" si="33"/>
        <v>44416.496255999991</v>
      </c>
      <c r="M41" s="8">
        <f t="shared" si="33"/>
        <v>45594.165407999993</v>
      </c>
      <c r="N41" s="8">
        <f t="shared" si="33"/>
        <v>46803.871487999997</v>
      </c>
      <c r="O41" s="8">
        <f t="shared" si="33"/>
        <v>48046.862687999994</v>
      </c>
      <c r="P41" s="8">
        <f t="shared" si="33"/>
        <v>49320.850656000002</v>
      </c>
      <c r="Q41" s="8">
        <f t="shared" si="33"/>
        <v>50659.536575999999</v>
      </c>
      <c r="R41" s="8">
        <f t="shared" si="33"/>
        <v>52032.339744000004</v>
      </c>
      <c r="S41" s="8">
        <f t="shared" si="33"/>
        <v>53442.380639999988</v>
      </c>
      <c r="T41" s="8">
        <f t="shared" si="33"/>
        <v>54890.699423999984</v>
      </c>
    </row>
    <row r="42" spans="1:20" s="13" customFormat="1">
      <c r="A42" s="151" t="s">
        <v>36</v>
      </c>
      <c r="B42" s="152" t="s">
        <v>48</v>
      </c>
      <c r="C42" s="162" t="s">
        <v>37</v>
      </c>
      <c r="D42" s="152" t="s">
        <v>38</v>
      </c>
      <c r="E42" s="153">
        <v>75</v>
      </c>
      <c r="F42" s="6" t="s">
        <v>17</v>
      </c>
      <c r="G42" s="7">
        <v>41.0852</v>
      </c>
      <c r="H42" s="7">
        <v>42.198300000000003</v>
      </c>
      <c r="I42" s="7">
        <v>43.330500000000001</v>
      </c>
      <c r="J42" s="7">
        <v>44.494300000000003</v>
      </c>
      <c r="K42" s="12">
        <v>45.589300000000001</v>
      </c>
      <c r="L42" s="12">
        <v>46.916400000000003</v>
      </c>
      <c r="M42" s="12">
        <v>48.177900000000001</v>
      </c>
      <c r="N42" s="12">
        <v>49.472200000000001</v>
      </c>
      <c r="O42" s="12">
        <v>50.812899999999999</v>
      </c>
      <c r="P42" s="12">
        <v>52.1798</v>
      </c>
      <c r="Q42" s="12">
        <v>53.5839</v>
      </c>
      <c r="R42" s="12">
        <v>55.025700000000001</v>
      </c>
      <c r="S42" s="12">
        <v>56.506999999999998</v>
      </c>
      <c r="T42" s="12">
        <v>58.028199999999998</v>
      </c>
    </row>
    <row r="43" spans="1:20" s="13" customFormat="1">
      <c r="A43" s="151"/>
      <c r="B43" s="152"/>
      <c r="C43" s="162"/>
      <c r="D43" s="152"/>
      <c r="E43" s="154"/>
      <c r="F43" s="6" t="s">
        <v>18</v>
      </c>
      <c r="G43" s="7">
        <f t="shared" ref="G43:T43" si="34">G42*80</f>
        <v>3286.8159999999998</v>
      </c>
      <c r="H43" s="7">
        <f t="shared" si="34"/>
        <v>3375.8640000000005</v>
      </c>
      <c r="I43" s="7">
        <f t="shared" si="34"/>
        <v>3466.44</v>
      </c>
      <c r="J43" s="7">
        <f t="shared" si="34"/>
        <v>3559.5440000000003</v>
      </c>
      <c r="K43" s="14">
        <f t="shared" si="34"/>
        <v>3647.1440000000002</v>
      </c>
      <c r="L43" s="14">
        <f t="shared" si="34"/>
        <v>3753.3120000000004</v>
      </c>
      <c r="M43" s="14">
        <f t="shared" si="34"/>
        <v>3854.232</v>
      </c>
      <c r="N43" s="14">
        <f t="shared" si="34"/>
        <v>3957.7759999999998</v>
      </c>
      <c r="O43" s="14">
        <f t="shared" si="34"/>
        <v>4065.0320000000002</v>
      </c>
      <c r="P43" s="14">
        <f t="shared" si="34"/>
        <v>4174.384</v>
      </c>
      <c r="Q43" s="14">
        <f t="shared" si="34"/>
        <v>4286.7119999999995</v>
      </c>
      <c r="R43" s="14">
        <f t="shared" si="34"/>
        <v>4402.0560000000005</v>
      </c>
      <c r="S43" s="14">
        <f t="shared" si="34"/>
        <v>4520.5599999999995</v>
      </c>
      <c r="T43" s="14">
        <f t="shared" si="34"/>
        <v>4642.2559999999994</v>
      </c>
    </row>
    <row r="44" spans="1:20" s="13" customFormat="1" ht="22.5">
      <c r="A44" s="151"/>
      <c r="B44" s="152"/>
      <c r="C44" s="162"/>
      <c r="D44" s="152"/>
      <c r="E44" s="154"/>
      <c r="F44" s="6" t="s">
        <v>19</v>
      </c>
      <c r="G44" s="7">
        <f t="shared" ref="G44:T44" si="35">G43*2.167</f>
        <v>7122.5302719999991</v>
      </c>
      <c r="H44" s="7">
        <f t="shared" si="35"/>
        <v>7315.4972880000005</v>
      </c>
      <c r="I44" s="7">
        <f t="shared" si="35"/>
        <v>7511.7754799999993</v>
      </c>
      <c r="J44" s="7">
        <f t="shared" si="35"/>
        <v>7713.5318479999996</v>
      </c>
      <c r="K44" s="14">
        <f t="shared" si="35"/>
        <v>7903.3610479999998</v>
      </c>
      <c r="L44" s="14">
        <f t="shared" si="35"/>
        <v>8133.4271040000003</v>
      </c>
      <c r="M44" s="14">
        <f t="shared" si="35"/>
        <v>8352.1207439999998</v>
      </c>
      <c r="N44" s="14">
        <f t="shared" si="35"/>
        <v>8576.5005919999985</v>
      </c>
      <c r="O44" s="14">
        <f t="shared" si="35"/>
        <v>8808.9243439999991</v>
      </c>
      <c r="P44" s="14">
        <f t="shared" si="35"/>
        <v>9045.8901279999991</v>
      </c>
      <c r="Q44" s="14">
        <f t="shared" si="35"/>
        <v>9289.3049039999987</v>
      </c>
      <c r="R44" s="14">
        <f t="shared" si="35"/>
        <v>9539.2553520000001</v>
      </c>
      <c r="S44" s="14">
        <f t="shared" si="35"/>
        <v>9796.0535199999977</v>
      </c>
      <c r="T44" s="14">
        <f t="shared" si="35"/>
        <v>10059.768751999998</v>
      </c>
    </row>
    <row r="45" spans="1:20" s="13" customFormat="1" ht="17.25" customHeight="1">
      <c r="A45" s="151"/>
      <c r="B45" s="152"/>
      <c r="C45" s="162"/>
      <c r="D45" s="152"/>
      <c r="E45" s="155"/>
      <c r="F45" s="6" t="s">
        <v>20</v>
      </c>
      <c r="G45" s="7">
        <f t="shared" ref="G45:T45" si="36">G44*12</f>
        <v>85470.363263999985</v>
      </c>
      <c r="H45" s="7">
        <f t="shared" si="36"/>
        <v>87785.967456000013</v>
      </c>
      <c r="I45" s="7">
        <f t="shared" si="36"/>
        <v>90141.305759999988</v>
      </c>
      <c r="J45" s="7">
        <f t="shared" si="36"/>
        <v>92562.382175999999</v>
      </c>
      <c r="K45" s="7">
        <f t="shared" si="36"/>
        <v>94840.332576000001</v>
      </c>
      <c r="L45" s="7">
        <f t="shared" si="36"/>
        <v>97601.125247999997</v>
      </c>
      <c r="M45" s="7">
        <f t="shared" si="36"/>
        <v>100225.448928</v>
      </c>
      <c r="N45" s="7">
        <f t="shared" si="36"/>
        <v>102918.00710399999</v>
      </c>
      <c r="O45" s="7">
        <f t="shared" si="36"/>
        <v>105707.09212799999</v>
      </c>
      <c r="P45" s="7">
        <f t="shared" si="36"/>
        <v>108550.68153599999</v>
      </c>
      <c r="Q45" s="7">
        <f t="shared" si="36"/>
        <v>111471.65884799999</v>
      </c>
      <c r="R45" s="7">
        <f t="shared" si="36"/>
        <v>114471.064224</v>
      </c>
      <c r="S45" s="7">
        <f t="shared" si="36"/>
        <v>117552.64223999997</v>
      </c>
      <c r="T45" s="7">
        <f t="shared" si="36"/>
        <v>120717.22502399998</v>
      </c>
    </row>
  </sheetData>
  <mergeCells count="56">
    <mergeCell ref="A42:A45"/>
    <mergeCell ref="B42:B45"/>
    <mergeCell ref="C42:C45"/>
    <mergeCell ref="D42:D45"/>
    <mergeCell ref="E42:E45"/>
    <mergeCell ref="A34:A37"/>
    <mergeCell ref="B34:B37"/>
    <mergeCell ref="C34:C37"/>
    <mergeCell ref="D34:D37"/>
    <mergeCell ref="E34:E37"/>
    <mergeCell ref="A38:A41"/>
    <mergeCell ref="B38:B41"/>
    <mergeCell ref="C38:C41"/>
    <mergeCell ref="D38:D41"/>
    <mergeCell ref="E38:E41"/>
    <mergeCell ref="A26:A29"/>
    <mergeCell ref="B26:B29"/>
    <mergeCell ref="C26:C29"/>
    <mergeCell ref="D26:D29"/>
    <mergeCell ref="E26:E29"/>
    <mergeCell ref="A30:A33"/>
    <mergeCell ref="B30:B33"/>
    <mergeCell ref="C30:C33"/>
    <mergeCell ref="D30:D33"/>
    <mergeCell ref="E30:E33"/>
    <mergeCell ref="A18:A21"/>
    <mergeCell ref="B18:B21"/>
    <mergeCell ref="C18:C21"/>
    <mergeCell ref="D18:D21"/>
    <mergeCell ref="E18:E21"/>
    <mergeCell ref="A22:A25"/>
    <mergeCell ref="B22:B25"/>
    <mergeCell ref="C22:C25"/>
    <mergeCell ref="D22:D25"/>
    <mergeCell ref="E22:E25"/>
    <mergeCell ref="A10:A13"/>
    <mergeCell ref="B10:B13"/>
    <mergeCell ref="C10:C13"/>
    <mergeCell ref="D10:D13"/>
    <mergeCell ref="E10:E13"/>
    <mergeCell ref="A14:A17"/>
    <mergeCell ref="B14:B17"/>
    <mergeCell ref="C14:C17"/>
    <mergeCell ref="D14:D17"/>
    <mergeCell ref="E14:E17"/>
    <mergeCell ref="G4:G5"/>
    <mergeCell ref="A6:A9"/>
    <mergeCell ref="B6:B9"/>
    <mergeCell ref="C6:C9"/>
    <mergeCell ref="D6:D9"/>
    <mergeCell ref="E6:E9"/>
    <mergeCell ref="A2:A5"/>
    <mergeCell ref="B2:B5"/>
    <mergeCell ref="C2:C5"/>
    <mergeCell ref="D2:D5"/>
    <mergeCell ref="E2:E5"/>
  </mergeCells>
  <pageMargins left="0.25" right="0.25" top="0.75" bottom="0.75" header="0.3" footer="0.3"/>
  <pageSetup paperSize="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25"/>
  <sheetViews>
    <sheetView showGridLines="0" tabSelected="1" zoomScale="120" zoomScaleNormal="120" workbookViewId="0">
      <selection activeCell="B3" sqref="B3:I22"/>
    </sheetView>
  </sheetViews>
  <sheetFormatPr defaultRowHeight="15"/>
  <cols>
    <col min="1" max="1" width="2.140625" customWidth="1"/>
    <col min="2" max="2" width="37.28515625" customWidth="1"/>
    <col min="3" max="3" width="10.42578125" customWidth="1"/>
    <col min="4" max="4" width="10.42578125" style="21" customWidth="1"/>
    <col min="5" max="5" width="11.28515625" bestFit="1" customWidth="1"/>
    <col min="6" max="6" width="11.140625" customWidth="1"/>
    <col min="7" max="7" width="12.7109375" customWidth="1"/>
    <col min="8" max="8" width="15" customWidth="1"/>
    <col min="9" max="9" width="22.140625" bestFit="1" customWidth="1"/>
    <col min="10" max="10" width="22.140625" customWidth="1"/>
    <col min="11" max="11" width="15.42578125" customWidth="1"/>
  </cols>
  <sheetData>
    <row r="1" spans="2:11">
      <c r="B1" s="169" t="s">
        <v>76</v>
      </c>
      <c r="C1" s="169"/>
      <c r="D1" s="169"/>
      <c r="E1" s="169"/>
      <c r="F1" s="169"/>
      <c r="G1" s="169"/>
      <c r="H1" s="169"/>
      <c r="I1" s="169"/>
      <c r="J1" s="15"/>
      <c r="K1" s="23"/>
    </row>
    <row r="2" spans="2:11">
      <c r="B2" s="169" t="s">
        <v>146</v>
      </c>
      <c r="C2" s="169"/>
      <c r="D2" s="169"/>
      <c r="E2" s="169"/>
      <c r="F2" s="169"/>
      <c r="G2" s="169"/>
      <c r="H2" s="169"/>
      <c r="I2" s="169"/>
      <c r="J2" s="15"/>
    </row>
    <row r="3" spans="2:11" s="16" customFormat="1" ht="31.5" customHeight="1">
      <c r="B3" s="18" t="s">
        <v>151</v>
      </c>
      <c r="C3" s="105" t="s">
        <v>167</v>
      </c>
      <c r="D3" s="29" t="s">
        <v>168</v>
      </c>
      <c r="E3" s="105" t="s">
        <v>69</v>
      </c>
      <c r="F3" s="29" t="s">
        <v>70</v>
      </c>
      <c r="G3" s="18" t="s">
        <v>165</v>
      </c>
      <c r="H3" s="18" t="s">
        <v>166</v>
      </c>
      <c r="I3" s="18" t="s">
        <v>71</v>
      </c>
    </row>
    <row r="4" spans="2:11" ht="15" customHeight="1">
      <c r="B4" s="33" t="s">
        <v>44</v>
      </c>
      <c r="C4" s="22">
        <v>2</v>
      </c>
      <c r="D4" s="19">
        <v>6</v>
      </c>
      <c r="E4" s="39">
        <v>43160</v>
      </c>
      <c r="F4" s="19" t="s">
        <v>72</v>
      </c>
      <c r="G4" s="69">
        <f>'Exhibit A Table 2 Salary Sched'!H51</f>
        <v>8829.6366666666672</v>
      </c>
      <c r="H4" s="69">
        <f>'Exhibit A Table 2 Salary Sched'!H52</f>
        <v>10532.026666666667</v>
      </c>
      <c r="I4" s="19" t="s">
        <v>169</v>
      </c>
    </row>
    <row r="5" spans="2:11" ht="15" customHeight="1">
      <c r="B5" s="33" t="s">
        <v>93</v>
      </c>
      <c r="C5" s="22">
        <v>14</v>
      </c>
      <c r="D5" s="19">
        <v>1</v>
      </c>
      <c r="E5" s="108">
        <v>43160</v>
      </c>
      <c r="F5" s="19" t="s">
        <v>72</v>
      </c>
      <c r="G5" s="69">
        <f>'Exhibit A Table 2 Salary Sched'!$T$44</f>
        <v>11647.283333333333</v>
      </c>
      <c r="H5" s="69">
        <f>'Exhibit A Table 2 Salary Sched'!$T$45</f>
        <v>13349.673333333332</v>
      </c>
      <c r="I5" s="107" t="s">
        <v>169</v>
      </c>
    </row>
    <row r="6" spans="2:11" ht="15" customHeight="1">
      <c r="B6" s="33" t="s">
        <v>93</v>
      </c>
      <c r="C6" s="109">
        <v>8</v>
      </c>
      <c r="D6" s="107">
        <v>1</v>
      </c>
      <c r="E6" s="108">
        <v>43160</v>
      </c>
      <c r="F6" s="107" t="s">
        <v>72</v>
      </c>
      <c r="G6" s="88">
        <f>'Exhibit A Table 2 Salary Sched'!N44</f>
        <v>10462.83</v>
      </c>
      <c r="H6" s="88">
        <f>'Exhibit A Table 2 Salary Sched'!N45</f>
        <v>12165.22</v>
      </c>
      <c r="I6" s="107" t="s">
        <v>170</v>
      </c>
    </row>
    <row r="7" spans="2:11" ht="15" customHeight="1">
      <c r="B7" s="118" t="s">
        <v>93</v>
      </c>
      <c r="C7" s="109">
        <v>10</v>
      </c>
      <c r="D7" s="123">
        <v>1</v>
      </c>
      <c r="E7" s="120">
        <v>43160</v>
      </c>
      <c r="F7" s="120" t="s">
        <v>72</v>
      </c>
      <c r="G7" s="121">
        <f>'Exhibit A Table 2 Salary Sched'!P44</f>
        <v>10833.736666666666</v>
      </c>
      <c r="H7" s="121">
        <f>'Exhibit A Table 2 Salary Sched'!P45</f>
        <v>12536.126666666667</v>
      </c>
      <c r="I7" s="107" t="s">
        <v>170</v>
      </c>
    </row>
    <row r="8" spans="2:11" ht="15" customHeight="1">
      <c r="B8" s="33" t="s">
        <v>159</v>
      </c>
      <c r="C8" s="30">
        <v>10</v>
      </c>
      <c r="D8" s="107">
        <v>1</v>
      </c>
      <c r="E8" s="108">
        <v>43160</v>
      </c>
      <c r="F8" s="108" t="s">
        <v>72</v>
      </c>
      <c r="G8" s="88">
        <f>'Exhibit A Table 2 Salary Sched'!P16</f>
        <v>14929.73</v>
      </c>
      <c r="H8" s="88">
        <f>'Exhibit A Table 2 Salary Sched'!P17</f>
        <v>16632.120000000003</v>
      </c>
      <c r="I8" s="107" t="s">
        <v>170</v>
      </c>
    </row>
    <row r="9" spans="2:11" ht="15" customHeight="1">
      <c r="B9" s="33" t="s">
        <v>156</v>
      </c>
      <c r="C9" s="25" t="s">
        <v>92</v>
      </c>
      <c r="D9" s="107">
        <v>1</v>
      </c>
      <c r="E9" s="108">
        <v>42795</v>
      </c>
      <c r="F9" s="107" t="s">
        <v>72</v>
      </c>
      <c r="G9" s="88">
        <f>Budget!M9</f>
        <v>20536</v>
      </c>
      <c r="H9" s="88">
        <f>Budget!M9</f>
        <v>20536</v>
      </c>
      <c r="I9" s="19" t="s">
        <v>171</v>
      </c>
    </row>
    <row r="10" spans="2:11" ht="15" customHeight="1">
      <c r="B10" s="33" t="s">
        <v>183</v>
      </c>
      <c r="C10" s="30" t="s">
        <v>92</v>
      </c>
      <c r="D10" s="139">
        <v>1</v>
      </c>
      <c r="E10" s="140">
        <v>43417</v>
      </c>
      <c r="F10" s="108" t="s">
        <v>74</v>
      </c>
      <c r="G10" s="141">
        <v>185</v>
      </c>
      <c r="H10" s="141">
        <v>185</v>
      </c>
      <c r="I10" s="107" t="s">
        <v>170</v>
      </c>
    </row>
    <row r="11" spans="2:11" ht="15" customHeight="1">
      <c r="B11" s="33" t="s">
        <v>34</v>
      </c>
      <c r="C11" s="109">
        <v>11</v>
      </c>
      <c r="D11" s="19">
        <v>1</v>
      </c>
      <c r="E11" s="20">
        <v>43160</v>
      </c>
      <c r="F11" s="107" t="s">
        <v>72</v>
      </c>
      <c r="G11" s="69">
        <f>'Exhibit A Table 2 Salary Sched'!Q72</f>
        <v>7699.7886666666673</v>
      </c>
      <c r="H11" s="69">
        <f>'Exhibit A Table 2 Salary Sched'!Q73</f>
        <v>9402.1786666666667</v>
      </c>
      <c r="I11" s="107" t="s">
        <v>169</v>
      </c>
    </row>
    <row r="12" spans="2:11" ht="15" customHeight="1">
      <c r="B12" s="33" t="s">
        <v>75</v>
      </c>
      <c r="C12" s="109" t="s">
        <v>92</v>
      </c>
      <c r="D12" s="19">
        <v>1</v>
      </c>
      <c r="E12" s="20">
        <v>42795</v>
      </c>
      <c r="F12" s="19" t="s">
        <v>74</v>
      </c>
      <c r="G12" s="69">
        <v>185</v>
      </c>
      <c r="H12" s="69">
        <v>185</v>
      </c>
      <c r="I12" s="107" t="s">
        <v>169</v>
      </c>
    </row>
    <row r="13" spans="2:11" ht="15" customHeight="1">
      <c r="B13" s="33" t="s">
        <v>173</v>
      </c>
      <c r="C13" s="143" t="s">
        <v>180</v>
      </c>
      <c r="D13" s="139">
        <v>1</v>
      </c>
      <c r="E13" s="140">
        <v>43409</v>
      </c>
      <c r="F13" s="108" t="s">
        <v>72</v>
      </c>
      <c r="G13" s="141">
        <f>'Exhibit A Table 2 Salary Sched'!G79</f>
        <v>6099.3799999999992</v>
      </c>
      <c r="H13" s="141">
        <f>'Exhibit A Table 2 Salary Sched'!T80</f>
        <v>8985.9942416459926</v>
      </c>
      <c r="I13" s="107" t="s">
        <v>169</v>
      </c>
    </row>
    <row r="14" spans="2:11" ht="15" customHeight="1">
      <c r="B14" s="33" t="s">
        <v>164</v>
      </c>
      <c r="C14" s="109" t="s">
        <v>92</v>
      </c>
      <c r="D14" s="139">
        <v>1</v>
      </c>
      <c r="E14" s="140">
        <v>43311</v>
      </c>
      <c r="F14" s="108" t="s">
        <v>74</v>
      </c>
      <c r="G14" s="141">
        <v>185</v>
      </c>
      <c r="H14" s="141">
        <v>185</v>
      </c>
      <c r="I14" s="107" t="s">
        <v>170</v>
      </c>
    </row>
    <row r="15" spans="2:11" ht="15" customHeight="1">
      <c r="B15" s="33" t="s">
        <v>181</v>
      </c>
      <c r="C15" s="109">
        <v>11</v>
      </c>
      <c r="D15" s="107">
        <v>1</v>
      </c>
      <c r="E15" s="108">
        <v>43160</v>
      </c>
      <c r="F15" s="107" t="s">
        <v>72</v>
      </c>
      <c r="G15" s="88">
        <f>'Exhibit A Table 2 Salary Sched'!Q30</f>
        <v>11029.853333333333</v>
      </c>
      <c r="H15" s="88">
        <f>'Exhibit A Table 2 Salary Sched'!Q31</f>
        <v>12732.243333333332</v>
      </c>
      <c r="I15" s="107" t="s">
        <v>170</v>
      </c>
    </row>
    <row r="16" spans="2:11" ht="15" customHeight="1">
      <c r="B16" s="33" t="s">
        <v>161</v>
      </c>
      <c r="C16" s="109" t="s">
        <v>92</v>
      </c>
      <c r="D16" s="107" t="s">
        <v>92</v>
      </c>
      <c r="E16" s="108">
        <v>43216</v>
      </c>
      <c r="F16" s="108" t="s">
        <v>74</v>
      </c>
      <c r="G16" s="88">
        <v>120</v>
      </c>
      <c r="H16" s="88">
        <v>175</v>
      </c>
      <c r="I16" s="107" t="s">
        <v>152</v>
      </c>
    </row>
    <row r="17" spans="2:9" ht="15" customHeight="1">
      <c r="B17" s="33" t="s">
        <v>162</v>
      </c>
      <c r="C17" s="109" t="s">
        <v>92</v>
      </c>
      <c r="D17" s="107" t="s">
        <v>92</v>
      </c>
      <c r="E17" s="108">
        <v>43216</v>
      </c>
      <c r="F17" s="108" t="s">
        <v>74</v>
      </c>
      <c r="G17" s="88">
        <v>120</v>
      </c>
      <c r="H17" s="88">
        <v>165</v>
      </c>
      <c r="I17" s="107" t="s">
        <v>152</v>
      </c>
    </row>
    <row r="18" spans="2:9" ht="15" customHeight="1">
      <c r="B18" s="33" t="s">
        <v>147</v>
      </c>
      <c r="C18" s="109" t="s">
        <v>92</v>
      </c>
      <c r="D18" s="107" t="s">
        <v>92</v>
      </c>
      <c r="E18" s="134">
        <v>42943</v>
      </c>
      <c r="F18" s="108" t="s">
        <v>74</v>
      </c>
      <c r="G18" s="135">
        <v>105</v>
      </c>
      <c r="H18" s="135">
        <v>135</v>
      </c>
      <c r="I18" s="107" t="s">
        <v>152</v>
      </c>
    </row>
    <row r="19" spans="2:9" ht="15" customHeight="1">
      <c r="B19" s="33" t="s">
        <v>148</v>
      </c>
      <c r="C19" s="109" t="s">
        <v>92</v>
      </c>
      <c r="D19" s="107" t="s">
        <v>92</v>
      </c>
      <c r="E19" s="134">
        <v>42943</v>
      </c>
      <c r="F19" s="108" t="s">
        <v>74</v>
      </c>
      <c r="G19" s="135">
        <v>95</v>
      </c>
      <c r="H19" s="135">
        <v>115</v>
      </c>
      <c r="I19" s="107" t="s">
        <v>152</v>
      </c>
    </row>
    <row r="20" spans="2:9" ht="15" customHeight="1">
      <c r="B20" s="33" t="s">
        <v>149</v>
      </c>
      <c r="C20" s="109" t="s">
        <v>92</v>
      </c>
      <c r="D20" s="107" t="s">
        <v>92</v>
      </c>
      <c r="E20" s="134">
        <v>42943</v>
      </c>
      <c r="F20" s="108" t="s">
        <v>74</v>
      </c>
      <c r="G20" s="135">
        <v>75</v>
      </c>
      <c r="H20" s="135">
        <v>105</v>
      </c>
      <c r="I20" s="107" t="s">
        <v>152</v>
      </c>
    </row>
    <row r="21" spans="2:9" ht="15" customHeight="1">
      <c r="B21" s="33" t="s">
        <v>163</v>
      </c>
      <c r="C21" s="109" t="s">
        <v>92</v>
      </c>
      <c r="D21" s="107" t="s">
        <v>92</v>
      </c>
      <c r="E21" s="108">
        <v>43216</v>
      </c>
      <c r="F21" s="108" t="s">
        <v>74</v>
      </c>
      <c r="G21" s="88">
        <v>115</v>
      </c>
      <c r="H21" s="88">
        <v>165</v>
      </c>
      <c r="I21" s="107" t="s">
        <v>152</v>
      </c>
    </row>
    <row r="22" spans="2:9">
      <c r="B22" s="33" t="s">
        <v>150</v>
      </c>
      <c r="C22" s="109" t="s">
        <v>92</v>
      </c>
      <c r="D22" s="107" t="s">
        <v>92</v>
      </c>
      <c r="E22" s="134">
        <v>42943</v>
      </c>
      <c r="F22" s="108" t="s">
        <v>74</v>
      </c>
      <c r="G22" s="135">
        <v>105</v>
      </c>
      <c r="H22" s="135">
        <v>125</v>
      </c>
      <c r="I22" s="107" t="s">
        <v>152</v>
      </c>
    </row>
    <row r="23" spans="2:9" ht="17.25">
      <c r="B23" s="33" t="s">
        <v>32</v>
      </c>
      <c r="C23" s="109">
        <v>14</v>
      </c>
      <c r="D23" s="107">
        <v>1</v>
      </c>
      <c r="E23" s="108">
        <v>43160</v>
      </c>
      <c r="F23" s="107" t="s">
        <v>72</v>
      </c>
      <c r="G23" s="88">
        <f>'Exhibit A Table 2 Salary Sched'!T65</f>
        <v>10833.736666666666</v>
      </c>
      <c r="H23" s="88">
        <f>'Exhibit A Table 2 Salary Sched'!T66</f>
        <v>12536.126666666667</v>
      </c>
      <c r="I23" s="107" t="s">
        <v>169</v>
      </c>
    </row>
    <row r="24" spans="2:9" ht="17.25">
      <c r="B24" s="33" t="s">
        <v>25</v>
      </c>
      <c r="C24" s="22">
        <v>11</v>
      </c>
      <c r="D24" s="19">
        <v>1</v>
      </c>
      <c r="E24" s="108">
        <v>43160</v>
      </c>
      <c r="F24" s="107" t="s">
        <v>72</v>
      </c>
      <c r="G24" s="88">
        <f>'Exhibit A Table 2 Salary Sched'!Q37</f>
        <v>14076.573333333332</v>
      </c>
      <c r="H24" s="88">
        <f>'Exhibit A Table 2 Salary Sched'!Q38</f>
        <v>15778.963333333333</v>
      </c>
      <c r="I24" s="19" t="s">
        <v>172</v>
      </c>
    </row>
    <row r="25" spans="2:9">
      <c r="C25" s="88"/>
    </row>
  </sheetData>
  <mergeCells count="2">
    <mergeCell ref="B1:I1"/>
    <mergeCell ref="B2:I2"/>
  </mergeCells>
  <pageMargins left="0.25" right="0.25" top="0.75" bottom="0.75" header="0.3" footer="0.3"/>
  <pageSetup scale="87" fitToHeight="0" orientation="landscape"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Y87"/>
  <sheetViews>
    <sheetView showGridLines="0" zoomScaleNormal="100" workbookViewId="0">
      <pane xSplit="5" ySplit="3" topLeftCell="F64" activePane="bottomRight" state="frozen"/>
      <selection pane="topRight" activeCell="F1" sqref="F1"/>
      <selection pane="bottomLeft" activeCell="A2" sqref="A2"/>
      <selection pane="bottomRight" activeCell="G81" sqref="G81"/>
    </sheetView>
  </sheetViews>
  <sheetFormatPr defaultRowHeight="15"/>
  <cols>
    <col min="2" max="2" width="13.85546875" hidden="1" customWidth="1"/>
    <col min="3" max="3" width="4.7109375" hidden="1" customWidth="1"/>
    <col min="4" max="4" width="11.28515625" hidden="1" customWidth="1"/>
    <col min="5" max="5" width="4.7109375" hidden="1" customWidth="1"/>
    <col min="6" max="6" width="15.5703125" style="23" customWidth="1"/>
    <col min="7" max="20" width="10.7109375" customWidth="1"/>
    <col min="21" max="21" width="18.42578125" bestFit="1" customWidth="1"/>
    <col min="22" max="22" width="14.42578125" bestFit="1" customWidth="1"/>
    <col min="23" max="23" width="11.140625" bestFit="1" customWidth="1"/>
  </cols>
  <sheetData>
    <row r="1" spans="1:23" ht="21">
      <c r="A1" s="26" t="s">
        <v>125</v>
      </c>
    </row>
    <row r="2" spans="1:23" s="13" customFormat="1">
      <c r="F2" s="136"/>
    </row>
    <row r="3" spans="1:23" ht="24" thickBot="1">
      <c r="A3" s="1" t="s">
        <v>158</v>
      </c>
      <c r="B3" s="1" t="s">
        <v>39</v>
      </c>
      <c r="C3" s="2" t="s">
        <v>0</v>
      </c>
      <c r="D3" s="2" t="s">
        <v>1</v>
      </c>
      <c r="E3" s="3" t="s">
        <v>57</v>
      </c>
      <c r="F3" s="59" t="s">
        <v>63</v>
      </c>
      <c r="G3" s="5" t="s">
        <v>2</v>
      </c>
      <c r="H3" s="1" t="s">
        <v>3</v>
      </c>
      <c r="I3" s="1" t="s">
        <v>4</v>
      </c>
      <c r="J3" s="1" t="s">
        <v>5</v>
      </c>
      <c r="K3" s="1" t="s">
        <v>6</v>
      </c>
      <c r="L3" s="1" t="s">
        <v>7</v>
      </c>
      <c r="M3" s="1" t="s">
        <v>8</v>
      </c>
      <c r="N3" s="1" t="s">
        <v>9</v>
      </c>
      <c r="O3" s="1" t="s">
        <v>10</v>
      </c>
      <c r="P3" s="1" t="s">
        <v>11</v>
      </c>
      <c r="Q3" s="1" t="s">
        <v>12</v>
      </c>
      <c r="R3" s="1" t="s">
        <v>13</v>
      </c>
      <c r="S3" s="1" t="s">
        <v>14</v>
      </c>
      <c r="T3" s="1" t="s">
        <v>15</v>
      </c>
      <c r="W3" s="133">
        <f>P12+Q26+Q33+N40+P40+T40+(H47*6)+T61+Q68+14167</f>
        <v>106014.91199999998</v>
      </c>
    </row>
    <row r="4" spans="1:23" s="13" customFormat="1">
      <c r="A4" s="205" t="s">
        <v>156</v>
      </c>
      <c r="B4" s="208" t="s">
        <v>58</v>
      </c>
      <c r="C4" s="173" t="s">
        <v>16</v>
      </c>
      <c r="D4" s="173">
        <v>170</v>
      </c>
      <c r="E4" s="177"/>
      <c r="F4" s="60" t="s">
        <v>65</v>
      </c>
      <c r="G4" s="50"/>
      <c r="H4" s="50"/>
      <c r="I4" s="50"/>
      <c r="J4" s="50"/>
      <c r="K4" s="56"/>
      <c r="L4" s="56"/>
      <c r="M4" s="56"/>
      <c r="N4" s="56"/>
      <c r="O4" s="56"/>
      <c r="P4" s="56"/>
      <c r="Q4" s="56"/>
      <c r="R4" s="56"/>
      <c r="S4" s="56"/>
      <c r="T4" s="57"/>
      <c r="U4" s="13" t="s">
        <v>77</v>
      </c>
    </row>
    <row r="5" spans="1:23" s="13" customFormat="1">
      <c r="A5" s="206"/>
      <c r="B5" s="209"/>
      <c r="C5" s="152"/>
      <c r="D5" s="152"/>
      <c r="E5" s="154"/>
      <c r="F5" s="61" t="s">
        <v>66</v>
      </c>
      <c r="G5" s="35"/>
      <c r="H5" s="35"/>
      <c r="I5" s="35"/>
      <c r="J5" s="35"/>
      <c r="K5" s="36"/>
      <c r="L5" s="36"/>
      <c r="M5" s="36"/>
      <c r="N5" s="36"/>
      <c r="O5" s="36"/>
      <c r="P5" s="36"/>
      <c r="Q5" s="36"/>
      <c r="R5" s="36"/>
      <c r="S5" s="36"/>
      <c r="T5" s="53"/>
      <c r="U5" s="13" t="s">
        <v>153</v>
      </c>
    </row>
    <row r="6" spans="1:23" s="13" customFormat="1">
      <c r="A6" s="206"/>
      <c r="B6" s="209"/>
      <c r="C6" s="152"/>
      <c r="D6" s="152"/>
      <c r="E6" s="154"/>
      <c r="F6" s="61" t="s">
        <v>94</v>
      </c>
      <c r="G6" s="35"/>
      <c r="H6" s="35"/>
      <c r="I6" s="35"/>
      <c r="J6" s="35"/>
      <c r="K6" s="36"/>
      <c r="L6" s="36"/>
      <c r="M6" s="36"/>
      <c r="N6" s="36"/>
      <c r="O6" s="36"/>
      <c r="P6" s="36"/>
      <c r="Q6" s="36"/>
      <c r="R6" s="36"/>
      <c r="S6" s="36"/>
      <c r="T6" s="53"/>
      <c r="U6" s="13" t="s">
        <v>154</v>
      </c>
    </row>
    <row r="7" spans="1:23" s="13" customFormat="1">
      <c r="A7" s="206"/>
      <c r="B7" s="209"/>
      <c r="C7" s="152"/>
      <c r="D7" s="152"/>
      <c r="E7" s="154"/>
      <c r="F7" s="61" t="s">
        <v>109</v>
      </c>
      <c r="G7" s="37"/>
      <c r="H7" s="35"/>
      <c r="I7" s="35"/>
      <c r="J7" s="35"/>
      <c r="K7" s="36"/>
      <c r="L7" s="36"/>
      <c r="M7" s="36"/>
      <c r="N7" s="36"/>
      <c r="O7" s="36"/>
      <c r="P7" s="36"/>
      <c r="Q7" s="36"/>
      <c r="R7" s="36"/>
      <c r="S7" s="36"/>
      <c r="T7" s="53"/>
    </row>
    <row r="8" spans="1:23" s="13" customFormat="1">
      <c r="A8" s="206"/>
      <c r="B8" s="209"/>
      <c r="C8" s="152"/>
      <c r="D8" s="152"/>
      <c r="E8" s="154"/>
      <c r="F8" s="61" t="s">
        <v>62</v>
      </c>
      <c r="G8" s="37">
        <v>1770</v>
      </c>
      <c r="H8" s="37">
        <v>1770</v>
      </c>
      <c r="I8" s="37">
        <v>1770</v>
      </c>
      <c r="J8" s="37">
        <v>1770</v>
      </c>
      <c r="K8" s="37">
        <v>1770</v>
      </c>
      <c r="L8" s="37">
        <v>1770</v>
      </c>
      <c r="M8" s="37">
        <v>1770</v>
      </c>
      <c r="N8" s="37">
        <v>1770</v>
      </c>
      <c r="O8" s="37">
        <v>1770</v>
      </c>
      <c r="P8" s="37">
        <v>1770</v>
      </c>
      <c r="Q8" s="37">
        <v>1770</v>
      </c>
      <c r="R8" s="37">
        <v>1770</v>
      </c>
      <c r="S8" s="37">
        <v>1770</v>
      </c>
      <c r="T8" s="37">
        <v>1770</v>
      </c>
    </row>
    <row r="9" spans="1:23" s="13" customFormat="1">
      <c r="A9" s="206"/>
      <c r="B9" s="209"/>
      <c r="C9" s="152"/>
      <c r="D9" s="152"/>
      <c r="E9" s="154"/>
      <c r="F9" s="61" t="s">
        <v>106</v>
      </c>
      <c r="G9" s="203" t="s">
        <v>56</v>
      </c>
      <c r="H9" s="35"/>
      <c r="I9" s="35"/>
      <c r="J9" s="35"/>
      <c r="K9" s="36"/>
      <c r="L9" s="36"/>
      <c r="M9" s="36"/>
      <c r="N9" s="36"/>
      <c r="O9" s="36"/>
      <c r="P9" s="36"/>
      <c r="Q9" s="36"/>
      <c r="R9" s="36"/>
      <c r="S9" s="36"/>
      <c r="T9" s="53"/>
    </row>
    <row r="10" spans="1:23" s="13" customFormat="1" ht="15.75" thickBot="1">
      <c r="A10" s="207"/>
      <c r="B10" s="210"/>
      <c r="C10" s="174"/>
      <c r="D10" s="174"/>
      <c r="E10" s="178"/>
      <c r="F10" s="62" t="s">
        <v>107</v>
      </c>
      <c r="G10" s="204"/>
      <c r="H10" s="54"/>
      <c r="I10" s="54"/>
      <c r="J10" s="54"/>
      <c r="K10" s="54"/>
      <c r="L10" s="54"/>
      <c r="M10" s="54"/>
      <c r="N10" s="54"/>
      <c r="O10" s="54"/>
      <c r="P10" s="54"/>
      <c r="Q10" s="54"/>
      <c r="R10" s="54"/>
      <c r="S10" s="54"/>
      <c r="T10" s="55"/>
    </row>
    <row r="11" spans="1:23" s="13" customFormat="1">
      <c r="A11" s="179" t="s">
        <v>159</v>
      </c>
      <c r="B11" s="186" t="s">
        <v>55</v>
      </c>
      <c r="C11" s="186" t="s">
        <v>21</v>
      </c>
      <c r="D11" s="186">
        <v>723</v>
      </c>
      <c r="E11" s="190">
        <v>84</v>
      </c>
      <c r="F11" s="63" t="s">
        <v>65</v>
      </c>
      <c r="G11" s="42">
        <v>49.31</v>
      </c>
      <c r="H11" s="42">
        <v>50.54</v>
      </c>
      <c r="I11" s="42">
        <v>51.8</v>
      </c>
      <c r="J11" s="42">
        <v>53.1</v>
      </c>
      <c r="K11" s="42">
        <v>54.41</v>
      </c>
      <c r="L11" s="42">
        <v>55.82</v>
      </c>
      <c r="M11" s="42">
        <v>57.19</v>
      </c>
      <c r="N11" s="42">
        <v>58.64</v>
      </c>
      <c r="O11" s="42">
        <v>60.11</v>
      </c>
      <c r="P11" s="129">
        <v>61.59</v>
      </c>
      <c r="Q11" s="42">
        <v>63.14</v>
      </c>
      <c r="R11" s="42">
        <v>64.73</v>
      </c>
      <c r="S11" s="42">
        <v>66.34</v>
      </c>
      <c r="T11" s="43">
        <v>68</v>
      </c>
      <c r="U11" s="13" t="s">
        <v>103</v>
      </c>
    </row>
    <row r="12" spans="1:23" s="13" customFormat="1">
      <c r="A12" s="180"/>
      <c r="B12" s="147"/>
      <c r="C12" s="147"/>
      <c r="D12" s="147"/>
      <c r="E12" s="149"/>
      <c r="F12" s="64" t="s">
        <v>66</v>
      </c>
      <c r="G12" s="38">
        <f>G11*2080/12</f>
        <v>8547.0666666666675</v>
      </c>
      <c r="H12" s="38">
        <f t="shared" ref="H12:T12" si="0">H11*2080/12</f>
        <v>8760.2666666666664</v>
      </c>
      <c r="I12" s="38">
        <f t="shared" si="0"/>
        <v>8978.6666666666661</v>
      </c>
      <c r="J12" s="38">
        <f t="shared" si="0"/>
        <v>9204</v>
      </c>
      <c r="K12" s="38">
        <f t="shared" si="0"/>
        <v>9431.0666666666657</v>
      </c>
      <c r="L12" s="85">
        <f t="shared" si="0"/>
        <v>9675.4666666666672</v>
      </c>
      <c r="M12" s="38">
        <f t="shared" si="0"/>
        <v>9912.9333333333325</v>
      </c>
      <c r="N12" s="85">
        <f t="shared" si="0"/>
        <v>10164.266666666666</v>
      </c>
      <c r="O12" s="38">
        <f t="shared" si="0"/>
        <v>10419.066666666668</v>
      </c>
      <c r="P12" s="127">
        <f t="shared" si="0"/>
        <v>10675.6</v>
      </c>
      <c r="Q12" s="38">
        <f t="shared" si="0"/>
        <v>10944.266666666668</v>
      </c>
      <c r="R12" s="38">
        <f t="shared" si="0"/>
        <v>11219.866666666667</v>
      </c>
      <c r="S12" s="38">
        <f t="shared" si="0"/>
        <v>11498.933333333334</v>
      </c>
      <c r="T12" s="44">
        <f t="shared" si="0"/>
        <v>11786.666666666666</v>
      </c>
    </row>
    <row r="13" spans="1:23" s="13" customFormat="1">
      <c r="A13" s="180"/>
      <c r="B13" s="147"/>
      <c r="C13" s="147"/>
      <c r="D13" s="147"/>
      <c r="E13" s="149"/>
      <c r="F13" s="64" t="s">
        <v>94</v>
      </c>
      <c r="G13" s="72">
        <v>2229.36</v>
      </c>
      <c r="H13" s="72">
        <v>2255.0700000000002</v>
      </c>
      <c r="I13" s="72">
        <v>2281.2600000000002</v>
      </c>
      <c r="J13" s="72">
        <v>2308.42</v>
      </c>
      <c r="K13" s="72">
        <v>2335.7800000000002</v>
      </c>
      <c r="L13" s="85">
        <v>2365.19</v>
      </c>
      <c r="M13" s="72">
        <v>2393.64</v>
      </c>
      <c r="N13" s="85">
        <v>2423.54</v>
      </c>
      <c r="O13" s="72">
        <v>2453.8000000000002</v>
      </c>
      <c r="P13" s="127">
        <v>2484.13</v>
      </c>
      <c r="Q13" s="72">
        <v>2515.86</v>
      </c>
      <c r="R13" s="72">
        <v>2548.4</v>
      </c>
      <c r="S13" s="72">
        <v>2581.35</v>
      </c>
      <c r="T13" s="73">
        <v>2615.4499999999998</v>
      </c>
    </row>
    <row r="14" spans="1:23" s="13" customFormat="1">
      <c r="A14" s="180"/>
      <c r="B14" s="147"/>
      <c r="C14" s="147"/>
      <c r="D14" s="147"/>
      <c r="E14" s="149"/>
      <c r="F14" s="64" t="s">
        <v>95</v>
      </c>
      <c r="G14" s="72">
        <v>3931.75</v>
      </c>
      <c r="H14" s="72">
        <v>3957.47</v>
      </c>
      <c r="I14" s="72">
        <v>3983.66</v>
      </c>
      <c r="J14" s="72">
        <v>4010.81</v>
      </c>
      <c r="K14" s="72">
        <v>4038.17</v>
      </c>
      <c r="L14" s="85">
        <v>4068.58</v>
      </c>
      <c r="M14" s="72">
        <v>4096.03</v>
      </c>
      <c r="N14" s="85">
        <v>4125.93</v>
      </c>
      <c r="O14" s="72">
        <v>4156.2</v>
      </c>
      <c r="P14" s="127">
        <v>4186.5200000000004</v>
      </c>
      <c r="Q14" s="72">
        <v>4218.25</v>
      </c>
      <c r="R14" s="72">
        <v>4250.8</v>
      </c>
      <c r="S14" s="72">
        <v>4283.74</v>
      </c>
      <c r="T14" s="73">
        <v>4317.84</v>
      </c>
    </row>
    <row r="15" spans="1:23" s="13" customFormat="1">
      <c r="A15" s="180"/>
      <c r="B15" s="147"/>
      <c r="C15" s="147"/>
      <c r="D15" s="147"/>
      <c r="E15" s="149"/>
      <c r="F15" s="64" t="s">
        <v>64</v>
      </c>
      <c r="G15" s="38">
        <v>1770</v>
      </c>
      <c r="H15" s="85">
        <v>1770</v>
      </c>
      <c r="I15" s="85">
        <v>1770</v>
      </c>
      <c r="J15" s="85">
        <v>1770</v>
      </c>
      <c r="K15" s="85">
        <v>1770</v>
      </c>
      <c r="L15" s="85">
        <v>1770</v>
      </c>
      <c r="M15" s="85">
        <v>1770</v>
      </c>
      <c r="N15" s="85">
        <v>1770</v>
      </c>
      <c r="O15" s="85">
        <v>1770</v>
      </c>
      <c r="P15" s="127">
        <v>1770</v>
      </c>
      <c r="Q15" s="85">
        <v>1770</v>
      </c>
      <c r="R15" s="85">
        <v>1770</v>
      </c>
      <c r="S15" s="85">
        <v>1770</v>
      </c>
      <c r="T15" s="85">
        <v>1770</v>
      </c>
    </row>
    <row r="16" spans="1:23" s="13" customFormat="1">
      <c r="A16" s="180"/>
      <c r="B16" s="147"/>
      <c r="C16" s="147"/>
      <c r="D16" s="147"/>
      <c r="E16" s="149"/>
      <c r="F16" s="64" t="s">
        <v>106</v>
      </c>
      <c r="G16" s="38">
        <f>G12+G13+G15</f>
        <v>12546.426666666668</v>
      </c>
      <c r="H16" s="38">
        <f t="shared" ref="H16:T16" si="1">H12+H13+H15</f>
        <v>12785.336666666666</v>
      </c>
      <c r="I16" s="38">
        <f t="shared" si="1"/>
        <v>13029.926666666666</v>
      </c>
      <c r="J16" s="38">
        <f t="shared" si="1"/>
        <v>13282.42</v>
      </c>
      <c r="K16" s="38">
        <f t="shared" si="1"/>
        <v>13536.846666666666</v>
      </c>
      <c r="L16" s="85">
        <f t="shared" si="1"/>
        <v>13810.656666666668</v>
      </c>
      <c r="M16" s="38">
        <f t="shared" si="1"/>
        <v>14076.573333333332</v>
      </c>
      <c r="N16" s="85">
        <f t="shared" si="1"/>
        <v>14357.806666666667</v>
      </c>
      <c r="O16" s="38">
        <f t="shared" si="1"/>
        <v>14642.866666666669</v>
      </c>
      <c r="P16" s="127">
        <f t="shared" si="1"/>
        <v>14929.73</v>
      </c>
      <c r="Q16" s="38">
        <f t="shared" si="1"/>
        <v>15230.126666666669</v>
      </c>
      <c r="R16" s="38">
        <f t="shared" si="1"/>
        <v>15538.266666666666</v>
      </c>
      <c r="S16" s="38">
        <f t="shared" si="1"/>
        <v>15850.283333333335</v>
      </c>
      <c r="T16" s="44">
        <f t="shared" si="1"/>
        <v>16172.116666666665</v>
      </c>
    </row>
    <row r="17" spans="1:25" s="13" customFormat="1" ht="15.75" thickBot="1">
      <c r="A17" s="181"/>
      <c r="B17" s="187"/>
      <c r="C17" s="187"/>
      <c r="D17" s="187"/>
      <c r="E17" s="191"/>
      <c r="F17" s="65" t="s">
        <v>107</v>
      </c>
      <c r="G17" s="45">
        <f>G12+G14+G15</f>
        <v>14248.816666666668</v>
      </c>
      <c r="H17" s="45">
        <f t="shared" ref="H17:T17" si="2">H12+H14+H15</f>
        <v>14487.736666666666</v>
      </c>
      <c r="I17" s="45">
        <f t="shared" si="2"/>
        <v>14732.326666666666</v>
      </c>
      <c r="J17" s="45">
        <f t="shared" si="2"/>
        <v>14984.81</v>
      </c>
      <c r="K17" s="45">
        <f t="shared" si="2"/>
        <v>15239.236666666666</v>
      </c>
      <c r="L17" s="45">
        <f t="shared" si="2"/>
        <v>15514.046666666667</v>
      </c>
      <c r="M17" s="45">
        <f t="shared" si="2"/>
        <v>15778.963333333333</v>
      </c>
      <c r="N17" s="45">
        <f t="shared" si="2"/>
        <v>16060.196666666667</v>
      </c>
      <c r="O17" s="45">
        <f t="shared" si="2"/>
        <v>16345.266666666666</v>
      </c>
      <c r="P17" s="128">
        <f t="shared" si="2"/>
        <v>16632.120000000003</v>
      </c>
      <c r="Q17" s="45">
        <f t="shared" si="2"/>
        <v>16932.51666666667</v>
      </c>
      <c r="R17" s="45">
        <f t="shared" si="2"/>
        <v>17240.666666666668</v>
      </c>
      <c r="S17" s="45">
        <f t="shared" si="2"/>
        <v>17552.673333333332</v>
      </c>
      <c r="T17" s="46">
        <f t="shared" si="2"/>
        <v>17874.506666666668</v>
      </c>
    </row>
    <row r="18" spans="1:25" s="13" customFormat="1">
      <c r="A18" s="179" t="s">
        <v>61</v>
      </c>
      <c r="B18" s="173" t="s">
        <v>22</v>
      </c>
      <c r="C18" s="182" t="s">
        <v>21</v>
      </c>
      <c r="D18" s="175" t="s">
        <v>23</v>
      </c>
      <c r="E18" s="184" t="s">
        <v>49</v>
      </c>
      <c r="F18" s="60" t="s">
        <v>65</v>
      </c>
      <c r="G18" s="50">
        <v>37.6</v>
      </c>
      <c r="H18" s="50">
        <v>38.54</v>
      </c>
      <c r="I18" s="50">
        <v>39.5</v>
      </c>
      <c r="J18" s="50">
        <v>40.46</v>
      </c>
      <c r="K18" s="50">
        <v>41.5</v>
      </c>
      <c r="L18" s="50">
        <v>42.54</v>
      </c>
      <c r="M18" s="50">
        <v>43.59</v>
      </c>
      <c r="N18" s="50">
        <v>44.69</v>
      </c>
      <c r="O18" s="50">
        <v>45.82</v>
      </c>
      <c r="P18" s="50">
        <v>46.98</v>
      </c>
      <c r="Q18" s="50">
        <v>48.13</v>
      </c>
      <c r="R18" s="50">
        <v>49.33</v>
      </c>
      <c r="S18" s="50">
        <v>50.55</v>
      </c>
      <c r="T18" s="51">
        <v>51.81</v>
      </c>
    </row>
    <row r="19" spans="1:25" s="13" customFormat="1">
      <c r="A19" s="180"/>
      <c r="B19" s="152"/>
      <c r="C19" s="161"/>
      <c r="D19" s="162"/>
      <c r="E19" s="164"/>
      <c r="F19" s="61" t="s">
        <v>66</v>
      </c>
      <c r="G19" s="35">
        <f>G18*2080/12</f>
        <v>6517.333333333333</v>
      </c>
      <c r="H19" s="35">
        <f t="shared" ref="H19" si="3">H18*2080/12</f>
        <v>6680.2666666666664</v>
      </c>
      <c r="I19" s="35">
        <f t="shared" ref="I19" si="4">I18*2080/12</f>
        <v>6846.666666666667</v>
      </c>
      <c r="J19" s="35">
        <f t="shared" ref="J19" si="5">J18*2080/12</f>
        <v>7013.0666666666666</v>
      </c>
      <c r="K19" s="35">
        <f t="shared" ref="K19" si="6">K18*2080/12</f>
        <v>7193.333333333333</v>
      </c>
      <c r="L19" s="35">
        <f t="shared" ref="L19" si="7">L18*2080/12</f>
        <v>7373.5999999999995</v>
      </c>
      <c r="M19" s="35">
        <f t="shared" ref="M19" si="8">M18*2080/12</f>
        <v>7555.6000000000013</v>
      </c>
      <c r="N19" s="35">
        <f t="shared" ref="N19" si="9">N18*2080/12</f>
        <v>7746.2666666666664</v>
      </c>
      <c r="O19" s="35">
        <f t="shared" ref="O19" si="10">O18*2080/12</f>
        <v>7942.1333333333341</v>
      </c>
      <c r="P19" s="35">
        <f t="shared" ref="P19" si="11">P18*2080/12</f>
        <v>8143.2</v>
      </c>
      <c r="Q19" s="35">
        <f t="shared" ref="Q19" si="12">Q18*2080/12</f>
        <v>8342.5333333333347</v>
      </c>
      <c r="R19" s="35">
        <f t="shared" ref="R19" si="13">R18*2080/12</f>
        <v>8550.5333333333328</v>
      </c>
      <c r="S19" s="35">
        <f t="shared" ref="S19" si="14">S18*2080/12</f>
        <v>8762</v>
      </c>
      <c r="T19" s="52">
        <f t="shared" ref="T19" si="15">T18*2080/12</f>
        <v>8980.4</v>
      </c>
    </row>
    <row r="20" spans="1:25" s="13" customFormat="1">
      <c r="A20" s="180"/>
      <c r="B20" s="152"/>
      <c r="C20" s="161"/>
      <c r="D20" s="162"/>
      <c r="E20" s="164"/>
      <c r="F20" s="61" t="s">
        <v>94</v>
      </c>
      <c r="G20" s="74">
        <v>1985.2</v>
      </c>
      <c r="H20" s="74">
        <v>2004.81</v>
      </c>
      <c r="I20" s="74">
        <v>2024.83</v>
      </c>
      <c r="J20" s="74">
        <v>2044.85</v>
      </c>
      <c r="K20" s="74">
        <v>2066.52</v>
      </c>
      <c r="L20" s="74">
        <v>2088.1799999999998</v>
      </c>
      <c r="M20" s="74">
        <v>2110.0500000000002</v>
      </c>
      <c r="N20" s="74">
        <v>2132.9499999999998</v>
      </c>
      <c r="O20" s="74">
        <v>2156.61</v>
      </c>
      <c r="P20" s="74">
        <v>2180.7399999999998</v>
      </c>
      <c r="Q20" s="74">
        <v>2204.8200000000002</v>
      </c>
      <c r="R20" s="74">
        <v>2229.77</v>
      </c>
      <c r="S20" s="74">
        <v>2255.2800000000002</v>
      </c>
      <c r="T20" s="75">
        <v>2281.4699999999998</v>
      </c>
    </row>
    <row r="21" spans="1:25" s="13" customFormat="1">
      <c r="A21" s="180"/>
      <c r="B21" s="152"/>
      <c r="C21" s="161"/>
      <c r="D21" s="162"/>
      <c r="E21" s="164"/>
      <c r="F21" s="61" t="s">
        <v>95</v>
      </c>
      <c r="G21" s="74">
        <v>3687.59</v>
      </c>
      <c r="H21" s="74">
        <v>3707.2</v>
      </c>
      <c r="I21" s="74">
        <v>3727.22</v>
      </c>
      <c r="J21" s="74">
        <v>3747.25</v>
      </c>
      <c r="K21" s="74">
        <v>3768.91</v>
      </c>
      <c r="L21" s="74">
        <v>3790.58</v>
      </c>
      <c r="M21" s="74">
        <v>3812.45</v>
      </c>
      <c r="N21" s="74">
        <v>3835.35</v>
      </c>
      <c r="O21" s="74">
        <v>3859.01</v>
      </c>
      <c r="P21" s="74">
        <v>3883.14</v>
      </c>
      <c r="Q21" s="74">
        <v>3907.21</v>
      </c>
      <c r="R21" s="74">
        <v>3932.16</v>
      </c>
      <c r="S21" s="74">
        <v>3957.67</v>
      </c>
      <c r="T21" s="75">
        <v>3983.86</v>
      </c>
    </row>
    <row r="22" spans="1:25" s="13" customFormat="1">
      <c r="A22" s="180"/>
      <c r="B22" s="152"/>
      <c r="C22" s="161"/>
      <c r="D22" s="162"/>
      <c r="E22" s="164"/>
      <c r="F22" s="61" t="s">
        <v>62</v>
      </c>
      <c r="G22" s="37">
        <v>1770</v>
      </c>
      <c r="H22" s="37">
        <v>1770</v>
      </c>
      <c r="I22" s="37">
        <v>1770</v>
      </c>
      <c r="J22" s="37">
        <v>1770</v>
      </c>
      <c r="K22" s="37">
        <v>1770</v>
      </c>
      <c r="L22" s="37">
        <v>1770</v>
      </c>
      <c r="M22" s="37">
        <v>1770</v>
      </c>
      <c r="N22" s="37">
        <v>1770</v>
      </c>
      <c r="O22" s="37">
        <v>1770</v>
      </c>
      <c r="P22" s="37">
        <v>1770</v>
      </c>
      <c r="Q22" s="37">
        <v>1770</v>
      </c>
      <c r="R22" s="37">
        <v>1770</v>
      </c>
      <c r="S22" s="37">
        <v>1770</v>
      </c>
      <c r="T22" s="37">
        <v>1770</v>
      </c>
    </row>
    <row r="23" spans="1:25" s="13" customFormat="1">
      <c r="A23" s="180"/>
      <c r="B23" s="152"/>
      <c r="C23" s="161"/>
      <c r="D23" s="162"/>
      <c r="E23" s="164"/>
      <c r="F23" s="61" t="s">
        <v>106</v>
      </c>
      <c r="G23" s="35">
        <f>G19+G20+G22</f>
        <v>10272.533333333333</v>
      </c>
      <c r="H23" s="35">
        <f t="shared" ref="H23" si="16">H19+H20+H22</f>
        <v>10455.076666666666</v>
      </c>
      <c r="I23" s="35">
        <f t="shared" ref="I23" si="17">I19+I20+I22</f>
        <v>10641.496666666666</v>
      </c>
      <c r="J23" s="35">
        <f t="shared" ref="J23" si="18">J19+J20+J22</f>
        <v>10827.916666666666</v>
      </c>
      <c r="K23" s="35">
        <f t="shared" ref="K23" si="19">K19+K20+K22</f>
        <v>11029.853333333333</v>
      </c>
      <c r="L23" s="35">
        <f t="shared" ref="L23" si="20">L19+L20+L22</f>
        <v>11231.779999999999</v>
      </c>
      <c r="M23" s="35">
        <f t="shared" ref="M23" si="21">M19+M20+M22</f>
        <v>11435.650000000001</v>
      </c>
      <c r="N23" s="35">
        <f t="shared" ref="N23" si="22">N19+N20+N22</f>
        <v>11649.216666666667</v>
      </c>
      <c r="O23" s="35">
        <f t="shared" ref="O23" si="23">O19+O20+O22</f>
        <v>11868.743333333334</v>
      </c>
      <c r="P23" s="35">
        <f t="shared" ref="P23" si="24">P19+P20+P22</f>
        <v>12093.939999999999</v>
      </c>
      <c r="Q23" s="35">
        <f t="shared" ref="Q23" si="25">Q19+Q20+Q22</f>
        <v>12317.353333333334</v>
      </c>
      <c r="R23" s="35">
        <f t="shared" ref="R23" si="26">R19+R20+R22</f>
        <v>12550.303333333333</v>
      </c>
      <c r="S23" s="35">
        <f t="shared" ref="S23" si="27">S19+S20+S22</f>
        <v>12787.28</v>
      </c>
      <c r="T23" s="52">
        <f t="shared" ref="T23" si="28">T19+T20+T22</f>
        <v>13031.869999999999</v>
      </c>
    </row>
    <row r="24" spans="1:25" s="13" customFormat="1" ht="15" customHeight="1" thickBot="1">
      <c r="A24" s="181"/>
      <c r="B24" s="174"/>
      <c r="C24" s="183"/>
      <c r="D24" s="176"/>
      <c r="E24" s="185"/>
      <c r="F24" s="62" t="s">
        <v>107</v>
      </c>
      <c r="G24" s="54">
        <f>G19+G21+G22</f>
        <v>11974.923333333332</v>
      </c>
      <c r="H24" s="54">
        <f t="shared" ref="H24:T24" si="29">H19+H21+H22</f>
        <v>12157.466666666667</v>
      </c>
      <c r="I24" s="54">
        <f t="shared" si="29"/>
        <v>12343.886666666667</v>
      </c>
      <c r="J24" s="54">
        <f t="shared" si="29"/>
        <v>12530.316666666666</v>
      </c>
      <c r="K24" s="54">
        <f t="shared" si="29"/>
        <v>12732.243333333332</v>
      </c>
      <c r="L24" s="54">
        <f t="shared" si="29"/>
        <v>12934.18</v>
      </c>
      <c r="M24" s="54">
        <f t="shared" si="29"/>
        <v>13138.050000000001</v>
      </c>
      <c r="N24" s="54">
        <f t="shared" si="29"/>
        <v>13351.616666666667</v>
      </c>
      <c r="O24" s="54">
        <f t="shared" si="29"/>
        <v>13571.143333333333</v>
      </c>
      <c r="P24" s="54">
        <f t="shared" si="29"/>
        <v>13796.34</v>
      </c>
      <c r="Q24" s="54">
        <f t="shared" si="29"/>
        <v>14019.743333333336</v>
      </c>
      <c r="R24" s="54">
        <f t="shared" si="29"/>
        <v>14252.693333333333</v>
      </c>
      <c r="S24" s="54">
        <f t="shared" si="29"/>
        <v>14489.67</v>
      </c>
      <c r="T24" s="55">
        <f t="shared" si="29"/>
        <v>14734.26</v>
      </c>
    </row>
    <row r="25" spans="1:25" s="13" customFormat="1">
      <c r="A25" s="202" t="s">
        <v>181</v>
      </c>
      <c r="B25" s="150" t="s">
        <v>42</v>
      </c>
      <c r="C25" s="168" t="s">
        <v>21</v>
      </c>
      <c r="D25" s="160" t="s">
        <v>23</v>
      </c>
      <c r="E25" s="159" t="s">
        <v>50</v>
      </c>
      <c r="F25" s="66" t="s">
        <v>65</v>
      </c>
      <c r="G25" s="47">
        <v>32.46</v>
      </c>
      <c r="H25" s="47">
        <v>33.270000000000003</v>
      </c>
      <c r="I25" s="47">
        <v>34.1</v>
      </c>
      <c r="J25" s="47">
        <v>34.97</v>
      </c>
      <c r="K25" s="47">
        <v>35.82</v>
      </c>
      <c r="L25" s="47">
        <v>36.74</v>
      </c>
      <c r="M25" s="47">
        <v>37.61</v>
      </c>
      <c r="N25" s="47">
        <v>38.58</v>
      </c>
      <c r="O25" s="47">
        <v>39.5</v>
      </c>
      <c r="P25" s="47">
        <v>40.46</v>
      </c>
      <c r="Q25" s="132">
        <v>41.5</v>
      </c>
      <c r="R25" s="47">
        <v>42.54</v>
      </c>
      <c r="S25" s="47">
        <v>43.59</v>
      </c>
      <c r="T25" s="58">
        <v>44.68</v>
      </c>
      <c r="U25" s="13" t="s">
        <v>87</v>
      </c>
    </row>
    <row r="26" spans="1:25" s="13" customFormat="1">
      <c r="A26" s="180"/>
      <c r="B26" s="147"/>
      <c r="C26" s="156"/>
      <c r="D26" s="157"/>
      <c r="E26" s="159"/>
      <c r="F26" s="64" t="s">
        <v>66</v>
      </c>
      <c r="G26" s="38">
        <f>G25*2080/12</f>
        <v>5626.4000000000005</v>
      </c>
      <c r="H26" s="38">
        <f t="shared" ref="H26:T26" si="30">H25*2080/12</f>
        <v>5766.8</v>
      </c>
      <c r="I26" s="38">
        <f t="shared" si="30"/>
        <v>5910.666666666667</v>
      </c>
      <c r="J26" s="38">
        <f t="shared" si="30"/>
        <v>6061.4666666666662</v>
      </c>
      <c r="K26" s="38">
        <f t="shared" si="30"/>
        <v>6208.8</v>
      </c>
      <c r="L26" s="38">
        <f t="shared" si="30"/>
        <v>6368.2666666666664</v>
      </c>
      <c r="M26" s="85">
        <f t="shared" si="30"/>
        <v>6519.0666666666666</v>
      </c>
      <c r="N26" s="38">
        <f t="shared" si="30"/>
        <v>6687.2</v>
      </c>
      <c r="O26" s="85">
        <f t="shared" si="30"/>
        <v>6846.666666666667</v>
      </c>
      <c r="P26" s="38">
        <f t="shared" si="30"/>
        <v>7013.0666666666666</v>
      </c>
      <c r="Q26" s="127">
        <f t="shared" si="30"/>
        <v>7193.333333333333</v>
      </c>
      <c r="R26" s="38">
        <f t="shared" si="30"/>
        <v>7373.5999999999995</v>
      </c>
      <c r="S26" s="38">
        <f t="shared" si="30"/>
        <v>7555.6000000000013</v>
      </c>
      <c r="T26" s="44">
        <f t="shared" si="30"/>
        <v>7744.5333333333328</v>
      </c>
    </row>
    <row r="27" spans="1:25" s="13" customFormat="1">
      <c r="A27" s="180"/>
      <c r="B27" s="147"/>
      <c r="C27" s="156"/>
      <c r="D27" s="157"/>
      <c r="E27" s="159"/>
      <c r="F27" s="64" t="s">
        <v>94</v>
      </c>
      <c r="G27" s="76">
        <v>1877.96</v>
      </c>
      <c r="H27" s="76">
        <v>1894.9</v>
      </c>
      <c r="I27" s="76">
        <v>1912.1</v>
      </c>
      <c r="J27" s="76">
        <v>1930.27</v>
      </c>
      <c r="K27" s="76">
        <v>1948.03</v>
      </c>
      <c r="L27" s="76">
        <v>1967.23</v>
      </c>
      <c r="M27" s="85">
        <v>1985.4</v>
      </c>
      <c r="N27" s="76">
        <v>2005.63</v>
      </c>
      <c r="O27" s="85">
        <v>2024.83</v>
      </c>
      <c r="P27" s="76">
        <v>2044.85</v>
      </c>
      <c r="Q27" s="127">
        <v>2066.52</v>
      </c>
      <c r="R27" s="76">
        <v>2088.16</v>
      </c>
      <c r="S27" s="76">
        <v>2110.0500000000002</v>
      </c>
      <c r="T27" s="77">
        <v>2132.75</v>
      </c>
    </row>
    <row r="28" spans="1:25" s="13" customFormat="1">
      <c r="A28" s="180"/>
      <c r="B28" s="147"/>
      <c r="C28" s="156"/>
      <c r="D28" s="157"/>
      <c r="E28" s="159"/>
      <c r="F28" s="64" t="s">
        <v>95</v>
      </c>
      <c r="G28" s="76">
        <v>3580.35</v>
      </c>
      <c r="H28" s="76">
        <v>3597.29</v>
      </c>
      <c r="I28" s="76">
        <v>3614.5</v>
      </c>
      <c r="J28" s="76">
        <v>3632.67</v>
      </c>
      <c r="K28" s="76">
        <v>3650.43</v>
      </c>
      <c r="L28" s="76">
        <v>3669.63</v>
      </c>
      <c r="M28" s="85">
        <v>3687.8</v>
      </c>
      <c r="N28" s="76">
        <v>3708.02</v>
      </c>
      <c r="O28" s="85">
        <v>3727.22</v>
      </c>
      <c r="P28" s="76">
        <v>3747.25</v>
      </c>
      <c r="Q28" s="127">
        <v>3768.91</v>
      </c>
      <c r="R28" s="76">
        <v>3790.58</v>
      </c>
      <c r="S28" s="76">
        <v>3812.45</v>
      </c>
      <c r="T28" s="77">
        <v>3835.14</v>
      </c>
    </row>
    <row r="29" spans="1:25" s="13" customFormat="1">
      <c r="A29" s="180"/>
      <c r="B29" s="147"/>
      <c r="C29" s="156"/>
      <c r="D29" s="157"/>
      <c r="E29" s="159"/>
      <c r="F29" s="64" t="s">
        <v>62</v>
      </c>
      <c r="G29" s="85">
        <v>1770</v>
      </c>
      <c r="H29" s="85">
        <v>1770</v>
      </c>
      <c r="I29" s="85">
        <v>1770</v>
      </c>
      <c r="J29" s="85">
        <v>1770</v>
      </c>
      <c r="K29" s="85">
        <v>1770</v>
      </c>
      <c r="L29" s="85">
        <v>1770</v>
      </c>
      <c r="M29" s="85">
        <v>1770</v>
      </c>
      <c r="N29" s="85">
        <v>1770</v>
      </c>
      <c r="O29" s="85">
        <v>1770</v>
      </c>
      <c r="P29" s="85">
        <v>1770</v>
      </c>
      <c r="Q29" s="127">
        <v>1770</v>
      </c>
      <c r="R29" s="85">
        <v>1770</v>
      </c>
      <c r="S29" s="85">
        <v>1770</v>
      </c>
      <c r="T29" s="85">
        <v>1770</v>
      </c>
    </row>
    <row r="30" spans="1:25" s="13" customFormat="1">
      <c r="A30" s="180"/>
      <c r="B30" s="147"/>
      <c r="C30" s="156"/>
      <c r="D30" s="157"/>
      <c r="E30" s="159"/>
      <c r="F30" s="64" t="s">
        <v>106</v>
      </c>
      <c r="G30" s="38">
        <f>G26+G27+G29</f>
        <v>9274.36</v>
      </c>
      <c r="H30" s="38">
        <f t="shared" ref="H30" si="31">H26+H27+H29</f>
        <v>9431.7000000000007</v>
      </c>
      <c r="I30" s="38">
        <f t="shared" ref="I30" si="32">I26+I27+I29</f>
        <v>9592.7666666666664</v>
      </c>
      <c r="J30" s="38">
        <f t="shared" ref="J30" si="33">J26+J27+J29</f>
        <v>9761.7366666666658</v>
      </c>
      <c r="K30" s="38">
        <f t="shared" ref="K30" si="34">K26+K27+K29</f>
        <v>9926.83</v>
      </c>
      <c r="L30" s="38">
        <f t="shared" ref="L30" si="35">L26+L27+L29</f>
        <v>10105.496666666666</v>
      </c>
      <c r="M30" s="85">
        <f t="shared" ref="M30" si="36">M26+M27+M29</f>
        <v>10274.466666666667</v>
      </c>
      <c r="N30" s="38">
        <f t="shared" ref="N30" si="37">N26+N27+N29</f>
        <v>10462.83</v>
      </c>
      <c r="O30" s="85">
        <f t="shared" ref="O30" si="38">O26+O27+O29</f>
        <v>10641.496666666666</v>
      </c>
      <c r="P30" s="38">
        <f t="shared" ref="P30" si="39">P26+P27+P29</f>
        <v>10827.916666666666</v>
      </c>
      <c r="Q30" s="127">
        <f t="shared" ref="Q30" si="40">Q26+Q27+Q29</f>
        <v>11029.853333333333</v>
      </c>
      <c r="R30" s="38">
        <f t="shared" ref="R30" si="41">R26+R27+R29</f>
        <v>11231.759999999998</v>
      </c>
      <c r="S30" s="38">
        <f t="shared" ref="S30" si="42">S26+S27+S29</f>
        <v>11435.650000000001</v>
      </c>
      <c r="T30" s="44">
        <f t="shared" ref="T30" si="43">T26+T27+T29</f>
        <v>11647.283333333333</v>
      </c>
    </row>
    <row r="31" spans="1:25" s="13" customFormat="1" ht="15.75" thickBot="1">
      <c r="A31" s="181"/>
      <c r="B31" s="187"/>
      <c r="C31" s="189"/>
      <c r="D31" s="193"/>
      <c r="E31" s="201"/>
      <c r="F31" s="65" t="s">
        <v>107</v>
      </c>
      <c r="G31" s="45">
        <f>G26+G28+G29</f>
        <v>10976.75</v>
      </c>
      <c r="H31" s="45">
        <f t="shared" ref="H31:T31" si="44">H26+H28+H29</f>
        <v>11134.09</v>
      </c>
      <c r="I31" s="45">
        <f t="shared" si="44"/>
        <v>11295.166666666668</v>
      </c>
      <c r="J31" s="45">
        <f t="shared" si="44"/>
        <v>11464.136666666665</v>
      </c>
      <c r="K31" s="45">
        <f t="shared" si="44"/>
        <v>11629.23</v>
      </c>
      <c r="L31" s="45">
        <f t="shared" si="44"/>
        <v>11807.896666666667</v>
      </c>
      <c r="M31" s="45">
        <f t="shared" si="44"/>
        <v>11976.866666666667</v>
      </c>
      <c r="N31" s="45">
        <f t="shared" si="44"/>
        <v>12165.22</v>
      </c>
      <c r="O31" s="45">
        <f t="shared" si="44"/>
        <v>12343.886666666667</v>
      </c>
      <c r="P31" s="45">
        <f t="shared" si="44"/>
        <v>12530.316666666666</v>
      </c>
      <c r="Q31" s="128">
        <f t="shared" si="44"/>
        <v>12732.243333333332</v>
      </c>
      <c r="R31" s="45">
        <f t="shared" si="44"/>
        <v>12934.18</v>
      </c>
      <c r="S31" s="45">
        <f t="shared" si="44"/>
        <v>13138.050000000001</v>
      </c>
      <c r="T31" s="46">
        <f t="shared" si="44"/>
        <v>13349.673333333332</v>
      </c>
      <c r="W31" s="125"/>
      <c r="Y31" s="125"/>
    </row>
    <row r="32" spans="1:25" s="13" customFormat="1">
      <c r="A32" s="196" t="s">
        <v>25</v>
      </c>
      <c r="B32" s="155" t="s">
        <v>52</v>
      </c>
      <c r="C32" s="198" t="s">
        <v>26</v>
      </c>
      <c r="D32" s="165" t="s">
        <v>27</v>
      </c>
      <c r="E32" s="164" t="s">
        <v>51</v>
      </c>
      <c r="F32" s="67" t="s">
        <v>65</v>
      </c>
      <c r="G32" s="40">
        <v>44.71</v>
      </c>
      <c r="H32" s="40">
        <v>45.83</v>
      </c>
      <c r="I32" s="40">
        <v>46.98</v>
      </c>
      <c r="J32" s="40">
        <v>48.13</v>
      </c>
      <c r="K32" s="41">
        <v>49.33</v>
      </c>
      <c r="L32" s="41">
        <v>50.55</v>
      </c>
      <c r="M32" s="41">
        <v>51.8</v>
      </c>
      <c r="N32" s="41">
        <v>53.1</v>
      </c>
      <c r="O32" s="41">
        <v>54.1</v>
      </c>
      <c r="P32" s="41">
        <v>55.82</v>
      </c>
      <c r="Q32" s="130">
        <v>57.19</v>
      </c>
      <c r="R32" s="41">
        <v>58.64</v>
      </c>
      <c r="S32" s="41">
        <v>60.11</v>
      </c>
      <c r="T32" s="41">
        <v>61.61</v>
      </c>
      <c r="U32" s="13" t="s">
        <v>89</v>
      </c>
    </row>
    <row r="33" spans="1:22" s="13" customFormat="1">
      <c r="A33" s="151"/>
      <c r="B33" s="152"/>
      <c r="C33" s="161"/>
      <c r="D33" s="162"/>
      <c r="E33" s="164"/>
      <c r="F33" s="61" t="s">
        <v>66</v>
      </c>
      <c r="G33" s="35">
        <f>G32*2080/12</f>
        <v>7749.7333333333336</v>
      </c>
      <c r="H33" s="35">
        <f t="shared" ref="H33:T33" si="45">H32*2080/12</f>
        <v>7943.8666666666659</v>
      </c>
      <c r="I33" s="35">
        <f t="shared" si="45"/>
        <v>8143.2</v>
      </c>
      <c r="J33" s="35">
        <f t="shared" si="45"/>
        <v>8342.5333333333347</v>
      </c>
      <c r="K33" s="35">
        <f t="shared" si="45"/>
        <v>8550.5333333333328</v>
      </c>
      <c r="L33" s="35">
        <f t="shared" si="45"/>
        <v>8762</v>
      </c>
      <c r="M33" s="87">
        <f t="shared" si="45"/>
        <v>8978.6666666666661</v>
      </c>
      <c r="N33" s="35">
        <f t="shared" si="45"/>
        <v>9204</v>
      </c>
      <c r="O33" s="87">
        <f t="shared" si="45"/>
        <v>9377.3333333333339</v>
      </c>
      <c r="P33" s="35">
        <f t="shared" si="45"/>
        <v>9675.4666666666672</v>
      </c>
      <c r="Q33" s="127">
        <f t="shared" si="45"/>
        <v>9912.9333333333325</v>
      </c>
      <c r="R33" s="35">
        <f t="shared" si="45"/>
        <v>10164.266666666666</v>
      </c>
      <c r="S33" s="35">
        <f t="shared" si="45"/>
        <v>10419.066666666668</v>
      </c>
      <c r="T33" s="35">
        <f t="shared" si="45"/>
        <v>10679.066666666668</v>
      </c>
    </row>
    <row r="34" spans="1:22" s="13" customFormat="1">
      <c r="A34" s="151"/>
      <c r="B34" s="152"/>
      <c r="C34" s="161"/>
      <c r="D34" s="162"/>
      <c r="E34" s="164"/>
      <c r="F34" s="61" t="s">
        <v>94</v>
      </c>
      <c r="G34" s="78">
        <v>2133.36</v>
      </c>
      <c r="H34" s="78">
        <v>2156.8200000000002</v>
      </c>
      <c r="I34" s="78">
        <v>2180.7399999999998</v>
      </c>
      <c r="J34" s="78">
        <v>2204.8200000000002</v>
      </c>
      <c r="K34" s="78">
        <v>2229.77</v>
      </c>
      <c r="L34" s="78">
        <v>2255.2800000000002</v>
      </c>
      <c r="M34" s="87">
        <v>2281.2600000000002</v>
      </c>
      <c r="N34" s="78">
        <v>2308.42</v>
      </c>
      <c r="O34" s="87">
        <v>2329.2600000000002</v>
      </c>
      <c r="P34" s="78">
        <v>2365.19</v>
      </c>
      <c r="Q34" s="127">
        <v>2393.64</v>
      </c>
      <c r="R34" s="78">
        <v>2423.54</v>
      </c>
      <c r="S34" s="78">
        <v>2453.8000000000002</v>
      </c>
      <c r="T34" s="78">
        <v>2484.5300000000002</v>
      </c>
    </row>
    <row r="35" spans="1:22" s="13" customFormat="1">
      <c r="A35" s="151"/>
      <c r="B35" s="152"/>
      <c r="C35" s="161"/>
      <c r="D35" s="162"/>
      <c r="E35" s="164"/>
      <c r="F35" s="61" t="s">
        <v>95</v>
      </c>
      <c r="G35" s="78">
        <v>3835.76</v>
      </c>
      <c r="H35" s="78">
        <v>3859.21</v>
      </c>
      <c r="I35" s="78">
        <v>3883.14</v>
      </c>
      <c r="J35" s="78">
        <v>3907.21</v>
      </c>
      <c r="K35" s="78">
        <v>3932.16</v>
      </c>
      <c r="L35" s="78">
        <v>3957.67</v>
      </c>
      <c r="M35" s="87">
        <v>3983.66</v>
      </c>
      <c r="N35" s="78">
        <v>4010.81</v>
      </c>
      <c r="O35" s="87">
        <v>4031.65</v>
      </c>
      <c r="P35" s="78">
        <v>4067.58</v>
      </c>
      <c r="Q35" s="127">
        <v>4096.03</v>
      </c>
      <c r="R35" s="78">
        <v>4125.93</v>
      </c>
      <c r="S35" s="78">
        <v>4156.2</v>
      </c>
      <c r="T35" s="78">
        <v>4186.92</v>
      </c>
      <c r="V35" s="125"/>
    </row>
    <row r="36" spans="1:22" s="13" customFormat="1">
      <c r="A36" s="151"/>
      <c r="B36" s="152"/>
      <c r="C36" s="161"/>
      <c r="D36" s="162"/>
      <c r="E36" s="164"/>
      <c r="F36" s="61" t="s">
        <v>62</v>
      </c>
      <c r="G36" s="37">
        <v>1770</v>
      </c>
      <c r="H36" s="37">
        <v>1770</v>
      </c>
      <c r="I36" s="37">
        <v>1770</v>
      </c>
      <c r="J36" s="37">
        <v>1770</v>
      </c>
      <c r="K36" s="37">
        <v>1770</v>
      </c>
      <c r="L36" s="37">
        <v>1770</v>
      </c>
      <c r="M36" s="37">
        <v>1770</v>
      </c>
      <c r="N36" s="37">
        <v>1770</v>
      </c>
      <c r="O36" s="37">
        <v>1770</v>
      </c>
      <c r="P36" s="37">
        <v>1770</v>
      </c>
      <c r="Q36" s="127">
        <v>1770</v>
      </c>
      <c r="R36" s="37">
        <v>1770</v>
      </c>
      <c r="S36" s="37">
        <v>1770</v>
      </c>
      <c r="T36" s="37">
        <v>1770</v>
      </c>
    </row>
    <row r="37" spans="1:22" s="13" customFormat="1">
      <c r="A37" s="151"/>
      <c r="B37" s="152"/>
      <c r="C37" s="161"/>
      <c r="D37" s="162"/>
      <c r="E37" s="164"/>
      <c r="F37" s="61" t="s">
        <v>138</v>
      </c>
      <c r="G37" s="35">
        <f>G33+G34+G36</f>
        <v>11653.093333333334</v>
      </c>
      <c r="H37" s="87">
        <f t="shared" ref="H37:T37" si="46">H33+H34+H36</f>
        <v>11870.686666666666</v>
      </c>
      <c r="I37" s="87">
        <f t="shared" si="46"/>
        <v>12093.939999999999</v>
      </c>
      <c r="J37" s="87">
        <f t="shared" si="46"/>
        <v>12317.353333333334</v>
      </c>
      <c r="K37" s="87">
        <f t="shared" si="46"/>
        <v>12550.303333333333</v>
      </c>
      <c r="L37" s="87">
        <f t="shared" si="46"/>
        <v>12787.28</v>
      </c>
      <c r="M37" s="36">
        <f t="shared" si="46"/>
        <v>13029.926666666666</v>
      </c>
      <c r="N37" s="87">
        <f t="shared" si="46"/>
        <v>13282.42</v>
      </c>
      <c r="O37" s="87">
        <f t="shared" si="46"/>
        <v>13476.593333333334</v>
      </c>
      <c r="P37" s="87">
        <f t="shared" si="46"/>
        <v>13810.656666666668</v>
      </c>
      <c r="Q37" s="127">
        <f t="shared" si="46"/>
        <v>14076.573333333332</v>
      </c>
      <c r="R37" s="87">
        <f t="shared" si="46"/>
        <v>14357.806666666667</v>
      </c>
      <c r="S37" s="87">
        <f t="shared" si="46"/>
        <v>14642.866666666669</v>
      </c>
      <c r="T37" s="87">
        <f t="shared" si="46"/>
        <v>14933.596666666668</v>
      </c>
      <c r="V37" s="125"/>
    </row>
    <row r="38" spans="1:22" s="13" customFormat="1" ht="16.5" customHeight="1" thickBot="1">
      <c r="A38" s="197"/>
      <c r="B38" s="153"/>
      <c r="C38" s="199"/>
      <c r="D38" s="163"/>
      <c r="E38" s="164"/>
      <c r="F38" s="68" t="s">
        <v>107</v>
      </c>
      <c r="G38" s="37">
        <f>G33+G35+G36</f>
        <v>13355.493333333334</v>
      </c>
      <c r="H38" s="37">
        <f t="shared" ref="H38:T38" si="47">H33+H35+H36</f>
        <v>13573.076666666666</v>
      </c>
      <c r="I38" s="37">
        <f t="shared" si="47"/>
        <v>13796.34</v>
      </c>
      <c r="J38" s="37">
        <f t="shared" si="47"/>
        <v>14019.743333333336</v>
      </c>
      <c r="K38" s="37">
        <f t="shared" si="47"/>
        <v>14252.693333333333</v>
      </c>
      <c r="L38" s="37">
        <f t="shared" si="47"/>
        <v>14489.67</v>
      </c>
      <c r="M38" s="37">
        <f t="shared" si="47"/>
        <v>14732.326666666666</v>
      </c>
      <c r="N38" s="37">
        <f t="shared" si="47"/>
        <v>14984.81</v>
      </c>
      <c r="O38" s="37">
        <f t="shared" si="47"/>
        <v>15178.983333333334</v>
      </c>
      <c r="P38" s="37">
        <f t="shared" si="47"/>
        <v>15513.046666666667</v>
      </c>
      <c r="Q38" s="131">
        <f t="shared" si="47"/>
        <v>15778.963333333333</v>
      </c>
      <c r="R38" s="37">
        <f t="shared" si="47"/>
        <v>16060.196666666667</v>
      </c>
      <c r="S38" s="37">
        <f t="shared" si="47"/>
        <v>16345.266666666666</v>
      </c>
      <c r="T38" s="37">
        <f t="shared" si="47"/>
        <v>16635.986666666668</v>
      </c>
      <c r="V38" s="138"/>
    </row>
    <row r="39" spans="1:22" s="13" customFormat="1">
      <c r="A39" s="179" t="s">
        <v>93</v>
      </c>
      <c r="B39" s="186" t="s">
        <v>42</v>
      </c>
      <c r="C39" s="188" t="s">
        <v>28</v>
      </c>
      <c r="D39" s="192" t="s">
        <v>29</v>
      </c>
      <c r="E39" s="200" t="s">
        <v>50</v>
      </c>
      <c r="F39" s="63" t="s">
        <v>65</v>
      </c>
      <c r="G39" s="42">
        <v>32.46</v>
      </c>
      <c r="H39" s="42">
        <v>33.270000000000003</v>
      </c>
      <c r="I39" s="42">
        <v>34.1</v>
      </c>
      <c r="J39" s="42">
        <v>34.97</v>
      </c>
      <c r="K39" s="42">
        <v>35.82</v>
      </c>
      <c r="L39" s="42">
        <v>36.74</v>
      </c>
      <c r="M39" s="42">
        <v>37.61</v>
      </c>
      <c r="N39" s="129">
        <v>38.58</v>
      </c>
      <c r="O39" s="42">
        <v>39.5</v>
      </c>
      <c r="P39" s="129">
        <v>40.49</v>
      </c>
      <c r="Q39" s="42">
        <v>41.5</v>
      </c>
      <c r="R39" s="42">
        <v>42.54</v>
      </c>
      <c r="S39" s="42">
        <v>43.59</v>
      </c>
      <c r="T39" s="129">
        <v>44.68</v>
      </c>
      <c r="U39" s="13" t="s">
        <v>83</v>
      </c>
    </row>
    <row r="40" spans="1:22" s="13" customFormat="1">
      <c r="A40" s="180"/>
      <c r="B40" s="147"/>
      <c r="C40" s="156"/>
      <c r="D40" s="157"/>
      <c r="E40" s="159"/>
      <c r="F40" s="64" t="s">
        <v>66</v>
      </c>
      <c r="G40" s="38">
        <f>G39*2080/12</f>
        <v>5626.4000000000005</v>
      </c>
      <c r="H40" s="38">
        <f t="shared" ref="H40:T40" si="48">H39*2080/12</f>
        <v>5766.8</v>
      </c>
      <c r="I40" s="38">
        <f t="shared" si="48"/>
        <v>5910.666666666667</v>
      </c>
      <c r="J40" s="38">
        <f t="shared" si="48"/>
        <v>6061.4666666666662</v>
      </c>
      <c r="K40" s="38">
        <f t="shared" si="48"/>
        <v>6208.8</v>
      </c>
      <c r="L40" s="85">
        <f t="shared" si="48"/>
        <v>6368.2666666666664</v>
      </c>
      <c r="M40" s="38">
        <f t="shared" si="48"/>
        <v>6519.0666666666666</v>
      </c>
      <c r="N40" s="127">
        <f t="shared" si="48"/>
        <v>6687.2</v>
      </c>
      <c r="O40" s="38">
        <f t="shared" si="48"/>
        <v>6846.666666666667</v>
      </c>
      <c r="P40" s="127">
        <f t="shared" si="48"/>
        <v>7018.2666666666664</v>
      </c>
      <c r="Q40" s="38">
        <f t="shared" si="48"/>
        <v>7193.333333333333</v>
      </c>
      <c r="R40" s="85">
        <f t="shared" si="48"/>
        <v>7373.5999999999995</v>
      </c>
      <c r="S40" s="85">
        <f t="shared" si="48"/>
        <v>7555.6000000000013</v>
      </c>
      <c r="T40" s="127">
        <f t="shared" si="48"/>
        <v>7744.5333333333328</v>
      </c>
      <c r="U40" s="13" t="s">
        <v>139</v>
      </c>
    </row>
    <row r="41" spans="1:22" s="13" customFormat="1">
      <c r="A41" s="180"/>
      <c r="B41" s="147"/>
      <c r="C41" s="156"/>
      <c r="D41" s="157"/>
      <c r="E41" s="159"/>
      <c r="F41" s="64" t="s">
        <v>94</v>
      </c>
      <c r="G41" s="79">
        <v>1877.96</v>
      </c>
      <c r="H41" s="79">
        <v>1894.9</v>
      </c>
      <c r="I41" s="79">
        <v>1912.1</v>
      </c>
      <c r="J41" s="79">
        <v>1930.27</v>
      </c>
      <c r="K41" s="79">
        <v>1948.03</v>
      </c>
      <c r="L41" s="85">
        <v>1967.23</v>
      </c>
      <c r="M41" s="79">
        <v>1985.4</v>
      </c>
      <c r="N41" s="127">
        <v>2005.63</v>
      </c>
      <c r="O41" s="79">
        <v>2024.83</v>
      </c>
      <c r="P41" s="127">
        <v>2045.47</v>
      </c>
      <c r="Q41" s="79">
        <v>2066.52</v>
      </c>
      <c r="R41" s="85">
        <v>2088.1799999999998</v>
      </c>
      <c r="S41" s="85">
        <v>2110.0500000000002</v>
      </c>
      <c r="T41" s="127">
        <v>2132.75</v>
      </c>
      <c r="U41" s="13" t="s">
        <v>140</v>
      </c>
    </row>
    <row r="42" spans="1:22" s="13" customFormat="1">
      <c r="A42" s="180"/>
      <c r="B42" s="147"/>
      <c r="C42" s="156"/>
      <c r="D42" s="157"/>
      <c r="E42" s="159"/>
      <c r="F42" s="64" t="s">
        <v>95</v>
      </c>
      <c r="G42" s="79">
        <v>3580.35</v>
      </c>
      <c r="H42" s="79">
        <v>3597.29</v>
      </c>
      <c r="I42" s="79">
        <v>3614.5</v>
      </c>
      <c r="J42" s="79">
        <v>3632.67</v>
      </c>
      <c r="K42" s="79">
        <v>3650.43</v>
      </c>
      <c r="L42" s="85">
        <v>3669.63</v>
      </c>
      <c r="M42" s="79">
        <v>3687.8</v>
      </c>
      <c r="N42" s="127">
        <v>3708.02</v>
      </c>
      <c r="O42" s="79">
        <v>3727.22</v>
      </c>
      <c r="P42" s="127">
        <v>3747.86</v>
      </c>
      <c r="Q42" s="79">
        <v>3768.91</v>
      </c>
      <c r="R42" s="85">
        <v>3790.58</v>
      </c>
      <c r="S42" s="85">
        <v>3812.45</v>
      </c>
      <c r="T42" s="127">
        <v>3835.14</v>
      </c>
    </row>
    <row r="43" spans="1:22" s="13" customFormat="1">
      <c r="A43" s="180"/>
      <c r="B43" s="147"/>
      <c r="C43" s="156"/>
      <c r="D43" s="157"/>
      <c r="E43" s="159"/>
      <c r="F43" s="64" t="s">
        <v>62</v>
      </c>
      <c r="G43" s="85">
        <v>1770</v>
      </c>
      <c r="H43" s="85">
        <v>1770</v>
      </c>
      <c r="I43" s="85">
        <v>1770</v>
      </c>
      <c r="J43" s="85">
        <v>1770</v>
      </c>
      <c r="K43" s="85">
        <v>1770</v>
      </c>
      <c r="L43" s="85">
        <v>1770</v>
      </c>
      <c r="M43" s="85">
        <v>1770</v>
      </c>
      <c r="N43" s="127">
        <v>1770</v>
      </c>
      <c r="O43" s="85">
        <v>1770</v>
      </c>
      <c r="P43" s="127">
        <v>1770</v>
      </c>
      <c r="Q43" s="85">
        <v>1770</v>
      </c>
      <c r="R43" s="85">
        <v>1770</v>
      </c>
      <c r="S43" s="85">
        <v>1770</v>
      </c>
      <c r="T43" s="127">
        <v>1770</v>
      </c>
    </row>
    <row r="44" spans="1:22" s="13" customFormat="1">
      <c r="A44" s="180"/>
      <c r="B44" s="147"/>
      <c r="C44" s="156"/>
      <c r="D44" s="157"/>
      <c r="E44" s="159"/>
      <c r="F44" s="64" t="s">
        <v>106</v>
      </c>
      <c r="G44" s="38">
        <f>G40+G41+G43</f>
        <v>9274.36</v>
      </c>
      <c r="H44" s="38">
        <f t="shared" ref="H44" si="49">H40+H41+H43</f>
        <v>9431.7000000000007</v>
      </c>
      <c r="I44" s="38">
        <f t="shared" ref="I44" si="50">I40+I41+I43</f>
        <v>9592.7666666666664</v>
      </c>
      <c r="J44" s="38">
        <f t="shared" ref="J44" si="51">J40+J41+J43</f>
        <v>9761.7366666666658</v>
      </c>
      <c r="K44" s="38">
        <f t="shared" ref="K44" si="52">K40+K41+K43</f>
        <v>9926.83</v>
      </c>
      <c r="L44" s="85">
        <f t="shared" ref="L44" si="53">L40+L41+L43</f>
        <v>10105.496666666666</v>
      </c>
      <c r="M44" s="38">
        <f t="shared" ref="M44" si="54">M40+M41+M43</f>
        <v>10274.466666666667</v>
      </c>
      <c r="N44" s="127">
        <f t="shared" ref="N44" si="55">N40+N41+N43</f>
        <v>10462.83</v>
      </c>
      <c r="O44" s="38">
        <f t="shared" ref="O44" si="56">O40+O41+O43</f>
        <v>10641.496666666666</v>
      </c>
      <c r="P44" s="127">
        <f t="shared" ref="P44" si="57">P40+P41+P43</f>
        <v>10833.736666666666</v>
      </c>
      <c r="Q44" s="38">
        <f t="shared" ref="Q44" si="58">Q40+Q41+Q43</f>
        <v>11029.853333333333</v>
      </c>
      <c r="R44" s="85">
        <f t="shared" ref="R44" si="59">R40+R41+R43</f>
        <v>11231.779999999999</v>
      </c>
      <c r="S44" s="85">
        <f t="shared" ref="S44" si="60">S40+S41+S43</f>
        <v>11435.650000000001</v>
      </c>
      <c r="T44" s="127">
        <f t="shared" ref="T44" si="61">T40+T41+T43</f>
        <v>11647.283333333333</v>
      </c>
    </row>
    <row r="45" spans="1:22" s="13" customFormat="1" ht="15.75" thickBot="1">
      <c r="A45" s="181"/>
      <c r="B45" s="187"/>
      <c r="C45" s="189"/>
      <c r="D45" s="193"/>
      <c r="E45" s="201"/>
      <c r="F45" s="65" t="s">
        <v>107</v>
      </c>
      <c r="G45" s="45">
        <f t="shared" ref="G45:T45" si="62">G40+G42+G43</f>
        <v>10976.75</v>
      </c>
      <c r="H45" s="45">
        <f t="shared" si="62"/>
        <v>11134.09</v>
      </c>
      <c r="I45" s="45">
        <f t="shared" si="62"/>
        <v>11295.166666666668</v>
      </c>
      <c r="J45" s="45">
        <f t="shared" si="62"/>
        <v>11464.136666666665</v>
      </c>
      <c r="K45" s="45">
        <f t="shared" si="62"/>
        <v>11629.23</v>
      </c>
      <c r="L45" s="45">
        <f t="shared" si="62"/>
        <v>11807.896666666667</v>
      </c>
      <c r="M45" s="45">
        <f t="shared" si="62"/>
        <v>11976.866666666667</v>
      </c>
      <c r="N45" s="128">
        <f t="shared" si="62"/>
        <v>12165.22</v>
      </c>
      <c r="O45" s="45">
        <f t="shared" si="62"/>
        <v>12343.886666666667</v>
      </c>
      <c r="P45" s="128">
        <f t="shared" si="62"/>
        <v>12536.126666666667</v>
      </c>
      <c r="Q45" s="45">
        <f t="shared" si="62"/>
        <v>12732.243333333332</v>
      </c>
      <c r="R45" s="45">
        <f t="shared" si="62"/>
        <v>12934.18</v>
      </c>
      <c r="S45" s="45">
        <f t="shared" si="62"/>
        <v>13138.050000000001</v>
      </c>
      <c r="T45" s="128">
        <f t="shared" si="62"/>
        <v>13349.673333333332</v>
      </c>
    </row>
    <row r="46" spans="1:22" s="13" customFormat="1">
      <c r="A46" s="179" t="s">
        <v>59</v>
      </c>
      <c r="B46" s="173" t="s">
        <v>44</v>
      </c>
      <c r="C46" s="182" t="s">
        <v>28</v>
      </c>
      <c r="D46" s="175" t="s">
        <v>30</v>
      </c>
      <c r="E46" s="184" t="s">
        <v>53</v>
      </c>
      <c r="F46" s="60" t="s">
        <v>65</v>
      </c>
      <c r="G46" s="50">
        <v>29.43</v>
      </c>
      <c r="H46" s="129">
        <v>30.17</v>
      </c>
      <c r="I46" s="50">
        <v>30.92</v>
      </c>
      <c r="J46" s="50">
        <v>31.69</v>
      </c>
      <c r="K46" s="50">
        <v>32.46</v>
      </c>
      <c r="L46" s="50">
        <v>33.270000000000003</v>
      </c>
      <c r="M46" s="50">
        <v>34.1</v>
      </c>
      <c r="N46" s="50">
        <v>34.97</v>
      </c>
      <c r="O46" s="50">
        <v>35.82</v>
      </c>
      <c r="P46" s="50">
        <v>36.74</v>
      </c>
      <c r="Q46" s="50">
        <v>37.61</v>
      </c>
      <c r="R46" s="50">
        <v>38.58</v>
      </c>
      <c r="S46" s="50">
        <v>39.5</v>
      </c>
      <c r="T46" s="51">
        <v>40.49</v>
      </c>
      <c r="U46" s="13" t="s">
        <v>79</v>
      </c>
    </row>
    <row r="47" spans="1:22" s="13" customFormat="1">
      <c r="A47" s="180"/>
      <c r="B47" s="152"/>
      <c r="C47" s="161"/>
      <c r="D47" s="162"/>
      <c r="E47" s="164"/>
      <c r="F47" s="61" t="s">
        <v>66</v>
      </c>
      <c r="G47" s="87">
        <f>G46*2080/12</f>
        <v>5101.2</v>
      </c>
      <c r="H47" s="127">
        <f t="shared" ref="H47:T47" si="63">H46*2080/12</f>
        <v>5229.4666666666672</v>
      </c>
      <c r="I47" s="35">
        <f t="shared" si="63"/>
        <v>5359.4666666666672</v>
      </c>
      <c r="J47" s="35">
        <f t="shared" si="63"/>
        <v>5492.9333333333334</v>
      </c>
      <c r="K47" s="35">
        <f t="shared" si="63"/>
        <v>5626.4000000000005</v>
      </c>
      <c r="L47" s="35">
        <f t="shared" si="63"/>
        <v>5766.8</v>
      </c>
      <c r="M47" s="35">
        <f t="shared" si="63"/>
        <v>5910.666666666667</v>
      </c>
      <c r="N47" s="35">
        <f t="shared" si="63"/>
        <v>6061.4666666666662</v>
      </c>
      <c r="O47" s="35">
        <f t="shared" si="63"/>
        <v>6208.8</v>
      </c>
      <c r="P47" s="35">
        <f t="shared" si="63"/>
        <v>6368.2666666666664</v>
      </c>
      <c r="Q47" s="35">
        <f t="shared" si="63"/>
        <v>6519.0666666666666</v>
      </c>
      <c r="R47" s="35">
        <f t="shared" si="63"/>
        <v>6687.2</v>
      </c>
      <c r="S47" s="35">
        <f t="shared" si="63"/>
        <v>6846.666666666667</v>
      </c>
      <c r="T47" s="52">
        <f t="shared" si="63"/>
        <v>7018.2666666666664</v>
      </c>
      <c r="U47" s="13" t="s">
        <v>80</v>
      </c>
    </row>
    <row r="48" spans="1:22" s="13" customFormat="1">
      <c r="A48" s="180"/>
      <c r="B48" s="152"/>
      <c r="C48" s="161"/>
      <c r="D48" s="162"/>
      <c r="E48" s="164"/>
      <c r="F48" s="61" t="s">
        <v>94</v>
      </c>
      <c r="G48" s="87">
        <v>1814.81</v>
      </c>
      <c r="H48" s="127">
        <v>1830.17</v>
      </c>
      <c r="I48" s="80">
        <v>1845.87</v>
      </c>
      <c r="J48" s="80">
        <v>1861.84</v>
      </c>
      <c r="K48" s="80">
        <v>1877.96</v>
      </c>
      <c r="L48" s="80">
        <v>1894.9</v>
      </c>
      <c r="M48" s="80">
        <v>1912.1</v>
      </c>
      <c r="N48" s="80">
        <v>1930.27</v>
      </c>
      <c r="O48" s="80">
        <v>1948.03</v>
      </c>
      <c r="P48" s="80">
        <v>1967.23</v>
      </c>
      <c r="Q48" s="80">
        <v>1985.4</v>
      </c>
      <c r="R48" s="80">
        <v>2005.63</v>
      </c>
      <c r="S48" s="80">
        <v>2024.83</v>
      </c>
      <c r="T48" s="81">
        <v>2045.47</v>
      </c>
      <c r="U48" s="13" t="s">
        <v>84</v>
      </c>
    </row>
    <row r="49" spans="1:21" s="13" customFormat="1">
      <c r="A49" s="180"/>
      <c r="B49" s="152"/>
      <c r="C49" s="161"/>
      <c r="D49" s="162"/>
      <c r="E49" s="164"/>
      <c r="F49" s="61" t="s">
        <v>95</v>
      </c>
      <c r="G49" s="87">
        <v>3517.21</v>
      </c>
      <c r="H49" s="127">
        <v>3532.56</v>
      </c>
      <c r="I49" s="80">
        <v>3548.27</v>
      </c>
      <c r="J49" s="80">
        <v>3564.24</v>
      </c>
      <c r="K49" s="80">
        <v>3580.35</v>
      </c>
      <c r="L49" s="80">
        <v>3597.29</v>
      </c>
      <c r="M49" s="80">
        <v>3614.5</v>
      </c>
      <c r="N49" s="80">
        <v>3632.67</v>
      </c>
      <c r="O49" s="80">
        <v>3650.43</v>
      </c>
      <c r="P49" s="80">
        <v>3669.63</v>
      </c>
      <c r="Q49" s="80">
        <v>3687.8</v>
      </c>
      <c r="R49" s="80">
        <v>3708.02</v>
      </c>
      <c r="S49" s="80">
        <v>3727.22</v>
      </c>
      <c r="T49" s="81">
        <v>3747.86</v>
      </c>
      <c r="U49" s="13" t="s">
        <v>82</v>
      </c>
    </row>
    <row r="50" spans="1:21" s="13" customFormat="1">
      <c r="A50" s="180"/>
      <c r="B50" s="152"/>
      <c r="C50" s="161"/>
      <c r="D50" s="162"/>
      <c r="E50" s="164"/>
      <c r="F50" s="61" t="s">
        <v>62</v>
      </c>
      <c r="G50" s="37">
        <v>1770</v>
      </c>
      <c r="H50" s="131">
        <v>1770</v>
      </c>
      <c r="I50" s="37">
        <v>1770</v>
      </c>
      <c r="J50" s="37">
        <v>1770</v>
      </c>
      <c r="K50" s="37">
        <v>1770</v>
      </c>
      <c r="L50" s="37">
        <v>1770</v>
      </c>
      <c r="M50" s="37">
        <v>1770</v>
      </c>
      <c r="N50" s="37">
        <v>1770</v>
      </c>
      <c r="O50" s="37">
        <v>1770</v>
      </c>
      <c r="P50" s="37">
        <v>1770</v>
      </c>
      <c r="Q50" s="37">
        <v>1770</v>
      </c>
      <c r="R50" s="37">
        <v>1770</v>
      </c>
      <c r="S50" s="37">
        <v>1770</v>
      </c>
      <c r="T50" s="37">
        <v>1770</v>
      </c>
      <c r="U50" s="13" t="s">
        <v>78</v>
      </c>
    </row>
    <row r="51" spans="1:21" s="13" customFormat="1">
      <c r="A51" s="180"/>
      <c r="B51" s="152"/>
      <c r="C51" s="161"/>
      <c r="D51" s="162"/>
      <c r="E51" s="164"/>
      <c r="F51" s="61" t="s">
        <v>106</v>
      </c>
      <c r="G51" s="87">
        <f>G47+G48+G50</f>
        <v>8686.01</v>
      </c>
      <c r="H51" s="127">
        <f t="shared" ref="H51" si="64">H47+H48+H50</f>
        <v>8829.6366666666672</v>
      </c>
      <c r="I51" s="35">
        <f t="shared" ref="I51" si="65">I47+I48+I50</f>
        <v>8975.3366666666661</v>
      </c>
      <c r="J51" s="35">
        <f t="shared" ref="J51" si="66">J47+J48+J50</f>
        <v>9124.7733333333344</v>
      </c>
      <c r="K51" s="35">
        <f t="shared" ref="K51" si="67">K47+K48+K50</f>
        <v>9274.36</v>
      </c>
      <c r="L51" s="35">
        <f t="shared" ref="L51" si="68">L47+L48+L50</f>
        <v>9431.7000000000007</v>
      </c>
      <c r="M51" s="35">
        <f t="shared" ref="M51" si="69">M47+M48+M50</f>
        <v>9592.7666666666664</v>
      </c>
      <c r="N51" s="35">
        <f t="shared" ref="N51" si="70">N47+N48+N50</f>
        <v>9761.7366666666658</v>
      </c>
      <c r="O51" s="35">
        <f t="shared" ref="O51" si="71">O47+O48+O50</f>
        <v>9926.83</v>
      </c>
      <c r="P51" s="35">
        <f t="shared" ref="P51" si="72">P47+P48+P50</f>
        <v>10105.496666666666</v>
      </c>
      <c r="Q51" s="35">
        <f t="shared" ref="Q51" si="73">Q47+Q48+Q50</f>
        <v>10274.466666666667</v>
      </c>
      <c r="R51" s="35">
        <f t="shared" ref="R51" si="74">R47+R48+R50</f>
        <v>10462.83</v>
      </c>
      <c r="S51" s="35">
        <f t="shared" ref="S51" si="75">S47+S48+S50</f>
        <v>10641.496666666666</v>
      </c>
      <c r="T51" s="52">
        <f t="shared" ref="T51" si="76">T47+T48+T50</f>
        <v>10833.736666666666</v>
      </c>
      <c r="U51" s="13" t="s">
        <v>143</v>
      </c>
    </row>
    <row r="52" spans="1:21" s="13" customFormat="1" ht="15.75" thickBot="1">
      <c r="A52" s="181"/>
      <c r="B52" s="174"/>
      <c r="C52" s="183"/>
      <c r="D52" s="176"/>
      <c r="E52" s="185"/>
      <c r="F52" s="62" t="s">
        <v>107</v>
      </c>
      <c r="G52" s="54">
        <f t="shared" ref="G52:T52" si="77">G47+G49+G50</f>
        <v>10388.41</v>
      </c>
      <c r="H52" s="128">
        <f t="shared" si="77"/>
        <v>10532.026666666667</v>
      </c>
      <c r="I52" s="54">
        <f t="shared" si="77"/>
        <v>10677.736666666668</v>
      </c>
      <c r="J52" s="54">
        <f t="shared" si="77"/>
        <v>10827.173333333332</v>
      </c>
      <c r="K52" s="54">
        <f t="shared" si="77"/>
        <v>10976.75</v>
      </c>
      <c r="L52" s="54">
        <f t="shared" si="77"/>
        <v>11134.09</v>
      </c>
      <c r="M52" s="54">
        <f t="shared" si="77"/>
        <v>11295.166666666668</v>
      </c>
      <c r="N52" s="54">
        <f t="shared" si="77"/>
        <v>11464.136666666665</v>
      </c>
      <c r="O52" s="54">
        <f t="shared" si="77"/>
        <v>11629.23</v>
      </c>
      <c r="P52" s="54">
        <f t="shared" si="77"/>
        <v>11807.896666666667</v>
      </c>
      <c r="Q52" s="54">
        <f t="shared" si="77"/>
        <v>11976.866666666667</v>
      </c>
      <c r="R52" s="54">
        <f t="shared" si="77"/>
        <v>12165.22</v>
      </c>
      <c r="S52" s="54">
        <f t="shared" si="77"/>
        <v>12343.886666666667</v>
      </c>
      <c r="T52" s="55">
        <f t="shared" si="77"/>
        <v>12536.126666666667</v>
      </c>
    </row>
    <row r="53" spans="1:21" s="13" customFormat="1">
      <c r="A53" s="179" t="s">
        <v>60</v>
      </c>
      <c r="B53" s="186" t="s">
        <v>45</v>
      </c>
      <c r="C53" s="188" t="s">
        <v>28</v>
      </c>
      <c r="D53" s="192" t="s">
        <v>31</v>
      </c>
      <c r="E53" s="194" t="s">
        <v>54</v>
      </c>
      <c r="F53" s="63" t="s">
        <v>65</v>
      </c>
      <c r="G53" s="42">
        <v>25.41</v>
      </c>
      <c r="H53" s="42">
        <v>26.05</v>
      </c>
      <c r="I53" s="42">
        <v>26.7</v>
      </c>
      <c r="J53" s="42">
        <v>27.39</v>
      </c>
      <c r="K53" s="48">
        <v>28.04</v>
      </c>
      <c r="L53" s="48">
        <v>28.73</v>
      </c>
      <c r="M53" s="48">
        <v>29.43</v>
      </c>
      <c r="N53" s="48">
        <v>30.17</v>
      </c>
      <c r="O53" s="48">
        <v>30.92</v>
      </c>
      <c r="P53" s="48">
        <v>31.69</v>
      </c>
      <c r="Q53" s="48">
        <v>32.479999999999997</v>
      </c>
      <c r="R53" s="48">
        <v>33.28</v>
      </c>
      <c r="S53" s="48">
        <v>34.1</v>
      </c>
      <c r="T53" s="49">
        <v>34.950000000000003</v>
      </c>
    </row>
    <row r="54" spans="1:21" s="13" customFormat="1">
      <c r="A54" s="180"/>
      <c r="B54" s="147"/>
      <c r="C54" s="156"/>
      <c r="D54" s="157"/>
      <c r="E54" s="167"/>
      <c r="F54" s="64" t="s">
        <v>66</v>
      </c>
      <c r="G54" s="85">
        <f>G53*2080/12</f>
        <v>4404.4000000000005</v>
      </c>
      <c r="H54" s="38">
        <f t="shared" ref="H54:T54" si="78">H53*2080/12</f>
        <v>4515.333333333333</v>
      </c>
      <c r="I54" s="38">
        <f t="shared" si="78"/>
        <v>4628</v>
      </c>
      <c r="J54" s="85">
        <f t="shared" si="78"/>
        <v>4747.6000000000004</v>
      </c>
      <c r="K54" s="38">
        <f t="shared" si="78"/>
        <v>4860.2666666666664</v>
      </c>
      <c r="L54" s="85">
        <f t="shared" si="78"/>
        <v>4979.8666666666668</v>
      </c>
      <c r="M54" s="85">
        <f t="shared" si="78"/>
        <v>5101.2</v>
      </c>
      <c r="N54" s="38">
        <f t="shared" si="78"/>
        <v>5229.4666666666672</v>
      </c>
      <c r="O54" s="85">
        <f t="shared" si="78"/>
        <v>5359.4666666666672</v>
      </c>
      <c r="P54" s="38">
        <f t="shared" si="78"/>
        <v>5492.9333333333334</v>
      </c>
      <c r="Q54" s="38">
        <f t="shared" si="78"/>
        <v>5629.8666666666659</v>
      </c>
      <c r="R54" s="38">
        <f t="shared" si="78"/>
        <v>5768.5333333333338</v>
      </c>
      <c r="S54" s="38">
        <f t="shared" si="78"/>
        <v>5910.666666666667</v>
      </c>
      <c r="T54" s="44">
        <f t="shared" si="78"/>
        <v>6058</v>
      </c>
    </row>
    <row r="55" spans="1:21" s="13" customFormat="1">
      <c r="A55" s="180"/>
      <c r="B55" s="147"/>
      <c r="C55" s="156"/>
      <c r="D55" s="157"/>
      <c r="E55" s="167"/>
      <c r="F55" s="64" t="s">
        <v>94</v>
      </c>
      <c r="G55" s="85">
        <v>1730.88</v>
      </c>
      <c r="H55" s="82">
        <v>1744.33</v>
      </c>
      <c r="I55" s="82">
        <v>1757.83</v>
      </c>
      <c r="J55" s="85">
        <v>1772.16</v>
      </c>
      <c r="K55" s="82">
        <v>1785.81</v>
      </c>
      <c r="L55" s="85">
        <v>1800.14</v>
      </c>
      <c r="M55" s="85">
        <v>1814.81</v>
      </c>
      <c r="N55" s="82">
        <v>1830.17</v>
      </c>
      <c r="O55" s="85">
        <v>1845.87</v>
      </c>
      <c r="P55" s="82">
        <v>1861.84</v>
      </c>
      <c r="Q55" s="82">
        <v>1878.37</v>
      </c>
      <c r="R55" s="82">
        <v>1895.1</v>
      </c>
      <c r="S55" s="82">
        <v>1912.1</v>
      </c>
      <c r="T55" s="83">
        <v>1929.86</v>
      </c>
    </row>
    <row r="56" spans="1:21" s="13" customFormat="1">
      <c r="A56" s="180"/>
      <c r="B56" s="147"/>
      <c r="C56" s="156"/>
      <c r="D56" s="157"/>
      <c r="E56" s="167"/>
      <c r="F56" s="64" t="s">
        <v>95</v>
      </c>
      <c r="G56" s="85">
        <v>3433.28</v>
      </c>
      <c r="H56" s="82">
        <v>3446.72</v>
      </c>
      <c r="I56" s="82">
        <v>3460.23</v>
      </c>
      <c r="J56" s="85">
        <v>3474.55</v>
      </c>
      <c r="K56" s="82">
        <v>3488.2</v>
      </c>
      <c r="L56" s="85">
        <v>3502.53</v>
      </c>
      <c r="M56" s="85">
        <v>3517.21</v>
      </c>
      <c r="N56" s="82">
        <v>3532.56</v>
      </c>
      <c r="O56" s="85">
        <v>3548.27</v>
      </c>
      <c r="P56" s="82">
        <v>3564.24</v>
      </c>
      <c r="Q56" s="82">
        <v>3580.76</v>
      </c>
      <c r="R56" s="82">
        <v>3597.5</v>
      </c>
      <c r="S56" s="82">
        <v>3614.5</v>
      </c>
      <c r="T56" s="83">
        <v>3632.26</v>
      </c>
    </row>
    <row r="57" spans="1:21" s="13" customFormat="1">
      <c r="A57" s="180"/>
      <c r="B57" s="147"/>
      <c r="C57" s="156"/>
      <c r="D57" s="157"/>
      <c r="E57" s="167"/>
      <c r="F57" s="64" t="s">
        <v>62</v>
      </c>
      <c r="G57" s="85">
        <v>1770</v>
      </c>
      <c r="H57" s="85">
        <v>1770</v>
      </c>
      <c r="I57" s="85">
        <v>1770</v>
      </c>
      <c r="J57" s="85">
        <v>1770</v>
      </c>
      <c r="K57" s="85">
        <v>1770</v>
      </c>
      <c r="L57" s="85">
        <v>1770</v>
      </c>
      <c r="M57" s="85">
        <v>1770</v>
      </c>
      <c r="N57" s="85">
        <v>1770</v>
      </c>
      <c r="O57" s="85">
        <v>1770</v>
      </c>
      <c r="P57" s="85">
        <v>1770</v>
      </c>
      <c r="Q57" s="85">
        <v>1770</v>
      </c>
      <c r="R57" s="85">
        <v>1770</v>
      </c>
      <c r="S57" s="85">
        <v>1770</v>
      </c>
      <c r="T57" s="85">
        <v>1770</v>
      </c>
    </row>
    <row r="58" spans="1:21" s="13" customFormat="1">
      <c r="A58" s="180"/>
      <c r="B58" s="147"/>
      <c r="C58" s="156"/>
      <c r="D58" s="157"/>
      <c r="E58" s="167"/>
      <c r="F58" s="64" t="s">
        <v>106</v>
      </c>
      <c r="G58" s="85">
        <f>G54+G55+G57</f>
        <v>7905.2800000000007</v>
      </c>
      <c r="H58" s="38">
        <f t="shared" ref="H58" si="79">H54+H55+H57</f>
        <v>8029.663333333333</v>
      </c>
      <c r="I58" s="38">
        <f t="shared" ref="I58" si="80">I54+I55+I57</f>
        <v>8155.83</v>
      </c>
      <c r="J58" s="85">
        <f t="shared" ref="J58" si="81">J54+J55+J57</f>
        <v>8289.76</v>
      </c>
      <c r="K58" s="38">
        <f t="shared" ref="K58" si="82">K54+K55+K57</f>
        <v>8416.0766666666659</v>
      </c>
      <c r="L58" s="85">
        <f t="shared" ref="L58" si="83">L54+L55+L57</f>
        <v>8550.006666666668</v>
      </c>
      <c r="M58" s="85">
        <f t="shared" ref="M58" si="84">M54+M55+M57</f>
        <v>8686.01</v>
      </c>
      <c r="N58" s="38">
        <f t="shared" ref="N58" si="85">N54+N55+N57</f>
        <v>8829.6366666666672</v>
      </c>
      <c r="O58" s="85">
        <f t="shared" ref="O58" si="86">O54+O55+O57</f>
        <v>8975.3366666666661</v>
      </c>
      <c r="P58" s="38">
        <f t="shared" ref="P58" si="87">P54+P55+P57</f>
        <v>9124.7733333333344</v>
      </c>
      <c r="Q58" s="38">
        <f t="shared" ref="Q58" si="88">Q54+Q55+Q57</f>
        <v>9278.2366666666658</v>
      </c>
      <c r="R58" s="38">
        <f t="shared" ref="R58" si="89">R54+R55+R57</f>
        <v>9433.6333333333332</v>
      </c>
      <c r="S58" s="38">
        <f t="shared" ref="S58" si="90">S54+S55+S57</f>
        <v>9592.7666666666664</v>
      </c>
      <c r="T58" s="44">
        <f t="shared" ref="T58" si="91">T54+T55+T57</f>
        <v>9757.86</v>
      </c>
    </row>
    <row r="59" spans="1:21" s="13" customFormat="1" ht="15.75" thickBot="1">
      <c r="A59" s="181"/>
      <c r="B59" s="187"/>
      <c r="C59" s="189"/>
      <c r="D59" s="193"/>
      <c r="E59" s="195"/>
      <c r="F59" s="65" t="s">
        <v>107</v>
      </c>
      <c r="G59" s="45">
        <f t="shared" ref="G59:T59" si="92">G54+G56+G57</f>
        <v>9607.68</v>
      </c>
      <c r="H59" s="45">
        <f t="shared" si="92"/>
        <v>9732.0533333333333</v>
      </c>
      <c r="I59" s="45">
        <f t="shared" si="92"/>
        <v>9858.23</v>
      </c>
      <c r="J59" s="45">
        <f t="shared" si="92"/>
        <v>9992.1500000000015</v>
      </c>
      <c r="K59" s="45">
        <f t="shared" si="92"/>
        <v>10118.466666666667</v>
      </c>
      <c r="L59" s="45">
        <f t="shared" si="92"/>
        <v>10252.396666666667</v>
      </c>
      <c r="M59" s="45">
        <f t="shared" si="92"/>
        <v>10388.41</v>
      </c>
      <c r="N59" s="45">
        <f t="shared" si="92"/>
        <v>10532.026666666667</v>
      </c>
      <c r="O59" s="45">
        <f t="shared" si="92"/>
        <v>10677.736666666668</v>
      </c>
      <c r="P59" s="45">
        <f t="shared" si="92"/>
        <v>10827.173333333332</v>
      </c>
      <c r="Q59" s="45">
        <f t="shared" si="92"/>
        <v>10980.626666666667</v>
      </c>
      <c r="R59" s="45">
        <f t="shared" si="92"/>
        <v>11136.033333333333</v>
      </c>
      <c r="S59" s="45">
        <f t="shared" si="92"/>
        <v>11295.166666666668</v>
      </c>
      <c r="T59" s="46">
        <f t="shared" si="92"/>
        <v>11460.26</v>
      </c>
    </row>
    <row r="60" spans="1:21" s="13" customFormat="1">
      <c r="A60" s="179" t="s">
        <v>32</v>
      </c>
      <c r="B60" s="173" t="s">
        <v>46</v>
      </c>
      <c r="C60" s="182" t="s">
        <v>26</v>
      </c>
      <c r="D60" s="175" t="s">
        <v>33</v>
      </c>
      <c r="E60" s="184" t="s">
        <v>53</v>
      </c>
      <c r="F60" s="60" t="s">
        <v>65</v>
      </c>
      <c r="G60" s="50">
        <v>29.43</v>
      </c>
      <c r="H60" s="50">
        <v>30.17</v>
      </c>
      <c r="I60" s="50">
        <v>30.92</v>
      </c>
      <c r="J60" s="50">
        <v>31.69</v>
      </c>
      <c r="K60" s="50">
        <v>32.46</v>
      </c>
      <c r="L60" s="50">
        <v>33.270000000000003</v>
      </c>
      <c r="M60" s="50">
        <v>34.1</v>
      </c>
      <c r="N60" s="50">
        <v>34.97</v>
      </c>
      <c r="O60" s="50">
        <v>35.82</v>
      </c>
      <c r="P60" s="50">
        <v>36.74</v>
      </c>
      <c r="Q60" s="50">
        <v>37.61</v>
      </c>
      <c r="R60" s="50">
        <v>38.58</v>
      </c>
      <c r="S60" s="50">
        <v>39.5</v>
      </c>
      <c r="T60" s="129">
        <v>40.49</v>
      </c>
      <c r="U60" s="13" t="s">
        <v>88</v>
      </c>
    </row>
    <row r="61" spans="1:21" s="13" customFormat="1">
      <c r="A61" s="180"/>
      <c r="B61" s="152"/>
      <c r="C61" s="161"/>
      <c r="D61" s="162"/>
      <c r="E61" s="164"/>
      <c r="F61" s="61" t="s">
        <v>66</v>
      </c>
      <c r="G61" s="35">
        <f>G60*2080/12</f>
        <v>5101.2</v>
      </c>
      <c r="H61" s="35">
        <f t="shared" ref="H61:T61" si="93">H60*2080/12</f>
        <v>5229.4666666666672</v>
      </c>
      <c r="I61" s="35">
        <f t="shared" si="93"/>
        <v>5359.4666666666672</v>
      </c>
      <c r="J61" s="35">
        <f t="shared" si="93"/>
        <v>5492.9333333333334</v>
      </c>
      <c r="K61" s="35">
        <f t="shared" si="93"/>
        <v>5626.4000000000005</v>
      </c>
      <c r="L61" s="35">
        <f t="shared" si="93"/>
        <v>5766.8</v>
      </c>
      <c r="M61" s="35">
        <f t="shared" si="93"/>
        <v>5910.666666666667</v>
      </c>
      <c r="N61" s="35">
        <f t="shared" si="93"/>
        <v>6061.4666666666662</v>
      </c>
      <c r="O61" s="35">
        <f t="shared" si="93"/>
        <v>6208.8</v>
      </c>
      <c r="P61" s="35">
        <f t="shared" si="93"/>
        <v>6368.2666666666664</v>
      </c>
      <c r="Q61" s="87">
        <f t="shared" si="93"/>
        <v>6519.0666666666666</v>
      </c>
      <c r="R61" s="35">
        <f t="shared" si="93"/>
        <v>6687.2</v>
      </c>
      <c r="S61" s="87">
        <f t="shared" si="93"/>
        <v>6846.666666666667</v>
      </c>
      <c r="T61" s="127">
        <f t="shared" si="93"/>
        <v>7018.2666666666664</v>
      </c>
    </row>
    <row r="62" spans="1:21" s="13" customFormat="1">
      <c r="A62" s="180"/>
      <c r="B62" s="152"/>
      <c r="C62" s="161"/>
      <c r="D62" s="162"/>
      <c r="E62" s="164"/>
      <c r="F62" s="61" t="s">
        <v>94</v>
      </c>
      <c r="G62" s="84">
        <v>1814.81</v>
      </c>
      <c r="H62" s="84">
        <v>1830.17</v>
      </c>
      <c r="I62" s="84">
        <v>1845.87</v>
      </c>
      <c r="J62" s="84">
        <v>1861.84</v>
      </c>
      <c r="K62" s="84">
        <v>1877.96</v>
      </c>
      <c r="L62" s="84">
        <v>1894.9</v>
      </c>
      <c r="M62" s="84">
        <v>1912.1</v>
      </c>
      <c r="N62" s="84">
        <v>1930.27</v>
      </c>
      <c r="O62" s="84">
        <v>1984.03</v>
      </c>
      <c r="P62" s="84">
        <v>1967.23</v>
      </c>
      <c r="Q62" s="87">
        <v>1985.4</v>
      </c>
      <c r="R62" s="84">
        <v>2005.63</v>
      </c>
      <c r="S62" s="87">
        <v>2024.83</v>
      </c>
      <c r="T62" s="127">
        <v>2045.47</v>
      </c>
    </row>
    <row r="63" spans="1:21" s="13" customFormat="1">
      <c r="A63" s="180"/>
      <c r="B63" s="152"/>
      <c r="C63" s="161"/>
      <c r="D63" s="162"/>
      <c r="E63" s="164"/>
      <c r="F63" s="61" t="s">
        <v>95</v>
      </c>
      <c r="G63" s="84">
        <v>3517.21</v>
      </c>
      <c r="H63" s="84">
        <v>3532.56</v>
      </c>
      <c r="I63" s="84">
        <v>3548.27</v>
      </c>
      <c r="J63" s="84">
        <v>3564.24</v>
      </c>
      <c r="K63" s="84">
        <v>3580.35</v>
      </c>
      <c r="L63" s="84">
        <v>3597.29</v>
      </c>
      <c r="M63" s="84">
        <v>3614.5</v>
      </c>
      <c r="N63" s="84">
        <v>3632.67</v>
      </c>
      <c r="O63" s="84">
        <v>3650.43</v>
      </c>
      <c r="P63" s="84">
        <v>3669.63</v>
      </c>
      <c r="Q63" s="87">
        <v>3687.8</v>
      </c>
      <c r="R63" s="84">
        <v>3708.02</v>
      </c>
      <c r="S63" s="87">
        <v>3727.22</v>
      </c>
      <c r="T63" s="127">
        <v>3747.86</v>
      </c>
    </row>
    <row r="64" spans="1:21" s="13" customFormat="1">
      <c r="A64" s="180"/>
      <c r="B64" s="152"/>
      <c r="C64" s="161"/>
      <c r="D64" s="162"/>
      <c r="E64" s="164"/>
      <c r="F64" s="61" t="s">
        <v>62</v>
      </c>
      <c r="G64" s="37">
        <v>1770</v>
      </c>
      <c r="H64" s="37">
        <v>1770</v>
      </c>
      <c r="I64" s="37">
        <v>1770</v>
      </c>
      <c r="J64" s="37">
        <v>1770</v>
      </c>
      <c r="K64" s="37">
        <v>1770</v>
      </c>
      <c r="L64" s="37">
        <v>1770</v>
      </c>
      <c r="M64" s="37">
        <v>1770</v>
      </c>
      <c r="N64" s="37">
        <v>1770</v>
      </c>
      <c r="O64" s="37">
        <v>1770</v>
      </c>
      <c r="P64" s="37">
        <v>1770</v>
      </c>
      <c r="Q64" s="37">
        <v>1770</v>
      </c>
      <c r="R64" s="37">
        <v>1770</v>
      </c>
      <c r="S64" s="37">
        <v>1770</v>
      </c>
      <c r="T64" s="127">
        <v>1770</v>
      </c>
    </row>
    <row r="65" spans="1:21" s="13" customFormat="1">
      <c r="A65" s="180"/>
      <c r="B65" s="152"/>
      <c r="C65" s="161"/>
      <c r="D65" s="162"/>
      <c r="E65" s="164"/>
      <c r="F65" s="61" t="s">
        <v>106</v>
      </c>
      <c r="G65" s="35">
        <f>G61+G62+G64</f>
        <v>8686.01</v>
      </c>
      <c r="H65" s="35">
        <f t="shared" ref="H65:T65" si="94">H61+H62+H64</f>
        <v>8829.6366666666672</v>
      </c>
      <c r="I65" s="35">
        <f t="shared" si="94"/>
        <v>8975.3366666666661</v>
      </c>
      <c r="J65" s="35">
        <f t="shared" si="94"/>
        <v>9124.7733333333344</v>
      </c>
      <c r="K65" s="35">
        <f t="shared" si="94"/>
        <v>9274.36</v>
      </c>
      <c r="L65" s="35">
        <f t="shared" si="94"/>
        <v>9431.7000000000007</v>
      </c>
      <c r="M65" s="35">
        <f t="shared" si="94"/>
        <v>9592.7666666666664</v>
      </c>
      <c r="N65" s="35">
        <f t="shared" si="94"/>
        <v>9761.7366666666658</v>
      </c>
      <c r="O65" s="35">
        <f t="shared" si="94"/>
        <v>9962.83</v>
      </c>
      <c r="P65" s="35">
        <f t="shared" si="94"/>
        <v>10105.496666666666</v>
      </c>
      <c r="Q65" s="87">
        <f t="shared" si="94"/>
        <v>10274.466666666667</v>
      </c>
      <c r="R65" s="35">
        <f t="shared" si="94"/>
        <v>10462.83</v>
      </c>
      <c r="S65" s="87">
        <f t="shared" si="94"/>
        <v>10641.496666666666</v>
      </c>
      <c r="T65" s="127">
        <f t="shared" si="94"/>
        <v>10833.736666666666</v>
      </c>
    </row>
    <row r="66" spans="1:21" s="13" customFormat="1" ht="17.25" customHeight="1" thickBot="1">
      <c r="A66" s="181"/>
      <c r="B66" s="174"/>
      <c r="C66" s="183"/>
      <c r="D66" s="176"/>
      <c r="E66" s="185"/>
      <c r="F66" s="62" t="s">
        <v>107</v>
      </c>
      <c r="G66" s="54">
        <f>G61+G63+G64</f>
        <v>10388.41</v>
      </c>
      <c r="H66" s="54">
        <f t="shared" ref="H66:T66" si="95">H61+H63+H64</f>
        <v>10532.026666666667</v>
      </c>
      <c r="I66" s="54">
        <f t="shared" si="95"/>
        <v>10677.736666666668</v>
      </c>
      <c r="J66" s="54">
        <f t="shared" si="95"/>
        <v>10827.173333333332</v>
      </c>
      <c r="K66" s="54">
        <f t="shared" si="95"/>
        <v>10976.75</v>
      </c>
      <c r="L66" s="54">
        <f t="shared" si="95"/>
        <v>11134.09</v>
      </c>
      <c r="M66" s="54">
        <f t="shared" si="95"/>
        <v>11295.166666666668</v>
      </c>
      <c r="N66" s="54">
        <f t="shared" si="95"/>
        <v>11464.136666666665</v>
      </c>
      <c r="O66" s="54">
        <f t="shared" si="95"/>
        <v>11629.23</v>
      </c>
      <c r="P66" s="54">
        <f t="shared" si="95"/>
        <v>11807.896666666667</v>
      </c>
      <c r="Q66" s="54">
        <f t="shared" si="95"/>
        <v>11976.866666666667</v>
      </c>
      <c r="R66" s="54">
        <f t="shared" si="95"/>
        <v>12165.22</v>
      </c>
      <c r="S66" s="54">
        <f t="shared" si="95"/>
        <v>12343.886666666667</v>
      </c>
      <c r="T66" s="128">
        <f t="shared" si="95"/>
        <v>12536.126666666667</v>
      </c>
    </row>
    <row r="67" spans="1:21" s="13" customFormat="1" ht="15" customHeight="1">
      <c r="A67" s="170" t="s">
        <v>34</v>
      </c>
      <c r="B67" s="186" t="s">
        <v>47</v>
      </c>
      <c r="C67" s="188" t="s">
        <v>35</v>
      </c>
      <c r="D67" s="186">
        <v>149</v>
      </c>
      <c r="E67" s="190">
        <v>45</v>
      </c>
      <c r="F67" s="63" t="s">
        <v>65</v>
      </c>
      <c r="G67" s="42">
        <v>18.736699999999999</v>
      </c>
      <c r="H67" s="42">
        <v>19.2318</v>
      </c>
      <c r="I67" s="42">
        <v>19.740400000000001</v>
      </c>
      <c r="J67" s="42">
        <v>20.262899999999998</v>
      </c>
      <c r="K67" s="48">
        <v>20.7986</v>
      </c>
      <c r="L67" s="48">
        <v>21.3508</v>
      </c>
      <c r="M67" s="48">
        <v>21.916899999999998</v>
      </c>
      <c r="N67" s="48">
        <v>22.4984</v>
      </c>
      <c r="O67" s="48">
        <v>23.0959</v>
      </c>
      <c r="P67" s="48">
        <v>23.708300000000001</v>
      </c>
      <c r="Q67" s="48">
        <v>24.351800000000001</v>
      </c>
      <c r="R67" s="48">
        <v>25.011700000000001</v>
      </c>
      <c r="S67" s="48">
        <v>25.689499999999999</v>
      </c>
      <c r="T67" s="49">
        <v>26.3857</v>
      </c>
      <c r="U67" s="13" t="s">
        <v>174</v>
      </c>
    </row>
    <row r="68" spans="1:21" s="13" customFormat="1">
      <c r="A68" s="171"/>
      <c r="B68" s="147"/>
      <c r="C68" s="156"/>
      <c r="D68" s="147"/>
      <c r="E68" s="149"/>
      <c r="F68" s="64" t="s">
        <v>66</v>
      </c>
      <c r="G68" s="38">
        <f>G67*2080/12</f>
        <v>3247.6946666666663</v>
      </c>
      <c r="H68" s="38">
        <f t="shared" ref="H68:T68" si="96">H67*2080/12</f>
        <v>3333.5120000000002</v>
      </c>
      <c r="I68" s="38">
        <f t="shared" si="96"/>
        <v>3421.6693333333333</v>
      </c>
      <c r="J68" s="38">
        <f t="shared" si="96"/>
        <v>3512.2359999999994</v>
      </c>
      <c r="K68" s="38">
        <f t="shared" si="96"/>
        <v>3605.0906666666669</v>
      </c>
      <c r="L68" s="38">
        <f t="shared" si="96"/>
        <v>3700.8053333333332</v>
      </c>
      <c r="M68" s="85">
        <f t="shared" si="96"/>
        <v>3798.929333333333</v>
      </c>
      <c r="N68" s="38">
        <f t="shared" si="96"/>
        <v>3899.7226666666666</v>
      </c>
      <c r="O68" s="85">
        <f t="shared" si="96"/>
        <v>4003.2893333333336</v>
      </c>
      <c r="P68" s="38">
        <f t="shared" si="96"/>
        <v>4109.4386666666669</v>
      </c>
      <c r="Q68" s="85">
        <f t="shared" si="96"/>
        <v>4220.9786666666669</v>
      </c>
      <c r="R68" s="38">
        <f t="shared" si="96"/>
        <v>4335.3613333333333</v>
      </c>
      <c r="S68" s="38">
        <f t="shared" si="96"/>
        <v>4452.8466666666664</v>
      </c>
      <c r="T68" s="44">
        <f t="shared" si="96"/>
        <v>4573.5213333333331</v>
      </c>
    </row>
    <row r="69" spans="1:21" s="13" customFormat="1">
      <c r="A69" s="171"/>
      <c r="B69" s="147"/>
      <c r="C69" s="156"/>
      <c r="D69" s="147"/>
      <c r="E69" s="149"/>
      <c r="F69" s="64" t="s">
        <v>94</v>
      </c>
      <c r="G69" s="85">
        <v>1591.76</v>
      </c>
      <c r="H69" s="85">
        <v>1601.98</v>
      </c>
      <c r="I69" s="85">
        <v>1612.75</v>
      </c>
      <c r="J69" s="85">
        <v>1623.58</v>
      </c>
      <c r="K69" s="85">
        <v>1634.83</v>
      </c>
      <c r="L69" s="85">
        <v>1646.28</v>
      </c>
      <c r="M69" s="85">
        <v>1658.14</v>
      </c>
      <c r="N69" s="85">
        <v>1670.2</v>
      </c>
      <c r="O69" s="85">
        <v>1682.83</v>
      </c>
      <c r="P69" s="85">
        <v>1695.51</v>
      </c>
      <c r="Q69" s="85">
        <v>1708.81</v>
      </c>
      <c r="R69" s="85">
        <v>1722.66</v>
      </c>
      <c r="S69" s="85">
        <v>1736.87</v>
      </c>
      <c r="T69" s="86">
        <v>1751.32</v>
      </c>
    </row>
    <row r="70" spans="1:21" s="13" customFormat="1">
      <c r="A70" s="171"/>
      <c r="B70" s="147"/>
      <c r="C70" s="156"/>
      <c r="D70" s="147"/>
      <c r="E70" s="149"/>
      <c r="F70" s="64" t="s">
        <v>95</v>
      </c>
      <c r="G70" s="85">
        <v>3294.16</v>
      </c>
      <c r="H70" s="85">
        <v>3304.37</v>
      </c>
      <c r="I70" s="85">
        <v>3315.15</v>
      </c>
      <c r="J70" s="85">
        <v>3325.98</v>
      </c>
      <c r="K70" s="85">
        <v>3337.22</v>
      </c>
      <c r="L70" s="85">
        <v>3348.67</v>
      </c>
      <c r="M70" s="85">
        <v>3360.53</v>
      </c>
      <c r="N70" s="85">
        <v>3372.6</v>
      </c>
      <c r="O70" s="85">
        <v>3385.22</v>
      </c>
      <c r="P70" s="85">
        <v>3397.9</v>
      </c>
      <c r="Q70" s="85">
        <v>3411.2</v>
      </c>
      <c r="R70" s="85">
        <v>3425.06</v>
      </c>
      <c r="S70" s="85">
        <v>3439.18</v>
      </c>
      <c r="T70" s="86">
        <v>3453.71</v>
      </c>
    </row>
    <row r="71" spans="1:21" s="13" customFormat="1">
      <c r="A71" s="171"/>
      <c r="B71" s="147"/>
      <c r="C71" s="156"/>
      <c r="D71" s="147"/>
      <c r="E71" s="149"/>
      <c r="F71" s="64" t="s">
        <v>62</v>
      </c>
      <c r="G71" s="85">
        <v>1770</v>
      </c>
      <c r="H71" s="85">
        <v>1770</v>
      </c>
      <c r="I71" s="85">
        <v>1770</v>
      </c>
      <c r="J71" s="85">
        <v>1770</v>
      </c>
      <c r="K71" s="85">
        <v>1770</v>
      </c>
      <c r="L71" s="85">
        <v>1770</v>
      </c>
      <c r="M71" s="85">
        <v>1770</v>
      </c>
      <c r="N71" s="85">
        <v>1770</v>
      </c>
      <c r="O71" s="85">
        <v>1770</v>
      </c>
      <c r="P71" s="85">
        <v>1770</v>
      </c>
      <c r="Q71" s="85">
        <v>1770</v>
      </c>
      <c r="R71" s="85">
        <v>1770</v>
      </c>
      <c r="S71" s="85">
        <v>1770</v>
      </c>
      <c r="T71" s="85">
        <v>1770</v>
      </c>
    </row>
    <row r="72" spans="1:21" s="13" customFormat="1">
      <c r="A72" s="171"/>
      <c r="B72" s="147"/>
      <c r="C72" s="156"/>
      <c r="D72" s="147"/>
      <c r="E72" s="149"/>
      <c r="F72" s="64" t="s">
        <v>106</v>
      </c>
      <c r="G72" s="38">
        <f>G68+G69+G71</f>
        <v>6609.4546666666665</v>
      </c>
      <c r="H72" s="38">
        <f t="shared" ref="H72" si="97">H68+H69+H71</f>
        <v>6705.4920000000002</v>
      </c>
      <c r="I72" s="38">
        <f t="shared" ref="I72" si="98">I68+I69+I71</f>
        <v>6804.4193333333333</v>
      </c>
      <c r="J72" s="38">
        <f t="shared" ref="J72" si="99">J68+J69+J71</f>
        <v>6905.8159999999989</v>
      </c>
      <c r="K72" s="38">
        <f t="shared" ref="K72" si="100">K68+K69+K71</f>
        <v>7009.9206666666669</v>
      </c>
      <c r="L72" s="38">
        <f t="shared" ref="L72" si="101">L68+L69+L71</f>
        <v>7117.0853333333334</v>
      </c>
      <c r="M72" s="85">
        <f t="shared" ref="M72" si="102">M68+M69+M71</f>
        <v>7227.0693333333329</v>
      </c>
      <c r="N72" s="38">
        <f t="shared" ref="N72" si="103">N68+N69+N71</f>
        <v>7339.9226666666664</v>
      </c>
      <c r="O72" s="85">
        <f t="shared" ref="O72" si="104">O68+O69+O71</f>
        <v>7456.119333333334</v>
      </c>
      <c r="P72" s="38">
        <f t="shared" ref="P72" si="105">P68+P69+P71</f>
        <v>7574.9486666666671</v>
      </c>
      <c r="Q72" s="85">
        <f t="shared" ref="Q72" si="106">Q68+Q69+Q71</f>
        <v>7699.7886666666673</v>
      </c>
      <c r="R72" s="38">
        <f t="shared" ref="R72" si="107">R68+R69+R71</f>
        <v>7828.0213333333331</v>
      </c>
      <c r="S72" s="38">
        <f t="shared" ref="S72" si="108">S68+S69+S71</f>
        <v>7959.7166666666662</v>
      </c>
      <c r="T72" s="44">
        <f t="shared" ref="T72" si="109">T68+T69+T71</f>
        <v>8094.8413333333328</v>
      </c>
    </row>
    <row r="73" spans="1:21" s="13" customFormat="1" ht="15.75" thickBot="1">
      <c r="A73" s="172"/>
      <c r="B73" s="187"/>
      <c r="C73" s="189"/>
      <c r="D73" s="187"/>
      <c r="E73" s="191"/>
      <c r="F73" s="65" t="s">
        <v>107</v>
      </c>
      <c r="G73" s="45">
        <f t="shared" ref="G73:T73" si="110">G68+G70+G71</f>
        <v>8311.8546666666662</v>
      </c>
      <c r="H73" s="45">
        <f t="shared" si="110"/>
        <v>8407.8819999999996</v>
      </c>
      <c r="I73" s="45">
        <f t="shared" si="110"/>
        <v>8506.8193333333329</v>
      </c>
      <c r="J73" s="45">
        <f t="shared" si="110"/>
        <v>8608.2160000000003</v>
      </c>
      <c r="K73" s="45">
        <f t="shared" si="110"/>
        <v>8712.3106666666663</v>
      </c>
      <c r="L73" s="45">
        <f t="shared" si="110"/>
        <v>8819.4753333333338</v>
      </c>
      <c r="M73" s="45">
        <f t="shared" si="110"/>
        <v>8929.4593333333323</v>
      </c>
      <c r="N73" s="45">
        <f t="shared" si="110"/>
        <v>9042.3226666666669</v>
      </c>
      <c r="O73" s="45">
        <f t="shared" si="110"/>
        <v>9158.5093333333334</v>
      </c>
      <c r="P73" s="45">
        <f t="shared" si="110"/>
        <v>9277.3386666666665</v>
      </c>
      <c r="Q73" s="45">
        <f t="shared" si="110"/>
        <v>9402.1786666666667</v>
      </c>
      <c r="R73" s="45">
        <f t="shared" si="110"/>
        <v>9530.4213333333337</v>
      </c>
      <c r="S73" s="45">
        <f t="shared" si="110"/>
        <v>9662.0266666666666</v>
      </c>
      <c r="T73" s="46">
        <f t="shared" si="110"/>
        <v>9797.2313333333332</v>
      </c>
    </row>
    <row r="74" spans="1:21" s="13" customFormat="1" ht="15" customHeight="1">
      <c r="A74" s="170" t="s">
        <v>173</v>
      </c>
      <c r="B74" s="186"/>
      <c r="C74" s="188"/>
      <c r="D74" s="186"/>
      <c r="E74" s="190"/>
      <c r="F74" s="60" t="s">
        <v>65</v>
      </c>
      <c r="G74" s="50">
        <v>16.11</v>
      </c>
      <c r="H74" s="50">
        <f>G74*1.025</f>
        <v>16.512749999999997</v>
      </c>
      <c r="I74" s="50">
        <f t="shared" ref="I74:T74" si="111">H74*1.025</f>
        <v>16.925568749999996</v>
      </c>
      <c r="J74" s="50">
        <f t="shared" si="111"/>
        <v>17.348707968749995</v>
      </c>
      <c r="K74" s="50">
        <f t="shared" si="111"/>
        <v>17.782425667968742</v>
      </c>
      <c r="L74" s="50">
        <f t="shared" si="111"/>
        <v>18.226986309667957</v>
      </c>
      <c r="M74" s="50">
        <f t="shared" si="111"/>
        <v>18.682660967409653</v>
      </c>
      <c r="N74" s="50">
        <f t="shared" si="111"/>
        <v>19.149727491594891</v>
      </c>
      <c r="O74" s="50">
        <f t="shared" si="111"/>
        <v>19.628470678884764</v>
      </c>
      <c r="P74" s="50">
        <f t="shared" si="111"/>
        <v>20.119182445856882</v>
      </c>
      <c r="Q74" s="50">
        <f t="shared" si="111"/>
        <v>20.622162007003304</v>
      </c>
      <c r="R74" s="50">
        <f t="shared" si="111"/>
        <v>21.137716057178384</v>
      </c>
      <c r="S74" s="50">
        <f t="shared" si="111"/>
        <v>21.666158958607841</v>
      </c>
      <c r="T74" s="50">
        <f t="shared" si="111"/>
        <v>22.207812932573034</v>
      </c>
      <c r="U74" s="13" t="s">
        <v>182</v>
      </c>
    </row>
    <row r="75" spans="1:21" s="13" customFormat="1">
      <c r="A75" s="171"/>
      <c r="B75" s="147"/>
      <c r="C75" s="156"/>
      <c r="D75" s="147"/>
      <c r="E75" s="149"/>
      <c r="F75" s="61" t="s">
        <v>66</v>
      </c>
      <c r="G75" s="87">
        <f>G74*2080/12</f>
        <v>2792.3999999999996</v>
      </c>
      <c r="H75" s="87">
        <f t="shared" ref="H75:T75" si="112">H74*2080/12</f>
        <v>2862.2099999999996</v>
      </c>
      <c r="I75" s="87">
        <f t="shared" si="112"/>
        <v>2933.765249999999</v>
      </c>
      <c r="J75" s="87">
        <f t="shared" si="112"/>
        <v>3007.1093812499989</v>
      </c>
      <c r="K75" s="87">
        <f t="shared" si="112"/>
        <v>3082.2871157812483</v>
      </c>
      <c r="L75" s="87">
        <f t="shared" si="112"/>
        <v>3159.3442936757797</v>
      </c>
      <c r="M75" s="87">
        <f t="shared" si="112"/>
        <v>3238.3279010176734</v>
      </c>
      <c r="N75" s="87">
        <f t="shared" si="112"/>
        <v>3319.2860985431143</v>
      </c>
      <c r="O75" s="87">
        <f t="shared" si="112"/>
        <v>3402.268251006692</v>
      </c>
      <c r="P75" s="87">
        <f t="shared" si="112"/>
        <v>3487.32495728186</v>
      </c>
      <c r="Q75" s="87">
        <f t="shared" si="112"/>
        <v>3574.5080812139058</v>
      </c>
      <c r="R75" s="87">
        <f t="shared" si="112"/>
        <v>3663.8707832442528</v>
      </c>
      <c r="S75" s="87">
        <f t="shared" si="112"/>
        <v>3755.4675528253592</v>
      </c>
      <c r="T75" s="87">
        <f t="shared" si="112"/>
        <v>3849.3542416459927</v>
      </c>
    </row>
    <row r="76" spans="1:21" s="13" customFormat="1">
      <c r="A76" s="171"/>
      <c r="B76" s="147"/>
      <c r="C76" s="156"/>
      <c r="D76" s="147"/>
      <c r="E76" s="149"/>
      <c r="F76" s="61" t="s">
        <v>94</v>
      </c>
      <c r="G76" s="87">
        <v>1536.98</v>
      </c>
      <c r="H76" s="87">
        <v>1545.35</v>
      </c>
      <c r="I76" s="87">
        <v>1544.13</v>
      </c>
      <c r="J76" s="87">
        <v>1562.9</v>
      </c>
      <c r="K76" s="87">
        <v>1571.74</v>
      </c>
      <c r="L76" s="87">
        <v>1581.14</v>
      </c>
      <c r="M76" s="87">
        <v>1590.53</v>
      </c>
      <c r="N76" s="87">
        <v>1600.34</v>
      </c>
      <c r="O76" s="87">
        <v>1610.35</v>
      </c>
      <c r="P76" s="87">
        <v>1620.56</v>
      </c>
      <c r="Q76" s="87">
        <v>1630.98</v>
      </c>
      <c r="R76" s="87">
        <v>1641.82</v>
      </c>
      <c r="S76" s="87">
        <v>1653</v>
      </c>
      <c r="T76" s="87">
        <v>1664.24</v>
      </c>
    </row>
    <row r="77" spans="1:21" s="13" customFormat="1">
      <c r="A77" s="171"/>
      <c r="B77" s="147"/>
      <c r="C77" s="156"/>
      <c r="D77" s="147"/>
      <c r="E77" s="149"/>
      <c r="F77" s="61" t="s">
        <v>95</v>
      </c>
      <c r="G77" s="87">
        <v>3239.38</v>
      </c>
      <c r="H77" s="87">
        <v>3247.74</v>
      </c>
      <c r="I77" s="87">
        <v>3256.52</v>
      </c>
      <c r="J77" s="87">
        <v>3265.3</v>
      </c>
      <c r="K77" s="87">
        <v>3274.14</v>
      </c>
      <c r="L77" s="87">
        <v>3283.53</v>
      </c>
      <c r="M77" s="87">
        <v>3292.92</v>
      </c>
      <c r="N77" s="87">
        <v>3302.73</v>
      </c>
      <c r="O77" s="87">
        <v>3312.74</v>
      </c>
      <c r="P77" s="87">
        <v>3322.96</v>
      </c>
      <c r="Q77" s="87">
        <v>3333.38</v>
      </c>
      <c r="R77" s="87">
        <v>3344.21</v>
      </c>
      <c r="S77" s="87">
        <v>3355.39</v>
      </c>
      <c r="T77" s="87">
        <v>3366.64</v>
      </c>
    </row>
    <row r="78" spans="1:21" s="13" customFormat="1">
      <c r="A78" s="171"/>
      <c r="B78" s="147"/>
      <c r="C78" s="156"/>
      <c r="D78" s="147"/>
      <c r="E78" s="149"/>
      <c r="F78" s="61" t="s">
        <v>62</v>
      </c>
      <c r="G78" s="37">
        <v>1770</v>
      </c>
      <c r="H78" s="37">
        <v>1770</v>
      </c>
      <c r="I78" s="37">
        <v>1770</v>
      </c>
      <c r="J78" s="37">
        <v>1770</v>
      </c>
      <c r="K78" s="37">
        <v>1770</v>
      </c>
      <c r="L78" s="37">
        <v>1770</v>
      </c>
      <c r="M78" s="37">
        <v>1770</v>
      </c>
      <c r="N78" s="37">
        <v>1770</v>
      </c>
      <c r="O78" s="37">
        <v>1770</v>
      </c>
      <c r="P78" s="37">
        <v>1770</v>
      </c>
      <c r="Q78" s="37">
        <v>1770</v>
      </c>
      <c r="R78" s="37">
        <v>1770</v>
      </c>
      <c r="S78" s="37">
        <v>1770</v>
      </c>
      <c r="T78" s="37">
        <v>1770</v>
      </c>
    </row>
    <row r="79" spans="1:21" s="13" customFormat="1">
      <c r="A79" s="171"/>
      <c r="B79" s="147"/>
      <c r="C79" s="156"/>
      <c r="D79" s="147"/>
      <c r="E79" s="149"/>
      <c r="F79" s="61" t="s">
        <v>106</v>
      </c>
      <c r="G79" s="87">
        <f>G75+G76+G78</f>
        <v>6099.3799999999992</v>
      </c>
      <c r="H79" s="87">
        <f t="shared" ref="H79:T79" si="113">H75+H76+H78</f>
        <v>6177.5599999999995</v>
      </c>
      <c r="I79" s="87">
        <f t="shared" si="113"/>
        <v>6247.8952499999996</v>
      </c>
      <c r="J79" s="87">
        <f t="shared" si="113"/>
        <v>6340.009381249999</v>
      </c>
      <c r="K79" s="87">
        <f t="shared" si="113"/>
        <v>6424.0271157812485</v>
      </c>
      <c r="L79" s="87">
        <f t="shared" si="113"/>
        <v>6510.4842936757796</v>
      </c>
      <c r="M79" s="87">
        <f t="shared" si="113"/>
        <v>6598.8579010176736</v>
      </c>
      <c r="N79" s="87">
        <f t="shared" si="113"/>
        <v>6689.6260985431145</v>
      </c>
      <c r="O79" s="87">
        <f t="shared" si="113"/>
        <v>6782.6182510066919</v>
      </c>
      <c r="P79" s="87">
        <f t="shared" si="113"/>
        <v>6877.8849572818599</v>
      </c>
      <c r="Q79" s="87">
        <f t="shared" si="113"/>
        <v>6975.4880812139054</v>
      </c>
      <c r="R79" s="87">
        <f t="shared" si="113"/>
        <v>7075.690783244253</v>
      </c>
      <c r="S79" s="87">
        <f t="shared" si="113"/>
        <v>7178.4675528253592</v>
      </c>
      <c r="T79" s="87">
        <f t="shared" si="113"/>
        <v>7283.594241645993</v>
      </c>
    </row>
    <row r="80" spans="1:21" s="13" customFormat="1" ht="15.75" thickBot="1">
      <c r="A80" s="172"/>
      <c r="B80" s="187"/>
      <c r="C80" s="189"/>
      <c r="D80" s="187"/>
      <c r="E80" s="191"/>
      <c r="F80" s="62" t="s">
        <v>107</v>
      </c>
      <c r="G80" s="54">
        <f t="shared" ref="G80:T80" si="114">G75+G77+G78</f>
        <v>7801.78</v>
      </c>
      <c r="H80" s="54">
        <f t="shared" si="114"/>
        <v>7879.9499999999989</v>
      </c>
      <c r="I80" s="54">
        <f t="shared" si="114"/>
        <v>7960.285249999999</v>
      </c>
      <c r="J80" s="54">
        <f t="shared" si="114"/>
        <v>8042.4093812499996</v>
      </c>
      <c r="K80" s="54">
        <f t="shared" si="114"/>
        <v>8126.4271157812482</v>
      </c>
      <c r="L80" s="54">
        <f t="shared" si="114"/>
        <v>8212.8742936757808</v>
      </c>
      <c r="M80" s="54">
        <f t="shared" si="114"/>
        <v>8301.2479010176739</v>
      </c>
      <c r="N80" s="54">
        <f t="shared" si="114"/>
        <v>8392.0160985431139</v>
      </c>
      <c r="O80" s="54">
        <f t="shared" si="114"/>
        <v>8485.0082510066914</v>
      </c>
      <c r="P80" s="54">
        <f t="shared" si="114"/>
        <v>8580.2849572818595</v>
      </c>
      <c r="Q80" s="54">
        <f t="shared" si="114"/>
        <v>8677.8880812139068</v>
      </c>
      <c r="R80" s="54">
        <f t="shared" si="114"/>
        <v>8778.0807832442533</v>
      </c>
      <c r="S80" s="54">
        <f t="shared" si="114"/>
        <v>8880.8575528253587</v>
      </c>
      <c r="T80" s="54">
        <f t="shared" si="114"/>
        <v>8985.9942416459926</v>
      </c>
    </row>
    <row r="81" spans="1:20" s="13" customFormat="1" ht="15" customHeight="1">
      <c r="A81" s="170" t="s">
        <v>36</v>
      </c>
      <c r="B81" s="173" t="s">
        <v>48</v>
      </c>
      <c r="C81" s="175" t="s">
        <v>37</v>
      </c>
      <c r="D81" s="173" t="s">
        <v>38</v>
      </c>
      <c r="E81" s="177">
        <v>75</v>
      </c>
      <c r="F81" s="63" t="s">
        <v>65</v>
      </c>
      <c r="G81" s="42">
        <v>41.0852</v>
      </c>
      <c r="H81" s="42">
        <v>42.198300000000003</v>
      </c>
      <c r="I81" s="42">
        <v>43.330500000000001</v>
      </c>
      <c r="J81" s="42">
        <v>44.494300000000003</v>
      </c>
      <c r="K81" s="48">
        <v>45.589300000000001</v>
      </c>
      <c r="L81" s="48">
        <v>46.916400000000003</v>
      </c>
      <c r="M81" s="48">
        <v>48.177900000000001</v>
      </c>
      <c r="N81" s="48">
        <v>49.472200000000001</v>
      </c>
      <c r="O81" s="48">
        <v>50.812899999999999</v>
      </c>
      <c r="P81" s="48">
        <v>52.1798</v>
      </c>
      <c r="Q81" s="48">
        <v>53.5839</v>
      </c>
      <c r="R81" s="48">
        <v>55.025700000000001</v>
      </c>
      <c r="S81" s="48">
        <v>56.506999999999998</v>
      </c>
      <c r="T81" s="49">
        <v>58.028199999999998</v>
      </c>
    </row>
    <row r="82" spans="1:20" s="13" customFormat="1">
      <c r="A82" s="171"/>
      <c r="B82" s="152"/>
      <c r="C82" s="162"/>
      <c r="D82" s="152"/>
      <c r="E82" s="154"/>
      <c r="F82" s="64" t="s">
        <v>66</v>
      </c>
      <c r="G82" s="85">
        <f>G81*2080/12</f>
        <v>7121.434666666667</v>
      </c>
      <c r="H82" s="85">
        <f t="shared" ref="H82:T82" si="115">H81*2080/12</f>
        <v>7314.3720000000003</v>
      </c>
      <c r="I82" s="85">
        <f t="shared" si="115"/>
        <v>7510.62</v>
      </c>
      <c r="J82" s="85">
        <f t="shared" si="115"/>
        <v>7712.3453333333337</v>
      </c>
      <c r="K82" s="85">
        <f t="shared" si="115"/>
        <v>7902.1453333333338</v>
      </c>
      <c r="L82" s="85">
        <f t="shared" si="115"/>
        <v>8132.1760000000004</v>
      </c>
      <c r="M82" s="85">
        <f t="shared" si="115"/>
        <v>8350.8360000000011</v>
      </c>
      <c r="N82" s="85">
        <f t="shared" si="115"/>
        <v>8575.1813333333339</v>
      </c>
      <c r="O82" s="85">
        <f t="shared" si="115"/>
        <v>8807.5693333333329</v>
      </c>
      <c r="P82" s="85">
        <f t="shared" si="115"/>
        <v>9044.4986666666664</v>
      </c>
      <c r="Q82" s="85">
        <f t="shared" si="115"/>
        <v>9287.8760000000002</v>
      </c>
      <c r="R82" s="85">
        <f t="shared" si="115"/>
        <v>9537.7880000000005</v>
      </c>
      <c r="S82" s="85">
        <f t="shared" si="115"/>
        <v>9794.5466666666671</v>
      </c>
      <c r="T82" s="86">
        <f t="shared" si="115"/>
        <v>10058.221333333333</v>
      </c>
    </row>
    <row r="83" spans="1:20" s="13" customFormat="1">
      <c r="A83" s="171"/>
      <c r="B83" s="152"/>
      <c r="C83" s="162"/>
      <c r="D83" s="152"/>
      <c r="E83" s="154"/>
      <c r="F83" s="64" t="s">
        <v>94</v>
      </c>
      <c r="G83" s="85">
        <v>2057.9499999999998</v>
      </c>
      <c r="H83" s="85">
        <v>2081.0500000000002</v>
      </c>
      <c r="I83" s="85">
        <v>2104.71</v>
      </c>
      <c r="J83" s="85">
        <v>2128.84</v>
      </c>
      <c r="K83" s="85">
        <v>2151.7399999999998</v>
      </c>
      <c r="L83" s="85">
        <v>2179.5100000000002</v>
      </c>
      <c r="M83" s="85">
        <v>2205.84</v>
      </c>
      <c r="N83" s="85">
        <v>2232.65</v>
      </c>
      <c r="O83" s="85">
        <v>2260.62</v>
      </c>
      <c r="P83" s="85">
        <v>2289.2199999999998</v>
      </c>
      <c r="Q83" s="85">
        <v>2318.4299999999998</v>
      </c>
      <c r="R83" s="85">
        <v>2348.66</v>
      </c>
      <c r="S83" s="85">
        <v>2379.52</v>
      </c>
      <c r="T83" s="86">
        <v>2411.08</v>
      </c>
    </row>
    <row r="84" spans="1:20" s="13" customFormat="1">
      <c r="A84" s="171"/>
      <c r="B84" s="152"/>
      <c r="C84" s="162"/>
      <c r="D84" s="152"/>
      <c r="E84" s="154"/>
      <c r="F84" s="64" t="s">
        <v>95</v>
      </c>
      <c r="G84" s="85">
        <v>3760.34</v>
      </c>
      <c r="H84" s="85">
        <v>3783.44</v>
      </c>
      <c r="I84" s="85">
        <v>3807.1</v>
      </c>
      <c r="J84" s="85">
        <v>3831.24</v>
      </c>
      <c r="K84" s="85">
        <v>3854.13</v>
      </c>
      <c r="L84" s="85">
        <v>3881.9</v>
      </c>
      <c r="M84" s="85">
        <v>3908.24</v>
      </c>
      <c r="N84" s="85">
        <v>3935.04</v>
      </c>
      <c r="O84" s="85">
        <v>3963.02</v>
      </c>
      <c r="P84" s="85">
        <v>3991.61</v>
      </c>
      <c r="Q84" s="85">
        <v>4020.82</v>
      </c>
      <c r="R84" s="85">
        <v>4051.06</v>
      </c>
      <c r="S84" s="85">
        <v>4081.91</v>
      </c>
      <c r="T84" s="86">
        <v>4113.47</v>
      </c>
    </row>
    <row r="85" spans="1:20" s="13" customFormat="1">
      <c r="A85" s="171"/>
      <c r="B85" s="152"/>
      <c r="C85" s="162"/>
      <c r="D85" s="152"/>
      <c r="E85" s="154"/>
      <c r="F85" s="64" t="s">
        <v>62</v>
      </c>
      <c r="G85" s="85">
        <v>1770</v>
      </c>
      <c r="H85" s="85">
        <v>1770</v>
      </c>
      <c r="I85" s="85">
        <v>1770</v>
      </c>
      <c r="J85" s="85">
        <v>1770</v>
      </c>
      <c r="K85" s="85">
        <v>1770</v>
      </c>
      <c r="L85" s="85">
        <v>1770</v>
      </c>
      <c r="M85" s="85">
        <v>1770</v>
      </c>
      <c r="N85" s="85">
        <v>1770</v>
      </c>
      <c r="O85" s="85">
        <v>1770</v>
      </c>
      <c r="P85" s="85">
        <v>1770</v>
      </c>
      <c r="Q85" s="85">
        <v>1770</v>
      </c>
      <c r="R85" s="85">
        <v>1770</v>
      </c>
      <c r="S85" s="85">
        <v>1770</v>
      </c>
      <c r="T85" s="85">
        <v>1770</v>
      </c>
    </row>
    <row r="86" spans="1:20" s="13" customFormat="1">
      <c r="A86" s="171"/>
      <c r="B86" s="152"/>
      <c r="C86" s="162"/>
      <c r="D86" s="152"/>
      <c r="E86" s="154"/>
      <c r="F86" s="64" t="s">
        <v>106</v>
      </c>
      <c r="G86" s="85">
        <f>G82+G83+G85</f>
        <v>10949.384666666667</v>
      </c>
      <c r="H86" s="85">
        <f t="shared" ref="H86" si="116">H82+H83+H85</f>
        <v>11165.422</v>
      </c>
      <c r="I86" s="85">
        <f t="shared" ref="I86" si="117">I82+I83+I85</f>
        <v>11385.33</v>
      </c>
      <c r="J86" s="85">
        <f t="shared" ref="J86" si="118">J82+J83+J85</f>
        <v>11611.185333333335</v>
      </c>
      <c r="K86" s="85">
        <f t="shared" ref="K86" si="119">K82+K83+K85</f>
        <v>11823.885333333334</v>
      </c>
      <c r="L86" s="85">
        <f t="shared" ref="L86" si="120">L82+L83+L85</f>
        <v>12081.686000000002</v>
      </c>
      <c r="M86" s="85">
        <f t="shared" ref="M86" si="121">M82+M83+M85</f>
        <v>12326.676000000001</v>
      </c>
      <c r="N86" s="85">
        <f t="shared" ref="N86" si="122">N82+N83+N85</f>
        <v>12577.831333333334</v>
      </c>
      <c r="O86" s="85">
        <f t="shared" ref="O86" si="123">O82+O83+O85</f>
        <v>12838.189333333332</v>
      </c>
      <c r="P86" s="85">
        <f t="shared" ref="P86" si="124">P82+P83+P85</f>
        <v>13103.718666666666</v>
      </c>
      <c r="Q86" s="85">
        <f t="shared" ref="Q86" si="125">Q82+Q83+Q85</f>
        <v>13376.306</v>
      </c>
      <c r="R86" s="85">
        <f t="shared" ref="R86" si="126">R82+R83+R85</f>
        <v>13656.448</v>
      </c>
      <c r="S86" s="85">
        <f t="shared" ref="S86" si="127">S82+S83+S85</f>
        <v>13944.066666666668</v>
      </c>
      <c r="T86" s="86">
        <f t="shared" ref="T86" si="128">T82+T83+T85</f>
        <v>14239.301333333333</v>
      </c>
    </row>
    <row r="87" spans="1:20" s="13" customFormat="1" ht="15.75" thickBot="1">
      <c r="A87" s="172"/>
      <c r="B87" s="174"/>
      <c r="C87" s="176"/>
      <c r="D87" s="174"/>
      <c r="E87" s="178"/>
      <c r="F87" s="65" t="s">
        <v>107</v>
      </c>
      <c r="G87" s="45">
        <f t="shared" ref="G87:T87" si="129">G82+G84+G85</f>
        <v>12651.774666666668</v>
      </c>
      <c r="H87" s="45">
        <f t="shared" si="129"/>
        <v>12867.812</v>
      </c>
      <c r="I87" s="45">
        <f t="shared" si="129"/>
        <v>13087.72</v>
      </c>
      <c r="J87" s="45">
        <f t="shared" si="129"/>
        <v>13313.585333333333</v>
      </c>
      <c r="K87" s="45">
        <f t="shared" si="129"/>
        <v>13526.275333333335</v>
      </c>
      <c r="L87" s="45">
        <f t="shared" si="129"/>
        <v>13784.076000000001</v>
      </c>
      <c r="M87" s="45">
        <f t="shared" si="129"/>
        <v>14029.076000000001</v>
      </c>
      <c r="N87" s="45">
        <f t="shared" si="129"/>
        <v>14280.221333333335</v>
      </c>
      <c r="O87" s="45">
        <f t="shared" si="129"/>
        <v>14540.589333333333</v>
      </c>
      <c r="P87" s="45">
        <f t="shared" si="129"/>
        <v>14806.108666666667</v>
      </c>
      <c r="Q87" s="45">
        <f t="shared" si="129"/>
        <v>15078.696</v>
      </c>
      <c r="R87" s="45">
        <f t="shared" si="129"/>
        <v>15358.848</v>
      </c>
      <c r="S87" s="45">
        <f t="shared" si="129"/>
        <v>15646.456666666667</v>
      </c>
      <c r="T87" s="46">
        <f t="shared" si="129"/>
        <v>15941.691333333332</v>
      </c>
    </row>
  </sheetData>
  <mergeCells count="61">
    <mergeCell ref="A74:A80"/>
    <mergeCell ref="B74:B80"/>
    <mergeCell ref="C74:C80"/>
    <mergeCell ref="D74:D80"/>
    <mergeCell ref="E74:E80"/>
    <mergeCell ref="A11:A17"/>
    <mergeCell ref="B11:B17"/>
    <mergeCell ref="C11:C17"/>
    <mergeCell ref="D11:D17"/>
    <mergeCell ref="E11:E17"/>
    <mergeCell ref="G9:G10"/>
    <mergeCell ref="A4:A10"/>
    <mergeCell ref="B4:B10"/>
    <mergeCell ref="C4:C10"/>
    <mergeCell ref="D4:D10"/>
    <mergeCell ref="E4:E10"/>
    <mergeCell ref="A25:A31"/>
    <mergeCell ref="B25:B31"/>
    <mergeCell ref="C25:C31"/>
    <mergeCell ref="D25:D31"/>
    <mergeCell ref="E25:E31"/>
    <mergeCell ref="A18:A24"/>
    <mergeCell ref="B18:B24"/>
    <mergeCell ref="C18:C24"/>
    <mergeCell ref="D18:D24"/>
    <mergeCell ref="E18:E24"/>
    <mergeCell ref="A39:A45"/>
    <mergeCell ref="B39:B45"/>
    <mergeCell ref="C39:C45"/>
    <mergeCell ref="D39:D45"/>
    <mergeCell ref="E39:E45"/>
    <mergeCell ref="A32:A38"/>
    <mergeCell ref="B32:B38"/>
    <mergeCell ref="C32:C38"/>
    <mergeCell ref="D32:D38"/>
    <mergeCell ref="E32:E38"/>
    <mergeCell ref="A53:A59"/>
    <mergeCell ref="B53:B59"/>
    <mergeCell ref="C53:C59"/>
    <mergeCell ref="D53:D59"/>
    <mergeCell ref="E53:E59"/>
    <mergeCell ref="A46:A52"/>
    <mergeCell ref="B46:B52"/>
    <mergeCell ref="C46:C52"/>
    <mergeCell ref="D46:D52"/>
    <mergeCell ref="E46:E52"/>
    <mergeCell ref="A67:A73"/>
    <mergeCell ref="B67:B73"/>
    <mergeCell ref="C67:C73"/>
    <mergeCell ref="D67:D73"/>
    <mergeCell ref="E67:E73"/>
    <mergeCell ref="A60:A66"/>
    <mergeCell ref="B60:B66"/>
    <mergeCell ref="C60:C66"/>
    <mergeCell ref="D60:D66"/>
    <mergeCell ref="E60:E66"/>
    <mergeCell ref="A81:A87"/>
    <mergeCell ref="B81:B87"/>
    <mergeCell ref="C81:C87"/>
    <mergeCell ref="D81:D87"/>
    <mergeCell ref="E81:E87"/>
  </mergeCells>
  <pageMargins left="0.25" right="0.25" top="0.75" bottom="0.75" header="0.3" footer="0.3"/>
  <pageSetup paperSize="5" scale="98" fitToHeight="0"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J19"/>
  <sheetViews>
    <sheetView showGridLines="0" zoomScale="90" zoomScaleNormal="90" workbookViewId="0">
      <selection activeCell="C42" sqref="C42"/>
    </sheetView>
  </sheetViews>
  <sheetFormatPr defaultRowHeight="15"/>
  <cols>
    <col min="1" max="1" width="2.140625" customWidth="1"/>
    <col min="2" max="2" width="24.7109375" customWidth="1"/>
    <col min="3" max="3" width="19.5703125" customWidth="1"/>
    <col min="4" max="4" width="15.85546875" customWidth="1"/>
    <col min="5" max="5" width="11.7109375" customWidth="1"/>
    <col min="6" max="6" width="12.7109375" customWidth="1"/>
    <col min="7" max="7" width="15" bestFit="1" customWidth="1"/>
    <col min="8" max="8" width="9.42578125" style="21" customWidth="1"/>
    <col min="9" max="9" width="15.42578125" customWidth="1"/>
  </cols>
  <sheetData>
    <row r="1" spans="2:10">
      <c r="B1" s="17" t="s">
        <v>76</v>
      </c>
      <c r="C1" s="15"/>
      <c r="D1" s="15"/>
      <c r="E1" s="15"/>
      <c r="F1" s="15"/>
      <c r="G1" s="15"/>
      <c r="H1" s="24"/>
      <c r="I1" s="15"/>
      <c r="J1" s="23"/>
    </row>
    <row r="2" spans="2:10">
      <c r="B2" s="17" t="s">
        <v>105</v>
      </c>
      <c r="C2" s="15"/>
      <c r="D2" s="15"/>
      <c r="E2" s="15"/>
      <c r="F2" s="15"/>
      <c r="G2" s="15"/>
      <c r="H2" s="24"/>
      <c r="I2" s="15"/>
    </row>
    <row r="4" spans="2:10" s="16" customFormat="1" ht="31.5" customHeight="1">
      <c r="B4" s="18" t="s">
        <v>67</v>
      </c>
      <c r="C4" s="18" t="s">
        <v>68</v>
      </c>
      <c r="D4" s="18" t="s">
        <v>69</v>
      </c>
      <c r="E4" s="29" t="s">
        <v>70</v>
      </c>
      <c r="F4" s="18" t="s">
        <v>96</v>
      </c>
      <c r="G4" s="18" t="s">
        <v>97</v>
      </c>
      <c r="H4" s="31" t="s">
        <v>91</v>
      </c>
      <c r="I4" s="18" t="s">
        <v>71</v>
      </c>
    </row>
    <row r="5" spans="2:10" ht="24" hidden="1" customHeight="1">
      <c r="B5" s="33" t="s">
        <v>45</v>
      </c>
      <c r="C5" s="34" t="s">
        <v>81</v>
      </c>
      <c r="D5" s="20">
        <v>42219</v>
      </c>
      <c r="E5" s="19" t="s">
        <v>72</v>
      </c>
      <c r="F5" s="27">
        <f>'Exhibit A Table 2 Salary Sched'!J$54+'Exhibit A Table 2 Salary Sched'!J$55+'Exhibit A Table 2 Salary Sched'!J$57</f>
        <v>8289.76</v>
      </c>
      <c r="G5" s="27">
        <f>'Exhibit A Table 2 Salary Sched'!J$54+'Exhibit A Table 2 Salary Sched'!J$56+'Exhibit A Table 2 Salary Sched'!J$57</f>
        <v>9992.1500000000015</v>
      </c>
      <c r="H5" s="22">
        <v>4</v>
      </c>
      <c r="I5" s="19" t="s">
        <v>98</v>
      </c>
    </row>
    <row r="6" spans="2:10" ht="24" hidden="1" customHeight="1">
      <c r="B6" s="33" t="s">
        <v>45</v>
      </c>
      <c r="C6" s="34" t="s">
        <v>84</v>
      </c>
      <c r="D6" s="20">
        <v>42219</v>
      </c>
      <c r="E6" s="19" t="s">
        <v>72</v>
      </c>
      <c r="F6" s="27">
        <f>'Exhibit A Table 2 Salary Sched'!J$54+'Exhibit A Table 2 Salary Sched'!J$55+'Exhibit A Table 2 Salary Sched'!J$57</f>
        <v>8289.76</v>
      </c>
      <c r="G6" s="27">
        <f>'Exhibit A Table 2 Salary Sched'!J$54+'Exhibit A Table 2 Salary Sched'!J$56+'Exhibit A Table 2 Salary Sched'!J$57</f>
        <v>9992.1500000000015</v>
      </c>
      <c r="H6" s="22">
        <v>4</v>
      </c>
      <c r="I6" s="19" t="s">
        <v>98</v>
      </c>
    </row>
    <row r="7" spans="2:10" ht="24" hidden="1" customHeight="1">
      <c r="B7" s="33" t="s">
        <v>45</v>
      </c>
      <c r="C7" s="34" t="s">
        <v>82</v>
      </c>
      <c r="D7" s="20">
        <v>42219</v>
      </c>
      <c r="E7" s="19" t="s">
        <v>72</v>
      </c>
      <c r="F7" s="27">
        <f>'Exhibit A Table 2 Salary Sched'!J$54+'Exhibit A Table 2 Salary Sched'!J$55+'Exhibit A Table 2 Salary Sched'!J$57</f>
        <v>8289.76</v>
      </c>
      <c r="G7" s="27">
        <f>'Exhibit A Table 2 Salary Sched'!J$54+'Exhibit A Table 2 Salary Sched'!J$56+'Exhibit A Table 2 Salary Sched'!J$57</f>
        <v>9992.1500000000015</v>
      </c>
      <c r="H7" s="22">
        <v>4</v>
      </c>
      <c r="I7" s="19" t="s">
        <v>98</v>
      </c>
    </row>
    <row r="8" spans="2:10" ht="24" customHeight="1">
      <c r="B8" s="33" t="s">
        <v>45</v>
      </c>
      <c r="C8" s="34" t="s">
        <v>79</v>
      </c>
      <c r="D8" s="20">
        <v>42278</v>
      </c>
      <c r="E8" s="19" t="s">
        <v>72</v>
      </c>
      <c r="F8" s="27">
        <f>'Exhibit A Table 2 Salary Sched'!$G$54+'Exhibit A Table 2 Salary Sched'!$G$55+'Exhibit A Table 2 Salary Sched'!$G$57</f>
        <v>7905.2800000000007</v>
      </c>
      <c r="G8" s="27">
        <f>'Exhibit A Table 2 Salary Sched'!$G$54+'Exhibit A Table 2 Salary Sched'!$G$56+'Exhibit A Table 2 Salary Sched'!$G$57</f>
        <v>9607.68</v>
      </c>
      <c r="H8" s="22">
        <v>1</v>
      </c>
      <c r="I8" s="19" t="s">
        <v>98</v>
      </c>
    </row>
    <row r="9" spans="2:10" ht="24" hidden="1" customHeight="1">
      <c r="B9" s="33" t="s">
        <v>45</v>
      </c>
      <c r="C9" s="34" t="s">
        <v>90</v>
      </c>
      <c r="D9" s="20">
        <v>42044</v>
      </c>
      <c r="E9" s="19" t="s">
        <v>72</v>
      </c>
      <c r="F9" s="27">
        <f>'Exhibit A Table 2 Salary Sched'!$M$54+'Exhibit A Table 2 Salary Sched'!$M55+'Exhibit A Table 2 Salary Sched'!$M57</f>
        <v>8686.01</v>
      </c>
      <c r="G9" s="27">
        <f>'Exhibit A Table 2 Salary Sched'!$M$54+'Exhibit A Table 2 Salary Sched'!$M56+'Exhibit A Table 2 Salary Sched'!$M57</f>
        <v>10388.41</v>
      </c>
      <c r="H9" s="22">
        <v>7</v>
      </c>
      <c r="I9" s="19" t="s">
        <v>98</v>
      </c>
    </row>
    <row r="10" spans="2:10" ht="24" customHeight="1">
      <c r="B10" s="33" t="s">
        <v>45</v>
      </c>
      <c r="C10" s="34" t="s">
        <v>80</v>
      </c>
      <c r="D10" s="20">
        <v>42044</v>
      </c>
      <c r="E10" s="19" t="s">
        <v>72</v>
      </c>
      <c r="F10" s="27">
        <f>'Exhibit A Table 2 Salary Sched'!$G$54+'Exhibit A Table 2 Salary Sched'!$G$55+'Exhibit A Table 2 Salary Sched'!$G$57</f>
        <v>7905.2800000000007</v>
      </c>
      <c r="G10" s="27">
        <f>'Exhibit A Table 2 Salary Sched'!$G$54+'Exhibit A Table 2 Salary Sched'!$G$56+'Exhibit A Table 2 Salary Sched'!$G$57</f>
        <v>9607.68</v>
      </c>
      <c r="H10" s="22">
        <v>1</v>
      </c>
      <c r="I10" s="19" t="s">
        <v>98</v>
      </c>
    </row>
    <row r="11" spans="2:10" ht="24" hidden="1" customHeight="1">
      <c r="B11" s="33" t="s">
        <v>45</v>
      </c>
      <c r="C11" s="34" t="s">
        <v>78</v>
      </c>
      <c r="D11" s="20">
        <v>42219</v>
      </c>
      <c r="E11" s="19" t="s">
        <v>72</v>
      </c>
      <c r="F11" s="27">
        <f>'Exhibit A Table 2 Salary Sched'!J$54+'Exhibit A Table 2 Salary Sched'!J$55+'Exhibit A Table 2 Salary Sched'!J$57</f>
        <v>8289.76</v>
      </c>
      <c r="G11" s="27">
        <f>'Exhibit A Table 2 Salary Sched'!J$54+'Exhibit A Table 2 Salary Sched'!J$56+'Exhibit A Table 2 Salary Sched'!J$57</f>
        <v>9992.1500000000015</v>
      </c>
      <c r="H11" s="22">
        <v>4</v>
      </c>
      <c r="I11" s="19" t="s">
        <v>98</v>
      </c>
    </row>
    <row r="12" spans="2:10" ht="24" hidden="1" customHeight="1">
      <c r="B12" s="33" t="s">
        <v>93</v>
      </c>
      <c r="C12" s="34" t="s">
        <v>83</v>
      </c>
      <c r="D12" s="20">
        <v>42394</v>
      </c>
      <c r="E12" s="19" t="s">
        <v>72</v>
      </c>
      <c r="F12" s="27">
        <f>'Exhibit A Table 2 Salary Sched'!$R40+'Exhibit A Table 2 Salary Sched'!$R41+'Exhibit A Table 2 Salary Sched'!$R43</f>
        <v>11231.779999999999</v>
      </c>
      <c r="G12" s="27">
        <f>'Exhibit A Table 2 Salary Sched'!$R40+'Exhibit A Table 2 Salary Sched'!$R42+'Exhibit A Table 2 Salary Sched'!$R43</f>
        <v>12934.18</v>
      </c>
      <c r="H12" s="22">
        <v>12</v>
      </c>
      <c r="I12" s="19" t="s">
        <v>98</v>
      </c>
    </row>
    <row r="13" spans="2:10" ht="34.5" hidden="1" customHeight="1">
      <c r="B13" s="33" t="s">
        <v>73</v>
      </c>
      <c r="C13" s="34" t="s">
        <v>77</v>
      </c>
      <c r="D13" s="20">
        <v>42005</v>
      </c>
      <c r="E13" s="19" t="s">
        <v>72</v>
      </c>
      <c r="F13" s="28">
        <v>19408</v>
      </c>
      <c r="G13" s="28">
        <v>19408</v>
      </c>
      <c r="H13" s="25" t="s">
        <v>92</v>
      </c>
      <c r="I13" s="32" t="s">
        <v>99</v>
      </c>
    </row>
    <row r="14" spans="2:10" ht="24" hidden="1" customHeight="1">
      <c r="B14" s="33" t="s">
        <v>41</v>
      </c>
      <c r="C14" s="34" t="s">
        <v>103</v>
      </c>
      <c r="D14" s="20">
        <v>42461</v>
      </c>
      <c r="E14" s="20" t="s">
        <v>72</v>
      </c>
      <c r="F14" s="28">
        <f>'Exhibit A Table 2 Salary Sched'!$L12+'Exhibit A Table 2 Salary Sched'!$L13+'Exhibit A Table 2 Salary Sched'!$L15</f>
        <v>13810.656666666668</v>
      </c>
      <c r="G14" s="28">
        <f>'Exhibit A Table 2 Salary Sched'!$L12+'Exhibit A Table 2 Salary Sched'!$L14+'Exhibit A Table 2 Salary Sched'!$L15</f>
        <v>15514.046666666667</v>
      </c>
      <c r="H14" s="30">
        <v>6</v>
      </c>
      <c r="I14" s="19" t="s">
        <v>98</v>
      </c>
    </row>
    <row r="15" spans="2:10" ht="24" hidden="1" customHeight="1">
      <c r="B15" s="33" t="s">
        <v>34</v>
      </c>
      <c r="C15" s="34" t="s">
        <v>85</v>
      </c>
      <c r="D15" s="20">
        <v>42156</v>
      </c>
      <c r="E15" s="19" t="s">
        <v>72</v>
      </c>
      <c r="F15" s="27">
        <f>'Exhibit A Table 2 Salary Sched'!$M68+'Exhibit A Table 2 Salary Sched'!$M69+'Exhibit A Table 2 Salary Sched'!$M71</f>
        <v>7227.0693333333329</v>
      </c>
      <c r="G15" s="27">
        <f>'Exhibit A Table 2 Salary Sched'!$M68+'Exhibit A Table 2 Salary Sched'!$M70+'Exhibit A Table 2 Salary Sched'!$M71</f>
        <v>8929.4593333333323</v>
      </c>
      <c r="H15" s="22">
        <v>7</v>
      </c>
      <c r="I15" s="19" t="s">
        <v>98</v>
      </c>
    </row>
    <row r="16" spans="2:10" ht="24" hidden="1" customHeight="1">
      <c r="B16" s="33" t="s">
        <v>24</v>
      </c>
      <c r="C16" s="34" t="s">
        <v>87</v>
      </c>
      <c r="D16" s="20">
        <v>42009</v>
      </c>
      <c r="E16" s="19" t="s">
        <v>72</v>
      </c>
      <c r="F16" s="27">
        <f>'Exhibit A Table 2 Salary Sched'!$M$26+'Exhibit A Table 2 Salary Sched'!$M27+'Exhibit A Table 2 Salary Sched'!$M29</f>
        <v>10274.466666666667</v>
      </c>
      <c r="G16" s="27">
        <f>'Exhibit A Table 2 Salary Sched'!$M$26+'Exhibit A Table 2 Salary Sched'!$M28+'Exhibit A Table 2 Salary Sched'!$M29</f>
        <v>11976.866666666667</v>
      </c>
      <c r="H16" s="22">
        <v>7</v>
      </c>
      <c r="I16" s="19" t="s">
        <v>98</v>
      </c>
    </row>
    <row r="17" spans="2:9" ht="24" hidden="1" customHeight="1">
      <c r="B17" s="33" t="s">
        <v>32</v>
      </c>
      <c r="C17" s="34" t="s">
        <v>88</v>
      </c>
      <c r="D17" s="20">
        <v>42005</v>
      </c>
      <c r="E17" s="19" t="s">
        <v>72</v>
      </c>
      <c r="F17" s="27">
        <f>'Exhibit A Table 2 Salary Sched'!$Q61+'Exhibit A Table 2 Salary Sched'!$Q62+'Exhibit A Table 2 Salary Sched'!$Q64</f>
        <v>10274.466666666667</v>
      </c>
      <c r="G17" s="27">
        <f>'Exhibit A Table 2 Salary Sched'!$Q61+'Exhibit A Table 2 Salary Sched'!$Q63+'Exhibit A Table 2 Salary Sched'!$Q64</f>
        <v>11976.866666666667</v>
      </c>
      <c r="H17" s="22">
        <v>11</v>
      </c>
      <c r="I17" s="19" t="s">
        <v>98</v>
      </c>
    </row>
    <row r="18" spans="2:9" ht="24" hidden="1" customHeight="1">
      <c r="B18" s="33" t="s">
        <v>25</v>
      </c>
      <c r="C18" s="34" t="s">
        <v>89</v>
      </c>
      <c r="D18" s="20">
        <v>42005</v>
      </c>
      <c r="E18" s="19" t="s">
        <v>72</v>
      </c>
      <c r="F18" s="27">
        <f>'Exhibit A Table 2 Salary Sched'!$M$33+'Exhibit A Table 2 Salary Sched'!$M27+'Exhibit A Table 2 Salary Sched'!$M29</f>
        <v>12734.066666666666</v>
      </c>
      <c r="G18" s="27">
        <f>'Exhibit A Table 2 Salary Sched'!$M$33+'Exhibit A Table 2 Salary Sched'!$M28+'Exhibit A Table 2 Salary Sched'!$M29</f>
        <v>14436.466666666667</v>
      </c>
      <c r="H18" s="22">
        <v>7</v>
      </c>
      <c r="I18" s="19" t="s">
        <v>100</v>
      </c>
    </row>
    <row r="19" spans="2:9" ht="24" hidden="1" customHeight="1">
      <c r="B19" s="33" t="s">
        <v>75</v>
      </c>
      <c r="C19" s="34" t="s">
        <v>86</v>
      </c>
      <c r="D19" s="20">
        <v>42324</v>
      </c>
      <c r="E19" s="19" t="s">
        <v>74</v>
      </c>
      <c r="F19" s="28">
        <v>185</v>
      </c>
      <c r="G19" s="28">
        <v>185</v>
      </c>
      <c r="H19" s="22" t="s">
        <v>92</v>
      </c>
      <c r="I19" s="19" t="s">
        <v>98</v>
      </c>
    </row>
  </sheetData>
  <pageMargins left="0.7" right="0.7" top="0.75" bottom="0.75" header="0.3" footer="0.3"/>
  <pageSetup orientation="portrait" r:id="rId1"/>
  <ignoredErrors>
    <ignoredError sqref="F9:G9" formula="1"/>
  </ignoredErrors>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14999847407452621"/>
    <pageSetUpPr fitToPage="1"/>
  </sheetPr>
  <dimension ref="A1:V33"/>
  <sheetViews>
    <sheetView showGridLines="0" zoomScaleNormal="100" workbookViewId="0">
      <selection activeCell="B11" sqref="B11"/>
    </sheetView>
  </sheetViews>
  <sheetFormatPr defaultRowHeight="15"/>
  <cols>
    <col min="1" max="1" width="2.140625" customWidth="1"/>
    <col min="2" max="2" width="26.140625" customWidth="1"/>
    <col min="3" max="3" width="18.7109375" customWidth="1"/>
    <col min="4" max="4" width="12.140625" style="89" customWidth="1"/>
    <col min="5" max="6" width="12.7109375" style="89" customWidth="1"/>
    <col min="7" max="7" width="12.28515625" style="89" customWidth="1"/>
    <col min="8" max="8" width="12" customWidth="1"/>
    <col min="9" max="9" width="13.28515625" customWidth="1"/>
    <col min="10" max="11" width="15" customWidth="1"/>
    <col min="12" max="12" width="11.42578125" style="21" customWidth="1"/>
    <col min="13" max="13" width="15.85546875" customWidth="1"/>
    <col min="15" max="15" width="13.28515625" customWidth="1"/>
    <col min="16" max="16" width="11.42578125" style="90" customWidth="1"/>
    <col min="17" max="17" width="1.5703125" customWidth="1"/>
    <col min="18" max="18" width="12" bestFit="1" customWidth="1"/>
    <col min="20" max="20" width="12.140625" bestFit="1" customWidth="1"/>
    <col min="22" max="22" width="10" bestFit="1" customWidth="1"/>
  </cols>
  <sheetData>
    <row r="1" spans="1:22">
      <c r="A1" s="169" t="s">
        <v>155</v>
      </c>
      <c r="B1" s="169"/>
      <c r="C1" s="169"/>
      <c r="D1" s="169"/>
      <c r="E1" s="169"/>
      <c r="F1" s="169"/>
      <c r="G1" s="169"/>
      <c r="H1" s="169"/>
      <c r="I1" s="169"/>
      <c r="J1" s="169"/>
      <c r="K1" s="169"/>
      <c r="L1" s="169"/>
      <c r="M1" s="169"/>
      <c r="N1" s="169"/>
      <c r="O1" s="169"/>
      <c r="P1" s="169"/>
    </row>
    <row r="2" spans="1:22">
      <c r="A2" s="169" t="s">
        <v>104</v>
      </c>
      <c r="B2" s="169"/>
      <c r="C2" s="169"/>
      <c r="D2" s="169"/>
      <c r="E2" s="169"/>
      <c r="F2" s="169"/>
      <c r="G2" s="169"/>
      <c r="H2" s="169"/>
      <c r="I2" s="169"/>
      <c r="J2" s="169"/>
      <c r="K2" s="169"/>
      <c r="L2" s="169"/>
      <c r="M2" s="169"/>
      <c r="N2" s="169"/>
      <c r="O2" s="169"/>
      <c r="P2" s="169"/>
    </row>
    <row r="3" spans="1:22">
      <c r="A3" s="211" t="s">
        <v>176</v>
      </c>
      <c r="B3" s="211"/>
      <c r="C3" s="211"/>
      <c r="D3" s="211"/>
      <c r="E3" s="211"/>
      <c r="F3" s="211"/>
      <c r="G3" s="211"/>
      <c r="H3" s="211"/>
      <c r="I3" s="211"/>
      <c r="J3" s="211"/>
      <c r="K3" s="211"/>
      <c r="L3" s="211"/>
      <c r="M3" s="211"/>
      <c r="N3" s="211"/>
      <c r="O3" s="211"/>
      <c r="P3" s="211"/>
    </row>
    <row r="4" spans="1:22" s="16" customFormat="1" ht="58.5" customHeight="1">
      <c r="B4" s="29" t="s">
        <v>67</v>
      </c>
      <c r="C4" s="29" t="s">
        <v>68</v>
      </c>
      <c r="D4" s="29" t="s">
        <v>110</v>
      </c>
      <c r="E4" s="29" t="s">
        <v>145</v>
      </c>
      <c r="F4" s="105" t="s">
        <v>128</v>
      </c>
      <c r="G4" s="29" t="s">
        <v>135</v>
      </c>
      <c r="H4" s="29" t="s">
        <v>127</v>
      </c>
      <c r="I4" s="29" t="s">
        <v>70</v>
      </c>
      <c r="J4" s="29" t="s">
        <v>175</v>
      </c>
      <c r="K4" s="105" t="s">
        <v>160</v>
      </c>
      <c r="L4" s="29" t="s">
        <v>101</v>
      </c>
      <c r="M4" s="29" t="s">
        <v>126</v>
      </c>
      <c r="N4" s="31" t="s">
        <v>177</v>
      </c>
      <c r="O4" s="29" t="s">
        <v>102</v>
      </c>
      <c r="P4" s="91" t="s">
        <v>124</v>
      </c>
    </row>
    <row r="5" spans="1:22" ht="24" customHeight="1">
      <c r="B5" s="118" t="s">
        <v>93</v>
      </c>
      <c r="C5" s="119" t="s">
        <v>141</v>
      </c>
      <c r="D5" s="120">
        <v>42736</v>
      </c>
      <c r="E5" s="120">
        <v>36983</v>
      </c>
      <c r="F5" s="106">
        <f ca="1">(TODAY()-Table134[[#This Row],[C-IV Project Start Date
(Use for Vacation Accrual)]])*0.0328767</f>
        <v>210.67389360000001</v>
      </c>
      <c r="G5" s="113">
        <f t="shared" ref="G5:G18" ca="1" si="0">IF($F5&gt;120,$T$12,IF($F5&gt;61,$T$11,IF($F5&lt;60,$T$10)))</f>
        <v>7.6923076923076927E-2</v>
      </c>
      <c r="H5" s="108">
        <v>43160</v>
      </c>
      <c r="I5" s="120" t="s">
        <v>72</v>
      </c>
      <c r="J5" s="121">
        <f>'Exhibit A Table 2 Salary Sched'!N40</f>
        <v>6687.2</v>
      </c>
      <c r="K5" s="121">
        <v>2005.62</v>
      </c>
      <c r="L5" s="121">
        <v>1770</v>
      </c>
      <c r="M5" s="70">
        <f>ROUND(SUM(Table134[[#This Row],[Salary as of 11/1/18]:[RGS Fee]]),0)</f>
        <v>10463</v>
      </c>
      <c r="N5" s="137">
        <v>8</v>
      </c>
      <c r="O5" s="124">
        <v>0</v>
      </c>
      <c r="P5" s="122">
        <f>Table134[[#This Row],[Annual Travel Budget]]/12</f>
        <v>0</v>
      </c>
    </row>
    <row r="6" spans="1:22" ht="24" customHeight="1">
      <c r="B6" s="33" t="s">
        <v>44</v>
      </c>
      <c r="C6" s="34" t="s">
        <v>114</v>
      </c>
      <c r="D6" s="108">
        <v>42219</v>
      </c>
      <c r="E6" s="108">
        <v>42219</v>
      </c>
      <c r="F6" s="111">
        <f ca="1">(TODAY()-Table134[[#This Row],[C-IV Project Start Date
(Use for Vacation Accrual)]])*0.0328767</f>
        <v>38.531492400000005</v>
      </c>
      <c r="G6" s="113">
        <f t="shared" ca="1" si="0"/>
        <v>4.6153846153846156E-2</v>
      </c>
      <c r="H6" s="108">
        <v>43160</v>
      </c>
      <c r="I6" s="107" t="s">
        <v>72</v>
      </c>
      <c r="J6" s="88">
        <f>'Exhibit A Table 2 Salary Sched'!H47</f>
        <v>5229.4666666666672</v>
      </c>
      <c r="K6" s="88">
        <v>1830.16</v>
      </c>
      <c r="L6" s="121">
        <v>1770</v>
      </c>
      <c r="M6" s="70">
        <f>ROUND(SUM(Table134[[#This Row],[Salary as of 11/1/18]:[RGS Fee]]),0)</f>
        <v>8830</v>
      </c>
      <c r="N6" s="109">
        <v>2</v>
      </c>
      <c r="O6" s="71">
        <v>0</v>
      </c>
      <c r="P6" s="92">
        <f>Table134[[#This Row],[Annual Travel Budget]]/12</f>
        <v>0</v>
      </c>
    </row>
    <row r="7" spans="1:22" ht="24" customHeight="1">
      <c r="B7" s="33" t="s">
        <v>93</v>
      </c>
      <c r="C7" s="34" t="s">
        <v>113</v>
      </c>
      <c r="D7" s="20">
        <v>42394</v>
      </c>
      <c r="E7" s="20">
        <v>39329</v>
      </c>
      <c r="F7" s="111">
        <f ca="1">(TODAY()-Table134[[#This Row],[C-IV Project Start Date
(Use for Vacation Accrual)]])*0.0328767</f>
        <v>133.5451554</v>
      </c>
      <c r="G7" s="113">
        <f t="shared" ca="1" si="0"/>
        <v>7.6923076923076927E-2</v>
      </c>
      <c r="H7" s="108">
        <v>42795</v>
      </c>
      <c r="I7" s="19" t="s">
        <v>72</v>
      </c>
      <c r="J7" s="88">
        <f>'Exhibit A Table 2 Salary Sched'!T40</f>
        <v>7744.5333333333328</v>
      </c>
      <c r="K7" s="88">
        <v>2841.22</v>
      </c>
      <c r="L7" s="121">
        <v>1770</v>
      </c>
      <c r="M7" s="70">
        <f>ROUND(SUM(Table134[[#This Row],[Salary as of 11/1/18]:[RGS Fee]]),0)</f>
        <v>12356</v>
      </c>
      <c r="N7" s="109">
        <v>14</v>
      </c>
      <c r="O7" s="71">
        <v>3835</v>
      </c>
      <c r="P7" s="92">
        <f>Table134[[#This Row],[Annual Travel Budget]]/12</f>
        <v>319.58333333333331</v>
      </c>
    </row>
    <row r="8" spans="1:22" ht="24" customHeight="1">
      <c r="B8" s="33" t="s">
        <v>25</v>
      </c>
      <c r="C8" s="34" t="s">
        <v>116</v>
      </c>
      <c r="D8" s="108">
        <v>41505</v>
      </c>
      <c r="E8" s="108">
        <v>39329</v>
      </c>
      <c r="F8" s="111">
        <f ca="1">(TODAY()-Table134[[#This Row],[C-IV Project Start Date
(Use for Vacation Accrual)]])*0.0328767</f>
        <v>133.5451554</v>
      </c>
      <c r="G8" s="113">
        <f t="shared" ca="1" si="0"/>
        <v>7.6923076923076927E-2</v>
      </c>
      <c r="H8" s="108">
        <v>43160</v>
      </c>
      <c r="I8" s="107" t="s">
        <v>72</v>
      </c>
      <c r="J8" s="88">
        <f>'Exhibit A Table 2 Salary Sched'!Q33</f>
        <v>9912.9333333333325</v>
      </c>
      <c r="K8" s="88">
        <v>3080.86</v>
      </c>
      <c r="L8" s="121">
        <v>1770</v>
      </c>
      <c r="M8" s="70">
        <f>ROUND(SUM(Table134[[#This Row],[Salary as of 11/1/18]:[RGS Fee]]),0)</f>
        <v>14764</v>
      </c>
      <c r="N8" s="109">
        <v>11</v>
      </c>
      <c r="O8" s="71">
        <v>0</v>
      </c>
      <c r="P8" s="92">
        <f>Table134[[#This Row],[Annual Travel Budget]]/12</f>
        <v>0</v>
      </c>
      <c r="Q8" s="103">
        <v>2</v>
      </c>
    </row>
    <row r="9" spans="1:22" ht="24" customHeight="1">
      <c r="B9" s="33" t="s">
        <v>156</v>
      </c>
      <c r="C9" s="34" t="s">
        <v>121</v>
      </c>
      <c r="D9" s="108">
        <v>41884</v>
      </c>
      <c r="E9" s="108">
        <v>41884</v>
      </c>
      <c r="F9" s="111">
        <f ca="1">(TODAY()-Table134[[#This Row],[C-IV Project Start Date
(Use for Vacation Accrual)]])*0.0328767</f>
        <v>49.545186900000004</v>
      </c>
      <c r="G9" s="113">
        <f t="shared" ca="1" si="0"/>
        <v>4.6153846153846156E-2</v>
      </c>
      <c r="H9" s="108">
        <v>42795</v>
      </c>
      <c r="I9" s="107" t="s">
        <v>72</v>
      </c>
      <c r="J9" s="88">
        <f>19408-3617-1624</f>
        <v>14167</v>
      </c>
      <c r="K9" s="88">
        <v>4598.97</v>
      </c>
      <c r="L9" s="121">
        <v>1770</v>
      </c>
      <c r="M9" s="70">
        <f>ROUND(SUM(Table134[[#This Row],[Salary as of 11/1/18]:[RGS Fee]]),0)</f>
        <v>20536</v>
      </c>
      <c r="N9" s="25" t="s">
        <v>92</v>
      </c>
      <c r="O9" s="71">
        <v>12000</v>
      </c>
      <c r="P9" s="92">
        <f>Table134[[#This Row],[Annual Travel Budget]]/12</f>
        <v>1000</v>
      </c>
      <c r="R9" s="114" t="s">
        <v>129</v>
      </c>
      <c r="S9" s="112" t="s">
        <v>136</v>
      </c>
      <c r="T9" s="114" t="s">
        <v>130</v>
      </c>
      <c r="U9" s="112" t="s">
        <v>131</v>
      </c>
      <c r="V9" s="112" t="s">
        <v>137</v>
      </c>
    </row>
    <row r="10" spans="1:22" ht="24" customHeight="1">
      <c r="B10" s="33" t="s">
        <v>181</v>
      </c>
      <c r="C10" s="34" t="s">
        <v>122</v>
      </c>
      <c r="D10" s="20">
        <v>42005</v>
      </c>
      <c r="E10" s="20">
        <v>38291</v>
      </c>
      <c r="F10" s="111">
        <f ca="1">(TODAY()-Table134[[#This Row],[C-IV Project Start Date
(Use for Vacation Accrual)]])*0.0328767</f>
        <v>167.67117000000002</v>
      </c>
      <c r="G10" s="113">
        <f t="shared" ca="1" si="0"/>
        <v>7.6923076923076927E-2</v>
      </c>
      <c r="H10" s="108">
        <v>43160</v>
      </c>
      <c r="I10" s="19" t="s">
        <v>72</v>
      </c>
      <c r="J10" s="88">
        <f>'Exhibit A Table 2 Salary Sched'!Q26</f>
        <v>7193.333333333333</v>
      </c>
      <c r="K10" s="88">
        <v>2066.5100000000002</v>
      </c>
      <c r="L10" s="121">
        <v>1770</v>
      </c>
      <c r="M10" s="70">
        <f>ROUND(SUM(Table134[[#This Row],[Salary as of 11/1/18]:[RGS Fee]]),0)</f>
        <v>11030</v>
      </c>
      <c r="N10" s="109">
        <v>11</v>
      </c>
      <c r="O10" s="71">
        <v>12000</v>
      </c>
      <c r="P10" s="92">
        <f>Table134[[#This Row],[Annual Travel Budget]]/12</f>
        <v>1000</v>
      </c>
      <c r="Q10" s="103">
        <v>1</v>
      </c>
      <c r="R10" s="110">
        <v>96</v>
      </c>
      <c r="S10" s="110">
        <v>2080</v>
      </c>
      <c r="T10" s="115">
        <f>R10/S10</f>
        <v>4.6153846153846156E-2</v>
      </c>
      <c r="U10" s="110" t="s">
        <v>132</v>
      </c>
      <c r="V10" s="117">
        <f>R10/8</f>
        <v>12</v>
      </c>
    </row>
    <row r="11" spans="1:22" ht="24" customHeight="1">
      <c r="B11" s="33" t="s">
        <v>44</v>
      </c>
      <c r="C11" s="34" t="s">
        <v>144</v>
      </c>
      <c r="D11" s="108">
        <v>42219</v>
      </c>
      <c r="E11" s="108">
        <v>42219</v>
      </c>
      <c r="F11" s="111">
        <f ca="1">(TODAY()-Table134[[#This Row],[C-IV Project Start Date
(Use for Vacation Accrual)]])*0.0328767</f>
        <v>38.531492400000005</v>
      </c>
      <c r="G11" s="113">
        <f t="shared" ca="1" si="0"/>
        <v>4.6153846153846156E-2</v>
      </c>
      <c r="H11" s="108">
        <v>43160</v>
      </c>
      <c r="I11" s="107" t="s">
        <v>72</v>
      </c>
      <c r="J11" s="88">
        <f>'Exhibit A Table 2 Salary Sched'!H47</f>
        <v>5229.4666666666672</v>
      </c>
      <c r="K11" s="88">
        <v>3004.29</v>
      </c>
      <c r="L11" s="121">
        <v>1770</v>
      </c>
      <c r="M11" s="70">
        <f>ROUND(SUM(Table134[[#This Row],[Salary as of 11/1/18]:[RGS Fee]]),0)</f>
        <v>10004</v>
      </c>
      <c r="N11" s="109">
        <v>2</v>
      </c>
      <c r="O11" s="71">
        <v>0</v>
      </c>
      <c r="P11" s="92">
        <f>Table134[[#This Row],[Annual Travel Budget]]/12</f>
        <v>0</v>
      </c>
      <c r="R11" s="110">
        <v>148</v>
      </c>
      <c r="S11" s="110">
        <v>2080</v>
      </c>
      <c r="T11" s="115">
        <f t="shared" ref="T11:T12" si="1">R11/S11</f>
        <v>7.1153846153846151E-2</v>
      </c>
      <c r="U11" s="110" t="s">
        <v>133</v>
      </c>
      <c r="V11" s="117">
        <f t="shared" ref="V11:V12" si="2">R11/8</f>
        <v>18.5</v>
      </c>
    </row>
    <row r="12" spans="1:22" ht="24" customHeight="1">
      <c r="B12" s="33" t="s">
        <v>32</v>
      </c>
      <c r="C12" s="34" t="s">
        <v>115</v>
      </c>
      <c r="D12" s="108">
        <v>41821</v>
      </c>
      <c r="E12" s="108">
        <v>39329</v>
      </c>
      <c r="F12" s="111">
        <f ca="1">(TODAY()-Table134[[#This Row],[C-IV Project Start Date
(Use for Vacation Accrual)]])*0.0328767</f>
        <v>133.5451554</v>
      </c>
      <c r="G12" s="113">
        <f t="shared" ca="1" si="0"/>
        <v>7.6923076923076927E-2</v>
      </c>
      <c r="H12" s="108">
        <v>43160</v>
      </c>
      <c r="I12" s="107" t="s">
        <v>72</v>
      </c>
      <c r="J12" s="88">
        <f>'Exhibit A Table 2 Salary Sched'!T61</f>
        <v>7018.2666666666664</v>
      </c>
      <c r="K12" s="88">
        <v>2741.93</v>
      </c>
      <c r="L12" s="121">
        <v>1770</v>
      </c>
      <c r="M12" s="70">
        <f>ROUND(SUM(Table134[[#This Row],[Salary as of 11/1/18]:[RGS Fee]]),0)</f>
        <v>11530</v>
      </c>
      <c r="N12" s="109">
        <v>13</v>
      </c>
      <c r="O12" s="71">
        <v>0</v>
      </c>
      <c r="P12" s="92">
        <f>Table134[[#This Row],[Annual Travel Budget]]/12</f>
        <v>0</v>
      </c>
      <c r="R12" s="110">
        <v>160</v>
      </c>
      <c r="S12" s="110">
        <v>2080</v>
      </c>
      <c r="T12" s="115">
        <f t="shared" si="1"/>
        <v>7.6923076923076927E-2</v>
      </c>
      <c r="U12" s="110" t="s">
        <v>134</v>
      </c>
      <c r="V12" s="117">
        <f t="shared" si="2"/>
        <v>20</v>
      </c>
    </row>
    <row r="13" spans="1:22" ht="24" customHeight="1">
      <c r="B13" s="33" t="s">
        <v>34</v>
      </c>
      <c r="C13" s="34" t="s">
        <v>178</v>
      </c>
      <c r="D13" s="108"/>
      <c r="E13" s="108"/>
      <c r="F13" s="111"/>
      <c r="G13" s="113">
        <f t="shared" si="0"/>
        <v>4.6153846153846156E-2</v>
      </c>
      <c r="H13" s="108"/>
      <c r="I13" s="107" t="s">
        <v>72</v>
      </c>
      <c r="J13" s="88">
        <v>0</v>
      </c>
      <c r="K13" s="88">
        <v>0</v>
      </c>
      <c r="L13" s="121">
        <v>0</v>
      </c>
      <c r="M13" s="70">
        <f>ROUNDUP(SUM(Table134[[#This Row],[Salary as of 11/1/18]:[RGS Fee]]),0)</f>
        <v>0</v>
      </c>
      <c r="N13" s="109"/>
      <c r="O13" s="71">
        <v>0</v>
      </c>
      <c r="P13" s="92">
        <f>Table134[[#This Row],[Annual Travel Budget]]/12</f>
        <v>0</v>
      </c>
    </row>
    <row r="14" spans="1:22" ht="24" customHeight="1">
      <c r="B14" s="33" t="s">
        <v>173</v>
      </c>
      <c r="C14" s="34" t="s">
        <v>179</v>
      </c>
      <c r="D14" s="108"/>
      <c r="E14" s="108"/>
      <c r="F14" s="111"/>
      <c r="G14" s="113">
        <f t="shared" si="0"/>
        <v>4.6153846153846156E-2</v>
      </c>
      <c r="H14" s="108"/>
      <c r="I14" s="108" t="s">
        <v>72</v>
      </c>
      <c r="J14" s="88"/>
      <c r="K14" s="88"/>
      <c r="L14" s="88"/>
      <c r="M14" s="142">
        <f>ROUND(SUM(Table134[[#This Row],[Salary as of 11/1/18]:[RGS Fee]]),0)</f>
        <v>0</v>
      </c>
      <c r="N14" s="109"/>
      <c r="O14" s="71"/>
      <c r="P14" s="92">
        <f>Table134[[#This Row],[Annual Travel Budget]]/12</f>
        <v>0</v>
      </c>
    </row>
    <row r="15" spans="1:22" ht="24" customHeight="1">
      <c r="B15" s="118" t="s">
        <v>93</v>
      </c>
      <c r="C15" s="119" t="s">
        <v>142</v>
      </c>
      <c r="D15" s="120">
        <v>42736</v>
      </c>
      <c r="E15" s="120">
        <v>42736</v>
      </c>
      <c r="F15" s="111">
        <f ca="1">(TODAY()-Table134[[#This Row],[C-IV Project Start Date
(Use for Vacation Accrual)]])*0.0328767</f>
        <v>21.534238500000001</v>
      </c>
      <c r="G15" s="113">
        <f t="shared" ca="1" si="0"/>
        <v>4.6153846153846156E-2</v>
      </c>
      <c r="H15" s="120">
        <v>43160</v>
      </c>
      <c r="I15" s="120" t="s">
        <v>72</v>
      </c>
      <c r="J15" s="121">
        <f>'Exhibit A Table 2 Salary Sched'!P40</f>
        <v>7018.2666666666664</v>
      </c>
      <c r="K15" s="121">
        <v>2129.0500000000002</v>
      </c>
      <c r="L15" s="121">
        <v>1770</v>
      </c>
      <c r="M15" s="70">
        <f>ROUND(SUM(Table134[[#This Row],[Salary as of 11/1/18]:[RGS Fee]]),0)</f>
        <v>10917</v>
      </c>
      <c r="N15" s="137">
        <v>10</v>
      </c>
      <c r="O15" s="124">
        <v>0</v>
      </c>
      <c r="P15" s="122">
        <f>Table134[[#This Row],[Annual Travel Budget]]/12</f>
        <v>0</v>
      </c>
      <c r="R15" s="116"/>
    </row>
    <row r="16" spans="1:22" ht="24" customHeight="1">
      <c r="B16" s="33" t="s">
        <v>157</v>
      </c>
      <c r="C16" s="34" t="s">
        <v>117</v>
      </c>
      <c r="D16" s="20">
        <v>42461</v>
      </c>
      <c r="E16" s="20">
        <v>36955</v>
      </c>
      <c r="F16" s="111">
        <f ca="1">(TODAY()-Table134[[#This Row],[C-IV Project Start Date
(Use for Vacation Accrual)]])*0.0328767</f>
        <v>211.59444120000001</v>
      </c>
      <c r="G16" s="113">
        <f t="shared" ca="1" si="0"/>
        <v>7.6923076923076927E-2</v>
      </c>
      <c r="H16" s="108">
        <v>43160</v>
      </c>
      <c r="I16" s="108" t="s">
        <v>72</v>
      </c>
      <c r="J16" s="88">
        <f>'Exhibit A Table 2 Salary Sched'!P12</f>
        <v>10675.6</v>
      </c>
      <c r="K16" s="88">
        <v>2484.12</v>
      </c>
      <c r="L16" s="121">
        <v>1770</v>
      </c>
      <c r="M16" s="70">
        <f>ROUNDUP(SUM(Table134[[#This Row],[Salary as of 11/1/18]:[RGS Fee]]),0)</f>
        <v>14930</v>
      </c>
      <c r="N16" s="30">
        <v>10</v>
      </c>
      <c r="O16" s="71">
        <f>4820*12</f>
        <v>57840</v>
      </c>
      <c r="P16" s="92">
        <f>Table134[[#This Row],[Annual Travel Budget]]/12</f>
        <v>4820</v>
      </c>
      <c r="R16" s="116"/>
    </row>
    <row r="17" spans="2:18" ht="24" customHeight="1">
      <c r="B17" s="33" t="s">
        <v>44</v>
      </c>
      <c r="C17" s="34" t="s">
        <v>118</v>
      </c>
      <c r="D17" s="20">
        <v>42005</v>
      </c>
      <c r="E17" s="20">
        <v>42016</v>
      </c>
      <c r="F17" s="111">
        <f ca="1">(TODAY()-Table134[[#This Row],[C-IV Project Start Date
(Use for Vacation Accrual)]])*0.0328767</f>
        <v>45.205462500000003</v>
      </c>
      <c r="G17" s="113">
        <f t="shared" ca="1" si="0"/>
        <v>4.6153846153846156E-2</v>
      </c>
      <c r="H17" s="108">
        <v>43160</v>
      </c>
      <c r="I17" s="107" t="s">
        <v>72</v>
      </c>
      <c r="J17" s="88">
        <f>'Exhibit A Table 2 Salary Sched'!H47</f>
        <v>5229.4666666666672</v>
      </c>
      <c r="K17" s="88">
        <v>2547.27</v>
      </c>
      <c r="L17" s="121">
        <v>1770</v>
      </c>
      <c r="M17" s="70">
        <f>ROUNDUP(SUM(Table134[[#This Row],[Salary as of 11/1/18]:[RGS Fee]]),0)</f>
        <v>9547</v>
      </c>
      <c r="N17" s="109">
        <v>2</v>
      </c>
      <c r="O17" s="71">
        <v>0</v>
      </c>
      <c r="P17" s="92">
        <f>Table134[[#This Row],[Annual Travel Budget]]/12</f>
        <v>0</v>
      </c>
      <c r="R17" s="116"/>
    </row>
    <row r="18" spans="2:18" ht="24" customHeight="1">
      <c r="B18" s="33" t="s">
        <v>44</v>
      </c>
      <c r="C18" s="34" t="s">
        <v>119</v>
      </c>
      <c r="D18" s="20">
        <v>42044</v>
      </c>
      <c r="E18" s="108">
        <v>42044</v>
      </c>
      <c r="F18" s="111">
        <f ca="1">(TODAY()-Table134[[#This Row],[C-IV Project Start Date
(Use for Vacation Accrual)]])*0.0328767</f>
        <v>44.284914900000004</v>
      </c>
      <c r="G18" s="113">
        <f t="shared" ca="1" si="0"/>
        <v>4.6153846153846156E-2</v>
      </c>
      <c r="H18" s="108">
        <v>43160</v>
      </c>
      <c r="I18" s="19" t="s">
        <v>72</v>
      </c>
      <c r="J18" s="88">
        <f>'Exhibit A Table 2 Salary Sched'!H47</f>
        <v>5229.4666666666672</v>
      </c>
      <c r="K18" s="88">
        <v>3004.29</v>
      </c>
      <c r="L18" s="121">
        <v>1770</v>
      </c>
      <c r="M18" s="70">
        <f>ROUND(SUM(Table134[[#This Row],[Salary as of 11/1/18]:[RGS Fee]]),0)</f>
        <v>10004</v>
      </c>
      <c r="N18" s="109">
        <v>2</v>
      </c>
      <c r="O18" s="71">
        <v>0</v>
      </c>
      <c r="P18" s="92">
        <f>Table134[[#This Row],[Annual Travel Budget]]/12</f>
        <v>0</v>
      </c>
      <c r="R18" s="116"/>
    </row>
    <row r="19" spans="2:18" ht="24" customHeight="1">
      <c r="B19" s="33" t="s">
        <v>75</v>
      </c>
      <c r="C19" s="34" t="s">
        <v>111</v>
      </c>
      <c r="D19" s="20">
        <v>42324</v>
      </c>
      <c r="E19" s="107" t="s">
        <v>92</v>
      </c>
      <c r="F19" s="111" t="s">
        <v>92</v>
      </c>
      <c r="G19" s="111" t="s">
        <v>92</v>
      </c>
      <c r="H19" s="108">
        <v>42430</v>
      </c>
      <c r="I19" s="107" t="s">
        <v>74</v>
      </c>
      <c r="J19" s="88">
        <v>185</v>
      </c>
      <c r="K19" s="88">
        <v>0</v>
      </c>
      <c r="L19" s="121">
        <v>1770</v>
      </c>
      <c r="M19" s="70"/>
      <c r="N19" s="109" t="s">
        <v>92</v>
      </c>
      <c r="O19" s="71">
        <f>2333*12</f>
        <v>27996</v>
      </c>
      <c r="P19" s="92">
        <f>Table134[[#This Row],[Annual Travel Budget]]/12</f>
        <v>2333</v>
      </c>
      <c r="R19" s="116"/>
    </row>
    <row r="20" spans="2:18" ht="24" customHeight="1">
      <c r="B20" s="33" t="s">
        <v>44</v>
      </c>
      <c r="C20" s="34" t="s">
        <v>120</v>
      </c>
      <c r="D20" s="20">
        <v>42219</v>
      </c>
      <c r="E20" s="20">
        <v>42219</v>
      </c>
      <c r="F20" s="111">
        <f ca="1">(TODAY()-Table134[[#This Row],[C-IV Project Start Date
(Use for Vacation Accrual)]])*0.0328767</f>
        <v>38.531492400000005</v>
      </c>
      <c r="G20" s="113">
        <f ca="1">IF($F20&gt;120,$T$12,IF($F20&gt;61,$T$11,IF($F20&lt;60,$T$10)))</f>
        <v>4.6153846153846156E-2</v>
      </c>
      <c r="H20" s="108">
        <v>43160</v>
      </c>
      <c r="I20" s="19" t="s">
        <v>72</v>
      </c>
      <c r="J20" s="88">
        <f>'Exhibit A Table 2 Salary Sched'!H47</f>
        <v>5229.4666666666672</v>
      </c>
      <c r="K20" s="88">
        <v>3004.29</v>
      </c>
      <c r="L20" s="121">
        <v>1770</v>
      </c>
      <c r="M20" s="70">
        <f>ROUND(SUM(Table134[[#This Row],[Salary as of 11/1/18]:[RGS Fee]]),0)</f>
        <v>10004</v>
      </c>
      <c r="N20" s="109">
        <v>2</v>
      </c>
      <c r="O20" s="71">
        <v>0</v>
      </c>
      <c r="P20" s="92">
        <f>Table134[[#This Row],[Annual Travel Budget]]/12</f>
        <v>0</v>
      </c>
      <c r="R20" s="116"/>
    </row>
    <row r="21" spans="2:18" ht="24" customHeight="1">
      <c r="B21" s="33" t="s">
        <v>44</v>
      </c>
      <c r="C21" s="34" t="s">
        <v>112</v>
      </c>
      <c r="D21" s="108">
        <v>42005</v>
      </c>
      <c r="E21" s="108">
        <v>42009</v>
      </c>
      <c r="F21" s="111">
        <f ca="1">(TODAY()-Table134[[#This Row],[C-IV Project Start Date
(Use for Vacation Accrual)]])*0.0328767</f>
        <v>45.435599400000001</v>
      </c>
      <c r="G21" s="113">
        <f ca="1">IF($F21&gt;120,$T$12,IF($F21&gt;61,$T$11,IF($F21&lt;60,$T$10)))</f>
        <v>4.6153846153846156E-2</v>
      </c>
      <c r="H21" s="108">
        <v>43160</v>
      </c>
      <c r="I21" s="107" t="s">
        <v>72</v>
      </c>
      <c r="J21" s="88">
        <f>'Exhibit A Table 2 Salary Sched'!H47</f>
        <v>5229.4666666666672</v>
      </c>
      <c r="K21" s="88">
        <v>1830.16</v>
      </c>
      <c r="L21" s="121">
        <v>1770</v>
      </c>
      <c r="M21" s="70">
        <f>ROUND(SUM(Table134[[#This Row],[Salary as of 11/1/18]:[RGS Fee]]),0)</f>
        <v>8830</v>
      </c>
      <c r="N21" s="109">
        <v>2</v>
      </c>
      <c r="O21" s="71">
        <v>2000</v>
      </c>
      <c r="P21" s="92">
        <f>Table134[[#This Row],[Annual Travel Budget]]/12</f>
        <v>166.66666666666666</v>
      </c>
      <c r="R21" s="116"/>
    </row>
    <row r="22" spans="2:18" ht="14.25" customHeight="1">
      <c r="B22" s="93"/>
      <c r="C22" s="93"/>
      <c r="D22" s="94"/>
      <c r="E22" s="94"/>
      <c r="F22" s="94"/>
      <c r="G22" s="94"/>
      <c r="H22" s="93"/>
      <c r="I22" s="93"/>
      <c r="J22" s="93"/>
      <c r="K22" s="93"/>
      <c r="L22" s="95"/>
      <c r="M22" s="93"/>
      <c r="N22" s="93"/>
      <c r="O22" s="93"/>
      <c r="P22" s="96"/>
      <c r="R22" s="116"/>
    </row>
    <row r="23" spans="2:18">
      <c r="B23" s="97" t="s">
        <v>123</v>
      </c>
      <c r="C23" s="97"/>
      <c r="D23" s="98"/>
      <c r="E23" s="98"/>
      <c r="F23" s="98"/>
      <c r="G23" s="98"/>
      <c r="H23" s="97"/>
      <c r="I23" s="97"/>
      <c r="J23" s="99">
        <f>SUM(J5,J7,J9,J10,J12,J13,J15,J16,J17,J18,J20,J21,J11,J8,J6)</f>
        <v>101793.93333333335</v>
      </c>
      <c r="K23" s="99">
        <f>SUM(Table134[Current Benefits
(Per Jeff on 2/8/18)])</f>
        <v>37168.740000000005</v>
      </c>
      <c r="L23" s="99">
        <f>SUM(Table134[RGS Fee])</f>
        <v>26550</v>
      </c>
      <c r="M23" s="99">
        <f>SUM(Table134[Total Monthly Budget 
(Salary + Benefits + Fees)])</f>
        <v>163745</v>
      </c>
      <c r="N23" s="97"/>
      <c r="O23" s="97"/>
      <c r="P23" s="99">
        <f>SUM(Table134[Monthly Travel Budget])</f>
        <v>9639.2499999999982</v>
      </c>
      <c r="R23" s="116"/>
    </row>
    <row r="24" spans="2:18">
      <c r="B24" s="100"/>
      <c r="C24" s="100"/>
      <c r="D24" s="101"/>
      <c r="E24" s="101"/>
      <c r="F24" s="101"/>
      <c r="G24" s="101"/>
      <c r="H24" s="100"/>
      <c r="I24" s="100"/>
      <c r="J24" s="102"/>
      <c r="K24" s="102"/>
      <c r="L24" s="102"/>
      <c r="M24" s="102"/>
      <c r="N24" s="100"/>
      <c r="O24" s="100"/>
      <c r="P24" s="102"/>
      <c r="R24" s="116"/>
    </row>
    <row r="25" spans="2:18">
      <c r="M25" s="104">
        <f>SUM(J23,K23,L23)-1624</f>
        <v>163888.67333333334</v>
      </c>
      <c r="R25" s="116"/>
    </row>
    <row r="26" spans="2:18">
      <c r="R26" s="116"/>
    </row>
    <row r="27" spans="2:18">
      <c r="R27" s="116"/>
    </row>
    <row r="28" spans="2:18">
      <c r="R28" s="116"/>
    </row>
    <row r="29" spans="2:18">
      <c r="R29" s="116"/>
    </row>
    <row r="33" spans="10:10">
      <c r="J33" s="126"/>
    </row>
  </sheetData>
  <mergeCells count="3">
    <mergeCell ref="A3:P3"/>
    <mergeCell ref="A2:P2"/>
    <mergeCell ref="A1:P1"/>
  </mergeCells>
  <pageMargins left="0.7" right="0.7" top="0.75" bottom="0.75" header="0.3" footer="0.3"/>
  <pageSetup paperSize="5" scale="75" fitToHeight="0" orientation="landscape" r:id="rId1"/>
  <ignoredErrors>
    <ignoredError sqref="M15:M17 M13" calculatedColumn="1"/>
  </ignoredErrors>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Salary</vt:lpstr>
      <vt:lpstr>Exhibit A Table 1 Rate Ranges</vt:lpstr>
      <vt:lpstr>Exhibit A Table 2 Salary Sched</vt:lpstr>
      <vt:lpstr>Exhibit A -1</vt:lpstr>
      <vt:lpstr>Budget</vt:lpstr>
      <vt:lpstr>Budget!Print_Area</vt:lpstr>
      <vt:lpstr>'Exhibit A Table 2 Salary Sched'!Print_Area</vt:lpstr>
      <vt:lpstr>Salary!Print_Area</vt:lpstr>
    </vt:vector>
  </TitlesOfParts>
  <Company>C-IV Project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Karen J. Rapponotti</dc:creator>
  <cp:lastModifiedBy>Cari L. Garcia</cp:lastModifiedBy>
  <cp:lastPrinted>2018-04-18T23:40:19Z</cp:lastPrinted>
  <dcterms:created xsi:type="dcterms:W3CDTF">2016-01-11T20:18:45Z</dcterms:created>
  <dcterms:modified xsi:type="dcterms:W3CDTF">2018-10-18T23:00:03Z</dcterms:modified>
</cp:coreProperties>
</file>