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fdfs01.c-iv.org\Redirected_Consortium\hudginss\Desktop\RGS\RGS Amendment 28\"/>
    </mc:Choice>
  </mc:AlternateContent>
  <bookViews>
    <workbookView xWindow="-105" yWindow="-105" windowWidth="25815" windowHeight="14025" tabRatio="605" firstSheet="1" activeTab="1"/>
  </bookViews>
  <sheets>
    <sheet name="Salary" sheetId="1" state="hidden" r:id="rId1"/>
    <sheet name="Exhibit A Table 1 Rate Ranges" sheetId="8" r:id="rId2"/>
    <sheet name="Exhibit A Table 2 Salary Sched" sheetId="4" r:id="rId3"/>
    <sheet name="Exhibit A -1" sheetId="6" state="hidden" r:id="rId4"/>
    <sheet name="Budget" sheetId="7" state="hidden" r:id="rId5"/>
    <sheet name="Comparison" sheetId="9" state="hidden" r:id="rId6"/>
  </sheets>
  <definedNames>
    <definedName name="_xlnm._FilterDatabase" localSheetId="4" hidden="1">Budget!$B$4:$O$4</definedName>
    <definedName name="_xlnm._FilterDatabase" localSheetId="3" hidden="1">'Exhibit A -1'!$B$4:$I$4</definedName>
    <definedName name="_xlnm._FilterDatabase" localSheetId="1" hidden="1">'Exhibit A Table 1 Rate Ranges'!$B$3:$I$3</definedName>
    <definedName name="_xlnm._FilterDatabase" localSheetId="2" hidden="1">'Exhibit A Table 2 Salary Sched'!$A$3:$T$3</definedName>
    <definedName name="_xlnm.Print_Area" localSheetId="4">Budget!$A$1:$P$25</definedName>
    <definedName name="_xlnm.Print_Area" localSheetId="2">'Exhibit A Table 2 Salary Sched'!$A$3:$T$206</definedName>
    <definedName name="_xlnm.Print_Area" localSheetId="0">Salary!$A$1:$T$45</definedName>
  </definedNames>
  <calcPr calcId="171027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8" i="8" l="1"/>
  <c r="H29" i="8" l="1"/>
  <c r="G29" i="8"/>
  <c r="H28" i="8"/>
  <c r="T166" i="4" l="1"/>
  <c r="T171" i="4" s="1"/>
  <c r="H27" i="8" s="1"/>
  <c r="G166" i="4"/>
  <c r="G171" i="4" s="1"/>
  <c r="T159" i="4"/>
  <c r="T164" i="4" s="1"/>
  <c r="H26" i="8" s="1"/>
  <c r="H159" i="4"/>
  <c r="H164" i="4" s="1"/>
  <c r="G159" i="4"/>
  <c r="G164" i="4" s="1"/>
  <c r="G158" i="4" l="1"/>
  <c r="G163" i="4"/>
  <c r="G26" i="8" s="1"/>
  <c r="H166" i="4"/>
  <c r="H171" i="4" s="1"/>
  <c r="G165" i="4"/>
  <c r="G170" i="4"/>
  <c r="G27" i="8" s="1"/>
  <c r="I159" i="4"/>
  <c r="I163" i="4" s="1"/>
  <c r="H158" i="4"/>
  <c r="T158" i="4"/>
  <c r="H163" i="4"/>
  <c r="T163" i="4"/>
  <c r="T165" i="4"/>
  <c r="T170" i="4"/>
  <c r="I164" i="4"/>
  <c r="H170" i="4" l="1"/>
  <c r="J159" i="4"/>
  <c r="J158" i="4" s="1"/>
  <c r="I166" i="4"/>
  <c r="I171" i="4" s="1"/>
  <c r="H165" i="4"/>
  <c r="I158" i="4"/>
  <c r="J163" i="4"/>
  <c r="J164" i="4"/>
  <c r="G157" i="4"/>
  <c r="G156" i="4"/>
  <c r="G25" i="8" s="1"/>
  <c r="T152" i="4"/>
  <c r="T157" i="4" s="1"/>
  <c r="H25" i="8" s="1"/>
  <c r="H152" i="4"/>
  <c r="H157" i="4" s="1"/>
  <c r="G151" i="4"/>
  <c r="G100" i="4"/>
  <c r="T96" i="4"/>
  <c r="T101" i="4" s="1"/>
  <c r="H96" i="4"/>
  <c r="H101" i="4" s="1"/>
  <c r="G101" i="4"/>
  <c r="G95" i="4"/>
  <c r="K159" i="4" l="1"/>
  <c r="K158" i="4" s="1"/>
  <c r="I170" i="4"/>
  <c r="I165" i="4"/>
  <c r="J166" i="4"/>
  <c r="J165" i="4" s="1"/>
  <c r="I96" i="4"/>
  <c r="I100" i="4" s="1"/>
  <c r="K164" i="4"/>
  <c r="K163" i="4"/>
  <c r="H151" i="4"/>
  <c r="T151" i="4"/>
  <c r="H156" i="4"/>
  <c r="T156" i="4"/>
  <c r="I152" i="4"/>
  <c r="H95" i="4"/>
  <c r="T95" i="4"/>
  <c r="J96" i="4"/>
  <c r="H100" i="4"/>
  <c r="T100" i="4"/>
  <c r="I95" i="4"/>
  <c r="T145" i="4"/>
  <c r="T150" i="4" s="1"/>
  <c r="H24" i="8" s="1"/>
  <c r="H145" i="4"/>
  <c r="H150" i="4" s="1"/>
  <c r="G150" i="4"/>
  <c r="G149" i="4"/>
  <c r="G24" i="8" s="1"/>
  <c r="G144" i="4"/>
  <c r="T143" i="4"/>
  <c r="H23" i="8" s="1"/>
  <c r="S143" i="4"/>
  <c r="R143" i="4"/>
  <c r="Q143" i="4"/>
  <c r="P143" i="4"/>
  <c r="O143" i="4"/>
  <c r="N143" i="4"/>
  <c r="M143" i="4"/>
  <c r="L143" i="4"/>
  <c r="K143" i="4"/>
  <c r="J143" i="4"/>
  <c r="I143" i="4"/>
  <c r="H143" i="4"/>
  <c r="G143" i="4"/>
  <c r="T142" i="4"/>
  <c r="S142" i="4"/>
  <c r="R142" i="4"/>
  <c r="Q142" i="4"/>
  <c r="P142" i="4"/>
  <c r="O142" i="4"/>
  <c r="N142" i="4"/>
  <c r="M142" i="4"/>
  <c r="L142" i="4"/>
  <c r="K142" i="4"/>
  <c r="J142" i="4"/>
  <c r="I142" i="4"/>
  <c r="H142" i="4"/>
  <c r="G142" i="4"/>
  <c r="G23" i="8" s="1"/>
  <c r="T137" i="4"/>
  <c r="S137" i="4"/>
  <c r="R137" i="4"/>
  <c r="Q137" i="4"/>
  <c r="P137" i="4"/>
  <c r="O137" i="4"/>
  <c r="N137" i="4"/>
  <c r="M137" i="4"/>
  <c r="L137" i="4"/>
  <c r="K137" i="4"/>
  <c r="J137" i="4"/>
  <c r="I137" i="4"/>
  <c r="H137" i="4"/>
  <c r="G137" i="4"/>
  <c r="G65" i="4"/>
  <c r="G16" i="8" s="1"/>
  <c r="H61" i="4"/>
  <c r="G60" i="4"/>
  <c r="G54" i="4"/>
  <c r="G53" i="4" s="1"/>
  <c r="G47" i="4"/>
  <c r="G46" i="4" s="1"/>
  <c r="G68" i="4"/>
  <c r="H68" i="4" s="1"/>
  <c r="T89" i="4"/>
  <c r="H82" i="4"/>
  <c r="I82" i="4" s="1"/>
  <c r="J82" i="4" s="1"/>
  <c r="K82" i="4" s="1"/>
  <c r="L82" i="4" s="1"/>
  <c r="M82" i="4" s="1"/>
  <c r="N82" i="4" s="1"/>
  <c r="O82" i="4" s="1"/>
  <c r="P82" i="4" s="1"/>
  <c r="Q82" i="4" s="1"/>
  <c r="R82" i="4" s="1"/>
  <c r="S82" i="4" s="1"/>
  <c r="G89" i="4"/>
  <c r="H89" i="4" s="1"/>
  <c r="G75" i="4"/>
  <c r="H75" i="4" s="1"/>
  <c r="I75" i="4" s="1"/>
  <c r="J75" i="4" s="1"/>
  <c r="K75" i="4" s="1"/>
  <c r="L75" i="4" s="1"/>
  <c r="M75" i="4" s="1"/>
  <c r="N75" i="4" s="1"/>
  <c r="O75" i="4" s="1"/>
  <c r="P75" i="4" s="1"/>
  <c r="Q75" i="4" s="1"/>
  <c r="R75" i="4" s="1"/>
  <c r="S75" i="4" s="1"/>
  <c r="T75" i="4" s="1"/>
  <c r="G81" i="4"/>
  <c r="J170" i="4" l="1"/>
  <c r="L159" i="4"/>
  <c r="L164" i="4" s="1"/>
  <c r="J171" i="4"/>
  <c r="K166" i="4"/>
  <c r="T149" i="4"/>
  <c r="I101" i="4"/>
  <c r="L163" i="4"/>
  <c r="L158" i="4"/>
  <c r="H149" i="4"/>
  <c r="I156" i="4"/>
  <c r="I151" i="4"/>
  <c r="I157" i="4"/>
  <c r="J152" i="4"/>
  <c r="J100" i="4"/>
  <c r="J95" i="4"/>
  <c r="K96" i="4"/>
  <c r="J101" i="4"/>
  <c r="I145" i="4"/>
  <c r="H144" i="4"/>
  <c r="T144" i="4"/>
  <c r="G58" i="4"/>
  <c r="G15" i="8" s="1"/>
  <c r="G72" i="4"/>
  <c r="G17" i="8" s="1"/>
  <c r="G67" i="4"/>
  <c r="G51" i="4"/>
  <c r="G14" i="8" s="1"/>
  <c r="H66" i="4"/>
  <c r="H65" i="4"/>
  <c r="H60" i="4"/>
  <c r="I61" i="4"/>
  <c r="G66" i="4"/>
  <c r="H54" i="4"/>
  <c r="G59" i="4"/>
  <c r="H47" i="4"/>
  <c r="G52" i="4"/>
  <c r="H73" i="4"/>
  <c r="H67" i="4"/>
  <c r="H72" i="4"/>
  <c r="I68" i="4"/>
  <c r="G73" i="4"/>
  <c r="G88" i="4"/>
  <c r="G93" i="4"/>
  <c r="G20" i="8" s="1"/>
  <c r="H94" i="4"/>
  <c r="I89" i="4"/>
  <c r="H93" i="4"/>
  <c r="H88" i="4"/>
  <c r="G94" i="4"/>
  <c r="H81" i="4"/>
  <c r="I87" i="4"/>
  <c r="I86" i="4"/>
  <c r="I81" i="4"/>
  <c r="H87" i="4"/>
  <c r="H86" i="4"/>
  <c r="G86" i="4"/>
  <c r="G19" i="8" s="1"/>
  <c r="G87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T136" i="4"/>
  <c r="H22" i="8" s="1"/>
  <c r="S136" i="4"/>
  <c r="R136" i="4"/>
  <c r="Q136" i="4"/>
  <c r="P136" i="4"/>
  <c r="O136" i="4"/>
  <c r="N136" i="4"/>
  <c r="M136" i="4"/>
  <c r="L136" i="4"/>
  <c r="K136" i="4"/>
  <c r="J136" i="4"/>
  <c r="I136" i="4"/>
  <c r="H136" i="4"/>
  <c r="G136" i="4"/>
  <c r="T135" i="4"/>
  <c r="S135" i="4"/>
  <c r="R135" i="4"/>
  <c r="Q135" i="4"/>
  <c r="P135" i="4"/>
  <c r="O135" i="4"/>
  <c r="N135" i="4"/>
  <c r="M135" i="4"/>
  <c r="L135" i="4"/>
  <c r="K135" i="4"/>
  <c r="J135" i="4"/>
  <c r="I135" i="4"/>
  <c r="H135" i="4"/>
  <c r="G135" i="4"/>
  <c r="G22" i="8" s="1"/>
  <c r="N80" i="4"/>
  <c r="M80" i="4"/>
  <c r="K80" i="4"/>
  <c r="J80" i="4"/>
  <c r="I80" i="4"/>
  <c r="H80" i="4"/>
  <c r="G80" i="4"/>
  <c r="P79" i="4"/>
  <c r="O79" i="4"/>
  <c r="L79" i="4"/>
  <c r="K79" i="4"/>
  <c r="J79" i="4"/>
  <c r="I79" i="4"/>
  <c r="H79" i="4"/>
  <c r="G79" i="4"/>
  <c r="G18" i="8" s="1"/>
  <c r="T130" i="4"/>
  <c r="S130" i="4"/>
  <c r="R130" i="4"/>
  <c r="Q130" i="4"/>
  <c r="P130" i="4"/>
  <c r="O130" i="4"/>
  <c r="N130" i="4"/>
  <c r="M130" i="4"/>
  <c r="L130" i="4"/>
  <c r="K130" i="4"/>
  <c r="J130" i="4"/>
  <c r="I130" i="4"/>
  <c r="H130" i="4"/>
  <c r="G130" i="4"/>
  <c r="T74" i="4"/>
  <c r="S74" i="4"/>
  <c r="M74" i="4"/>
  <c r="L74" i="4"/>
  <c r="K74" i="4"/>
  <c r="J74" i="4"/>
  <c r="I74" i="4"/>
  <c r="H74" i="4"/>
  <c r="G74" i="4"/>
  <c r="H18" i="4"/>
  <c r="I18" i="4"/>
  <c r="J18" i="4"/>
  <c r="K18" i="4"/>
  <c r="L18" i="4"/>
  <c r="M18" i="4"/>
  <c r="N18" i="4"/>
  <c r="O18" i="4"/>
  <c r="P18" i="4"/>
  <c r="Q18" i="4"/>
  <c r="R18" i="4"/>
  <c r="S18" i="4"/>
  <c r="T18" i="4"/>
  <c r="G18" i="4"/>
  <c r="T12" i="4"/>
  <c r="T17" i="4" s="1"/>
  <c r="S12" i="4"/>
  <c r="S17" i="4" s="1"/>
  <c r="R12" i="4"/>
  <c r="J14" i="7" s="1"/>
  <c r="M14" i="7" s="1"/>
  <c r="C12" i="9" s="1"/>
  <c r="D12" i="9" s="1"/>
  <c r="Q12" i="4"/>
  <c r="Q17" i="4" s="1"/>
  <c r="P12" i="4"/>
  <c r="P17" i="4" s="1"/>
  <c r="O12" i="4"/>
  <c r="O17" i="4" s="1"/>
  <c r="N12" i="4"/>
  <c r="N16" i="4" s="1"/>
  <c r="M12" i="4"/>
  <c r="M16" i="4" s="1"/>
  <c r="L12" i="4"/>
  <c r="L17" i="4" s="1"/>
  <c r="K12" i="4"/>
  <c r="K17" i="4" s="1"/>
  <c r="J12" i="4"/>
  <c r="J16" i="4" s="1"/>
  <c r="I12" i="4"/>
  <c r="I17" i="4" s="1"/>
  <c r="H12" i="4"/>
  <c r="H17" i="4" s="1"/>
  <c r="G12" i="4"/>
  <c r="G16" i="4" s="1"/>
  <c r="K16" i="4"/>
  <c r="T16" i="4"/>
  <c r="C15" i="9"/>
  <c r="D15" i="9" s="1"/>
  <c r="B18" i="9"/>
  <c r="F18" i="7"/>
  <c r="T10" i="7"/>
  <c r="P18" i="7"/>
  <c r="H193" i="4"/>
  <c r="H194" i="4" s="1"/>
  <c r="G194" i="4"/>
  <c r="G199" i="4" s="1"/>
  <c r="H10" i="8" s="1"/>
  <c r="F10" i="7"/>
  <c r="G10" i="7" s="1"/>
  <c r="F9" i="7"/>
  <c r="G9" i="7" s="1"/>
  <c r="F8" i="7"/>
  <c r="G8" i="7" s="1"/>
  <c r="F7" i="7"/>
  <c r="F14" i="7"/>
  <c r="T12" i="7"/>
  <c r="F13" i="7"/>
  <c r="G13" i="7" s="1"/>
  <c r="F20" i="7"/>
  <c r="F19" i="7"/>
  <c r="F15" i="7"/>
  <c r="G15" i="7" s="1"/>
  <c r="F21" i="7"/>
  <c r="F12" i="7"/>
  <c r="F5" i="7"/>
  <c r="G5" i="7" s="1"/>
  <c r="F11" i="7"/>
  <c r="G11" i="7" s="1"/>
  <c r="P11" i="7"/>
  <c r="P13" i="7"/>
  <c r="V11" i="7"/>
  <c r="V12" i="7"/>
  <c r="V10" i="7"/>
  <c r="T11" i="7"/>
  <c r="J15" i="7"/>
  <c r="M15" i="7" s="1"/>
  <c r="C13" i="9" s="1"/>
  <c r="D13" i="9" s="1"/>
  <c r="P5" i="7"/>
  <c r="P12" i="7"/>
  <c r="P21" i="7"/>
  <c r="P6" i="7"/>
  <c r="P15" i="7"/>
  <c r="P19" i="7"/>
  <c r="P20" i="7"/>
  <c r="P16" i="7"/>
  <c r="P7" i="7"/>
  <c r="P8" i="7"/>
  <c r="P9" i="7"/>
  <c r="P10" i="7"/>
  <c r="L25" i="7"/>
  <c r="O17" i="7"/>
  <c r="P17" i="7" s="1"/>
  <c r="O14" i="7"/>
  <c r="P14" i="7"/>
  <c r="G117" i="4"/>
  <c r="G121" i="4" s="1"/>
  <c r="H201" i="4"/>
  <c r="H205" i="4" s="1"/>
  <c r="I201" i="4"/>
  <c r="I206" i="4" s="1"/>
  <c r="J201" i="4"/>
  <c r="J205" i="4" s="1"/>
  <c r="K201" i="4"/>
  <c r="K206" i="4" s="1"/>
  <c r="L201" i="4"/>
  <c r="L205" i="4" s="1"/>
  <c r="M201" i="4"/>
  <c r="M206" i="4" s="1"/>
  <c r="N201" i="4"/>
  <c r="N205" i="4" s="1"/>
  <c r="O201" i="4"/>
  <c r="O206" i="4" s="1"/>
  <c r="P201" i="4"/>
  <c r="P205" i="4" s="1"/>
  <c r="Q201" i="4"/>
  <c r="R201" i="4"/>
  <c r="R205" i="4" s="1"/>
  <c r="S201" i="4"/>
  <c r="S206" i="4" s="1"/>
  <c r="T201" i="4"/>
  <c r="T205" i="4" s="1"/>
  <c r="G201" i="4"/>
  <c r="G206" i="4" s="1"/>
  <c r="H187" i="4"/>
  <c r="H191" i="4" s="1"/>
  <c r="I187" i="4"/>
  <c r="I192" i="4" s="1"/>
  <c r="J187" i="4"/>
  <c r="J191" i="4" s="1"/>
  <c r="K187" i="4"/>
  <c r="K191" i="4" s="1"/>
  <c r="K192" i="4"/>
  <c r="L187" i="4"/>
  <c r="M187" i="4"/>
  <c r="M191" i="4" s="1"/>
  <c r="N187" i="4"/>
  <c r="N192" i="4" s="1"/>
  <c r="O187" i="4"/>
  <c r="O192" i="4" s="1"/>
  <c r="P187" i="4"/>
  <c r="P192" i="4" s="1"/>
  <c r="Q187" i="4"/>
  <c r="Q191" i="4" s="1"/>
  <c r="R187" i="4"/>
  <c r="R191" i="4" s="1"/>
  <c r="S187" i="4"/>
  <c r="S191" i="4" s="1"/>
  <c r="T187" i="4"/>
  <c r="T192" i="4" s="1"/>
  <c r="H9" i="8" s="1"/>
  <c r="G187" i="4"/>
  <c r="G192" i="4" s="1"/>
  <c r="H124" i="4"/>
  <c r="H128" i="4" s="1"/>
  <c r="I124" i="4"/>
  <c r="I128" i="4" s="1"/>
  <c r="J124" i="4"/>
  <c r="J128" i="4" s="1"/>
  <c r="K124" i="4"/>
  <c r="K128" i="4" s="1"/>
  <c r="L124" i="4"/>
  <c r="L129" i="4" s="1"/>
  <c r="M124" i="4"/>
  <c r="M129" i="4" s="1"/>
  <c r="N124" i="4"/>
  <c r="N128" i="4" s="1"/>
  <c r="O124" i="4"/>
  <c r="O128" i="4" s="1"/>
  <c r="P124" i="4"/>
  <c r="P128" i="4" s="1"/>
  <c r="Q124" i="4"/>
  <c r="Q128" i="4" s="1"/>
  <c r="R124" i="4"/>
  <c r="S124" i="4"/>
  <c r="S128" i="4" s="1"/>
  <c r="T124" i="4"/>
  <c r="J20" i="7" s="1"/>
  <c r="M20" i="7" s="1"/>
  <c r="C16" i="9" s="1"/>
  <c r="D16" i="9" s="1"/>
  <c r="G124" i="4"/>
  <c r="G128" i="4" s="1"/>
  <c r="H117" i="4"/>
  <c r="H122" i="4" s="1"/>
  <c r="I117" i="4"/>
  <c r="I122" i="4" s="1"/>
  <c r="J117" i="4"/>
  <c r="J122" i="4" s="1"/>
  <c r="K117" i="4"/>
  <c r="K122" i="4" s="1"/>
  <c r="L117" i="4"/>
  <c r="L122" i="4" s="1"/>
  <c r="M117" i="4"/>
  <c r="M122" i="4" s="1"/>
  <c r="N117" i="4"/>
  <c r="N121" i="4" s="1"/>
  <c r="O117" i="4"/>
  <c r="O121" i="4" s="1"/>
  <c r="P117" i="4"/>
  <c r="P122" i="4" s="1"/>
  <c r="Q117" i="4"/>
  <c r="Q122" i="4" s="1"/>
  <c r="R117" i="4"/>
  <c r="R121" i="4" s="1"/>
  <c r="S117" i="4"/>
  <c r="S122" i="4" s="1"/>
  <c r="T117" i="4"/>
  <c r="T122" i="4" s="1"/>
  <c r="H110" i="4"/>
  <c r="I110" i="4"/>
  <c r="I114" i="4" s="1"/>
  <c r="J110" i="4"/>
  <c r="J5" i="7" s="1"/>
  <c r="M5" i="7" s="1"/>
  <c r="C4" i="9" s="1"/>
  <c r="K110" i="4"/>
  <c r="K115" i="4" s="1"/>
  <c r="L110" i="4"/>
  <c r="L115" i="4" s="1"/>
  <c r="M110" i="4"/>
  <c r="M114" i="4" s="1"/>
  <c r="N110" i="4"/>
  <c r="N115" i="4" s="1"/>
  <c r="O110" i="4"/>
  <c r="O114" i="4" s="1"/>
  <c r="P110" i="4"/>
  <c r="P115" i="4" s="1"/>
  <c r="Q110" i="4"/>
  <c r="Q114" i="4" s="1"/>
  <c r="R110" i="4"/>
  <c r="R114" i="4" s="1"/>
  <c r="S110" i="4"/>
  <c r="S115" i="4" s="1"/>
  <c r="T110" i="4"/>
  <c r="G110" i="4"/>
  <c r="G114" i="4" s="1"/>
  <c r="H103" i="4"/>
  <c r="H108" i="4" s="1"/>
  <c r="I103" i="4"/>
  <c r="I108" i="4" s="1"/>
  <c r="J103" i="4"/>
  <c r="J107" i="4" s="1"/>
  <c r="K103" i="4"/>
  <c r="K108" i="4" s="1"/>
  <c r="L103" i="4"/>
  <c r="L107" i="4" s="1"/>
  <c r="M103" i="4"/>
  <c r="M108" i="4" s="1"/>
  <c r="N103" i="4"/>
  <c r="N107" i="4" s="1"/>
  <c r="O103" i="4"/>
  <c r="O107" i="4" s="1"/>
  <c r="P103" i="4"/>
  <c r="P108" i="4" s="1"/>
  <c r="H7" i="8" s="1"/>
  <c r="Q103" i="4"/>
  <c r="Q107" i="4" s="1"/>
  <c r="R103" i="4"/>
  <c r="S103" i="4"/>
  <c r="S107" i="4" s="1"/>
  <c r="T103" i="4"/>
  <c r="G103" i="4"/>
  <c r="G108" i="4" s="1"/>
  <c r="H40" i="4"/>
  <c r="H45" i="4" s="1"/>
  <c r="I40" i="4"/>
  <c r="I45" i="4" s="1"/>
  <c r="J40" i="4"/>
  <c r="J45" i="4" s="1"/>
  <c r="K40" i="4"/>
  <c r="K45" i="4" s="1"/>
  <c r="L40" i="4"/>
  <c r="L44" i="4" s="1"/>
  <c r="M40" i="4"/>
  <c r="M45" i="4" s="1"/>
  <c r="N40" i="4"/>
  <c r="N45" i="4" s="1"/>
  <c r="O40" i="4"/>
  <c r="O44" i="4" s="1"/>
  <c r="P40" i="4"/>
  <c r="P44" i="4" s="1"/>
  <c r="Q40" i="4"/>
  <c r="Q44" i="4" s="1"/>
  <c r="R40" i="4"/>
  <c r="R45" i="4" s="1"/>
  <c r="S40" i="4"/>
  <c r="J21" i="7" s="1"/>
  <c r="M21" i="7" s="1"/>
  <c r="C17" i="9" s="1"/>
  <c r="D17" i="9" s="1"/>
  <c r="T40" i="4"/>
  <c r="G40" i="4"/>
  <c r="G44" i="4" s="1"/>
  <c r="H33" i="4"/>
  <c r="H37" i="4" s="1"/>
  <c r="I33" i="4"/>
  <c r="I38" i="4" s="1"/>
  <c r="J33" i="4"/>
  <c r="J38" i="4" s="1"/>
  <c r="K33" i="4"/>
  <c r="K38" i="4" s="1"/>
  <c r="L33" i="4"/>
  <c r="L38" i="4" s="1"/>
  <c r="M33" i="4"/>
  <c r="M37" i="4" s="1"/>
  <c r="N33" i="4"/>
  <c r="N38" i="4" s="1"/>
  <c r="O33" i="4"/>
  <c r="O37" i="4" s="1"/>
  <c r="P33" i="4"/>
  <c r="P37" i="4" s="1"/>
  <c r="Q33" i="4"/>
  <c r="Q37" i="4" s="1"/>
  <c r="R33" i="4"/>
  <c r="R38" i="4" s="1"/>
  <c r="S33" i="4"/>
  <c r="T33" i="4"/>
  <c r="G33" i="4"/>
  <c r="G37" i="4" s="1"/>
  <c r="T26" i="4"/>
  <c r="T31" i="4" s="1"/>
  <c r="S26" i="4"/>
  <c r="R26" i="4"/>
  <c r="R30" i="4" s="1"/>
  <c r="Q26" i="4"/>
  <c r="Q31" i="4" s="1"/>
  <c r="P26" i="4"/>
  <c r="P31" i="4" s="1"/>
  <c r="O26" i="4"/>
  <c r="N26" i="4"/>
  <c r="N31" i="4" s="1"/>
  <c r="M26" i="4"/>
  <c r="L26" i="4"/>
  <c r="L31" i="4" s="1"/>
  <c r="K26" i="4"/>
  <c r="K31" i="4" s="1"/>
  <c r="J26" i="4"/>
  <c r="J30" i="4" s="1"/>
  <c r="I26" i="4"/>
  <c r="I30" i="4" s="1"/>
  <c r="H26" i="4"/>
  <c r="H31" i="4" s="1"/>
  <c r="G26" i="4"/>
  <c r="G31" i="4" s="1"/>
  <c r="G14" i="6"/>
  <c r="K25" i="7"/>
  <c r="J13" i="7"/>
  <c r="M13" i="7" s="1"/>
  <c r="C11" i="9" s="1"/>
  <c r="D11" i="9" s="1"/>
  <c r="T35" i="1"/>
  <c r="T36" i="1" s="1"/>
  <c r="T37" i="1" s="1"/>
  <c r="S35" i="1"/>
  <c r="S36" i="1"/>
  <c r="S37" i="1" s="1"/>
  <c r="R35" i="1"/>
  <c r="R36" i="1" s="1"/>
  <c r="R37" i="1" s="1"/>
  <c r="Q35" i="1"/>
  <c r="Q36" i="1" s="1"/>
  <c r="Q37" i="1"/>
  <c r="P35" i="1"/>
  <c r="P36" i="1" s="1"/>
  <c r="P37" i="1" s="1"/>
  <c r="O35" i="1"/>
  <c r="O36" i="1"/>
  <c r="O37" i="1" s="1"/>
  <c r="N35" i="1"/>
  <c r="N36" i="1" s="1"/>
  <c r="N37" i="1" s="1"/>
  <c r="M35" i="1"/>
  <c r="M36" i="1" s="1"/>
  <c r="M37" i="1" s="1"/>
  <c r="L35" i="1"/>
  <c r="L36" i="1"/>
  <c r="L37" i="1" s="1"/>
  <c r="K35" i="1"/>
  <c r="K36" i="1" s="1"/>
  <c r="K37" i="1" s="1"/>
  <c r="J35" i="1"/>
  <c r="J36" i="1" s="1"/>
  <c r="J37" i="1" s="1"/>
  <c r="I35" i="1"/>
  <c r="I36" i="1" s="1"/>
  <c r="I37" i="1" s="1"/>
  <c r="H35" i="1"/>
  <c r="H36" i="1" s="1"/>
  <c r="H37" i="1" s="1"/>
  <c r="G35" i="1"/>
  <c r="G36" i="1" s="1"/>
  <c r="G37" i="1" s="1"/>
  <c r="T27" i="1"/>
  <c r="T28" i="1"/>
  <c r="T29" i="1"/>
  <c r="S27" i="1"/>
  <c r="S28" i="1" s="1"/>
  <c r="S29" i="1" s="1"/>
  <c r="R27" i="1"/>
  <c r="R28" i="1"/>
  <c r="R29" i="1" s="1"/>
  <c r="Q27" i="1"/>
  <c r="Q28" i="1" s="1"/>
  <c r="Q29" i="1" s="1"/>
  <c r="P27" i="1"/>
  <c r="P28" i="1" s="1"/>
  <c r="P29" i="1" s="1"/>
  <c r="O27" i="1"/>
  <c r="O28" i="1" s="1"/>
  <c r="O29" i="1" s="1"/>
  <c r="N27" i="1"/>
  <c r="N28" i="1"/>
  <c r="N29" i="1" s="1"/>
  <c r="M27" i="1"/>
  <c r="M28" i="1" s="1"/>
  <c r="M29" i="1" s="1"/>
  <c r="L27" i="1"/>
  <c r="L28" i="1"/>
  <c r="L29" i="1" s="1"/>
  <c r="K27" i="1"/>
  <c r="K28" i="1" s="1"/>
  <c r="K29" i="1" s="1"/>
  <c r="G27" i="1"/>
  <c r="G28" i="1" s="1"/>
  <c r="G29" i="1" s="1"/>
  <c r="H27" i="1"/>
  <c r="H28" i="1" s="1"/>
  <c r="H29" i="1" s="1"/>
  <c r="I27" i="1"/>
  <c r="I28" i="1" s="1"/>
  <c r="I29" i="1" s="1"/>
  <c r="J27" i="1"/>
  <c r="J28" i="1" s="1"/>
  <c r="J29" i="1" s="1"/>
  <c r="T23" i="1"/>
  <c r="T24" i="1" s="1"/>
  <c r="T25" i="1" s="1"/>
  <c r="S23" i="1"/>
  <c r="S24" i="1" s="1"/>
  <c r="S25" i="1"/>
  <c r="R23" i="1"/>
  <c r="R24" i="1" s="1"/>
  <c r="R25" i="1" s="1"/>
  <c r="Q23" i="1"/>
  <c r="Q24" i="1" s="1"/>
  <c r="Q25" i="1"/>
  <c r="P23" i="1"/>
  <c r="P24" i="1" s="1"/>
  <c r="P25" i="1" s="1"/>
  <c r="O23" i="1"/>
  <c r="O24" i="1" s="1"/>
  <c r="O25" i="1" s="1"/>
  <c r="N23" i="1"/>
  <c r="N24" i="1" s="1"/>
  <c r="N25" i="1" s="1"/>
  <c r="M23" i="1"/>
  <c r="M24" i="1" s="1"/>
  <c r="M25" i="1" s="1"/>
  <c r="L23" i="1"/>
  <c r="L24" i="1" s="1"/>
  <c r="L25" i="1" s="1"/>
  <c r="K23" i="1"/>
  <c r="K24" i="1" s="1"/>
  <c r="K25" i="1"/>
  <c r="J23" i="1"/>
  <c r="J24" i="1" s="1"/>
  <c r="J25" i="1" s="1"/>
  <c r="I23" i="1"/>
  <c r="I24" i="1" s="1"/>
  <c r="I25" i="1" s="1"/>
  <c r="H23" i="1"/>
  <c r="H24" i="1" s="1"/>
  <c r="H25" i="1" s="1"/>
  <c r="G23" i="1"/>
  <c r="G24" i="1" s="1"/>
  <c r="G25" i="1" s="1"/>
  <c r="T7" i="1"/>
  <c r="T8" i="1" s="1"/>
  <c r="T9" i="1" s="1"/>
  <c r="G7" i="1"/>
  <c r="G8" i="1" s="1"/>
  <c r="G9" i="1" s="1"/>
  <c r="T43" i="1"/>
  <c r="T44" i="1" s="1"/>
  <c r="T45" i="1" s="1"/>
  <c r="S43" i="1"/>
  <c r="S44" i="1" s="1"/>
  <c r="S45" i="1"/>
  <c r="R43" i="1"/>
  <c r="R44" i="1" s="1"/>
  <c r="R45" i="1" s="1"/>
  <c r="Q43" i="1"/>
  <c r="Q44" i="1" s="1"/>
  <c r="Q45" i="1"/>
  <c r="P43" i="1"/>
  <c r="P44" i="1" s="1"/>
  <c r="P45" i="1" s="1"/>
  <c r="O43" i="1"/>
  <c r="O44" i="1" s="1"/>
  <c r="O45" i="1" s="1"/>
  <c r="N43" i="1"/>
  <c r="N44" i="1" s="1"/>
  <c r="N45" i="1" s="1"/>
  <c r="M43" i="1"/>
  <c r="M44" i="1" s="1"/>
  <c r="M45" i="1" s="1"/>
  <c r="L43" i="1"/>
  <c r="L44" i="1" s="1"/>
  <c r="L45" i="1" s="1"/>
  <c r="K43" i="1"/>
  <c r="K44" i="1" s="1"/>
  <c r="K45" i="1"/>
  <c r="J43" i="1"/>
  <c r="J44" i="1" s="1"/>
  <c r="J45" i="1" s="1"/>
  <c r="I43" i="1"/>
  <c r="I44" i="1" s="1"/>
  <c r="I45" i="1" s="1"/>
  <c r="H43" i="1"/>
  <c r="H44" i="1" s="1"/>
  <c r="H45" i="1" s="1"/>
  <c r="G43" i="1"/>
  <c r="G44" i="1" s="1"/>
  <c r="G45" i="1" s="1"/>
  <c r="T39" i="1"/>
  <c r="T40" i="1" s="1"/>
  <c r="T41" i="1" s="1"/>
  <c r="S39" i="1"/>
  <c r="S40" i="1" s="1"/>
  <c r="S41" i="1" s="1"/>
  <c r="R39" i="1"/>
  <c r="R40" i="1" s="1"/>
  <c r="R41" i="1" s="1"/>
  <c r="Q39" i="1"/>
  <c r="Q40" i="1" s="1"/>
  <c r="Q41" i="1"/>
  <c r="P39" i="1"/>
  <c r="P40" i="1" s="1"/>
  <c r="P41" i="1" s="1"/>
  <c r="O39" i="1"/>
  <c r="O40" i="1" s="1"/>
  <c r="O41" i="1"/>
  <c r="N39" i="1"/>
  <c r="N40" i="1" s="1"/>
  <c r="N41" i="1" s="1"/>
  <c r="M39" i="1"/>
  <c r="M40" i="1" s="1"/>
  <c r="M41" i="1" s="1"/>
  <c r="L39" i="1"/>
  <c r="L40" i="1" s="1"/>
  <c r="L41" i="1" s="1"/>
  <c r="K39" i="1"/>
  <c r="K40" i="1" s="1"/>
  <c r="K41" i="1" s="1"/>
  <c r="J39" i="1"/>
  <c r="J40" i="1" s="1"/>
  <c r="J41" i="1" s="1"/>
  <c r="I39" i="1"/>
  <c r="I40" i="1" s="1"/>
  <c r="I41" i="1"/>
  <c r="H39" i="1"/>
  <c r="H40" i="1" s="1"/>
  <c r="H41" i="1" s="1"/>
  <c r="G39" i="1"/>
  <c r="G40" i="1" s="1"/>
  <c r="G41" i="1" s="1"/>
  <c r="T31" i="1"/>
  <c r="T32" i="1" s="1"/>
  <c r="T33" i="1" s="1"/>
  <c r="S31" i="1"/>
  <c r="S32" i="1" s="1"/>
  <c r="S33" i="1" s="1"/>
  <c r="R31" i="1"/>
  <c r="R32" i="1" s="1"/>
  <c r="R33" i="1" s="1"/>
  <c r="Q31" i="1"/>
  <c r="Q32" i="1" s="1"/>
  <c r="Q33" i="1" s="1"/>
  <c r="P31" i="1"/>
  <c r="P32" i="1" s="1"/>
  <c r="P33" i="1" s="1"/>
  <c r="O31" i="1"/>
  <c r="O32" i="1" s="1"/>
  <c r="O33" i="1"/>
  <c r="N31" i="1"/>
  <c r="N32" i="1" s="1"/>
  <c r="N33" i="1" s="1"/>
  <c r="M31" i="1"/>
  <c r="M32" i="1" s="1"/>
  <c r="M33" i="1"/>
  <c r="L31" i="1"/>
  <c r="L32" i="1" s="1"/>
  <c r="L33" i="1" s="1"/>
  <c r="K31" i="1"/>
  <c r="K32" i="1" s="1"/>
  <c r="K33" i="1" s="1"/>
  <c r="J31" i="1"/>
  <c r="J32" i="1" s="1"/>
  <c r="J33" i="1" s="1"/>
  <c r="I31" i="1"/>
  <c r="I32" i="1" s="1"/>
  <c r="I33" i="1" s="1"/>
  <c r="H31" i="1"/>
  <c r="H32" i="1" s="1"/>
  <c r="H33" i="1" s="1"/>
  <c r="G31" i="1"/>
  <c r="G32" i="1" s="1"/>
  <c r="G33" i="1"/>
  <c r="T19" i="1"/>
  <c r="T20" i="1" s="1"/>
  <c r="T21" i="1" s="1"/>
  <c r="S19" i="1"/>
  <c r="S20" i="1" s="1"/>
  <c r="S21" i="1" s="1"/>
  <c r="R19" i="1"/>
  <c r="R20" i="1" s="1"/>
  <c r="R21" i="1" s="1"/>
  <c r="Q19" i="1"/>
  <c r="Q20" i="1" s="1"/>
  <c r="Q21" i="1" s="1"/>
  <c r="P19" i="1"/>
  <c r="P20" i="1" s="1"/>
  <c r="P21" i="1" s="1"/>
  <c r="O19" i="1"/>
  <c r="O20" i="1" s="1"/>
  <c r="O21" i="1" s="1"/>
  <c r="N19" i="1"/>
  <c r="N20" i="1" s="1"/>
  <c r="N21" i="1" s="1"/>
  <c r="M19" i="1"/>
  <c r="M20" i="1" s="1"/>
  <c r="M21" i="1"/>
  <c r="L19" i="1"/>
  <c r="L20" i="1" s="1"/>
  <c r="L21" i="1" s="1"/>
  <c r="K19" i="1"/>
  <c r="K20" i="1" s="1"/>
  <c r="K21" i="1"/>
  <c r="J19" i="1"/>
  <c r="J20" i="1" s="1"/>
  <c r="J21" i="1" s="1"/>
  <c r="I19" i="1"/>
  <c r="I20" i="1" s="1"/>
  <c r="I21" i="1" s="1"/>
  <c r="H19" i="1"/>
  <c r="H20" i="1" s="1"/>
  <c r="H21" i="1" s="1"/>
  <c r="G19" i="1"/>
  <c r="G20" i="1" s="1"/>
  <c r="G21" i="1" s="1"/>
  <c r="T15" i="1"/>
  <c r="T16" i="1" s="1"/>
  <c r="T17" i="1" s="1"/>
  <c r="S15" i="1"/>
  <c r="S16" i="1" s="1"/>
  <c r="S17" i="1"/>
  <c r="R15" i="1"/>
  <c r="R16" i="1" s="1"/>
  <c r="R17" i="1" s="1"/>
  <c r="Q15" i="1"/>
  <c r="Q16" i="1" s="1"/>
  <c r="Q17" i="1" s="1"/>
  <c r="P15" i="1"/>
  <c r="P16" i="1" s="1"/>
  <c r="P17" i="1" s="1"/>
  <c r="O15" i="1"/>
  <c r="O16" i="1"/>
  <c r="O17" i="1" s="1"/>
  <c r="N15" i="1"/>
  <c r="N16" i="1" s="1"/>
  <c r="N17" i="1" s="1"/>
  <c r="M15" i="1"/>
  <c r="M16" i="1"/>
  <c r="M17" i="1" s="1"/>
  <c r="L15" i="1"/>
  <c r="L16" i="1" s="1"/>
  <c r="L17" i="1" s="1"/>
  <c r="K15" i="1"/>
  <c r="K16" i="1" s="1"/>
  <c r="K17" i="1" s="1"/>
  <c r="J15" i="1"/>
  <c r="J16" i="1"/>
  <c r="J17" i="1" s="1"/>
  <c r="I15" i="1"/>
  <c r="I16" i="1" s="1"/>
  <c r="I17" i="1" s="1"/>
  <c r="H15" i="1"/>
  <c r="H16" i="1" s="1"/>
  <c r="H17" i="1"/>
  <c r="G15" i="1"/>
  <c r="G16" i="1" s="1"/>
  <c r="G17" i="1" s="1"/>
  <c r="T11" i="1"/>
  <c r="T12" i="1"/>
  <c r="T13" i="1" s="1"/>
  <c r="S11" i="1"/>
  <c r="S12" i="1"/>
  <c r="S13" i="1" s="1"/>
  <c r="R11" i="1"/>
  <c r="R12" i="1" s="1"/>
  <c r="R13" i="1" s="1"/>
  <c r="Q11" i="1"/>
  <c r="Q12" i="1"/>
  <c r="Q13" i="1" s="1"/>
  <c r="P11" i="1"/>
  <c r="P12" i="1" s="1"/>
  <c r="P13" i="1" s="1"/>
  <c r="O11" i="1"/>
  <c r="O12" i="1"/>
  <c r="O13" i="1" s="1"/>
  <c r="N11" i="1"/>
  <c r="N12" i="1" s="1"/>
  <c r="N13" i="1" s="1"/>
  <c r="M11" i="1"/>
  <c r="M12" i="1" s="1"/>
  <c r="M13" i="1" s="1"/>
  <c r="L11" i="1"/>
  <c r="L12" i="1"/>
  <c r="L13" i="1" s="1"/>
  <c r="K11" i="1"/>
  <c r="K12" i="1" s="1"/>
  <c r="K13" i="1" s="1"/>
  <c r="J11" i="1"/>
  <c r="J12" i="1" s="1"/>
  <c r="J13" i="1" s="1"/>
  <c r="I11" i="1"/>
  <c r="I12" i="1" s="1"/>
  <c r="I13" i="1" s="1"/>
  <c r="H11" i="1"/>
  <c r="H12" i="1" s="1"/>
  <c r="H13" i="1" s="1"/>
  <c r="G11" i="1"/>
  <c r="G12" i="1"/>
  <c r="G13" i="1" s="1"/>
  <c r="S7" i="1"/>
  <c r="S8" i="1" s="1"/>
  <c r="S9" i="1" s="1"/>
  <c r="R7" i="1"/>
  <c r="R8" i="1"/>
  <c r="R9" i="1" s="1"/>
  <c r="Q7" i="1"/>
  <c r="Q8" i="1" s="1"/>
  <c r="Q9" i="1" s="1"/>
  <c r="P7" i="1"/>
  <c r="P8" i="1" s="1"/>
  <c r="P9" i="1" s="1"/>
  <c r="O7" i="1"/>
  <c r="O8" i="1" s="1"/>
  <c r="O9" i="1"/>
  <c r="N7" i="1"/>
  <c r="N8" i="1" s="1"/>
  <c r="N9" i="1" s="1"/>
  <c r="M7" i="1"/>
  <c r="M8" i="1"/>
  <c r="M9" i="1" s="1"/>
  <c r="L7" i="1"/>
  <c r="L8" i="1" s="1"/>
  <c r="L9" i="1" s="1"/>
  <c r="K7" i="1"/>
  <c r="K8" i="1" s="1"/>
  <c r="K9" i="1" s="1"/>
  <c r="J7" i="1"/>
  <c r="J8" i="1"/>
  <c r="J9" i="1" s="1"/>
  <c r="I7" i="1"/>
  <c r="I8" i="1" s="1"/>
  <c r="I9" i="1" s="1"/>
  <c r="H7" i="1"/>
  <c r="H8" i="1"/>
  <c r="H9" i="1" s="1"/>
  <c r="I44" i="4"/>
  <c r="G13" i="9"/>
  <c r="M16" i="7"/>
  <c r="C14" i="9" s="1"/>
  <c r="D14" i="9" s="1"/>
  <c r="S192" i="4"/>
  <c r="R122" i="4"/>
  <c r="G12" i="6"/>
  <c r="N108" i="4"/>
  <c r="F12" i="6"/>
  <c r="R108" i="4"/>
  <c r="H6" i="8" s="1"/>
  <c r="T129" i="4"/>
  <c r="H12" i="8" s="1"/>
  <c r="H107" i="4"/>
  <c r="G205" i="4"/>
  <c r="G9" i="6"/>
  <c r="H114" i="4"/>
  <c r="R107" i="4"/>
  <c r="G6" i="8" s="1"/>
  <c r="J37" i="4"/>
  <c r="G6" i="7"/>
  <c r="R206" i="4"/>
  <c r="F14" i="6"/>
  <c r="H121" i="4"/>
  <c r="S37" i="4"/>
  <c r="G11" i="8" s="1"/>
  <c r="G16" i="7"/>
  <c r="G115" i="4"/>
  <c r="P45" i="4"/>
  <c r="T44" i="4"/>
  <c r="T45" i="4"/>
  <c r="L45" i="4"/>
  <c r="O108" i="4"/>
  <c r="Q129" i="4"/>
  <c r="I129" i="4"/>
  <c r="H192" i="4"/>
  <c r="M6" i="7"/>
  <c r="C5" i="9" s="1"/>
  <c r="D5" i="9" s="1"/>
  <c r="P25" i="7" l="1"/>
  <c r="L128" i="4"/>
  <c r="T128" i="4"/>
  <c r="G12" i="8" s="1"/>
  <c r="M121" i="4"/>
  <c r="R16" i="4"/>
  <c r="G8" i="8" s="1"/>
  <c r="S45" i="4"/>
  <c r="H13" i="8" s="1"/>
  <c r="M159" i="4"/>
  <c r="M164" i="4" s="1"/>
  <c r="L166" i="4"/>
  <c r="K165" i="4"/>
  <c r="K171" i="4"/>
  <c r="K170" i="4"/>
  <c r="L30" i="4"/>
  <c r="G19" i="7"/>
  <c r="G14" i="7"/>
  <c r="K121" i="4"/>
  <c r="K107" i="4"/>
  <c r="R115" i="4"/>
  <c r="J10" i="7"/>
  <c r="M10" i="7" s="1"/>
  <c r="C9" i="9" s="1"/>
  <c r="D9" i="9" s="1"/>
  <c r="E9" i="9" s="1"/>
  <c r="G21" i="7"/>
  <c r="M38" i="4"/>
  <c r="M163" i="4"/>
  <c r="M158" i="4"/>
  <c r="N159" i="4"/>
  <c r="M107" i="4"/>
  <c r="O129" i="4"/>
  <c r="S129" i="4"/>
  <c r="S114" i="4"/>
  <c r="L121" i="4"/>
  <c r="G16" i="6"/>
  <c r="R17" i="4"/>
  <c r="H8" i="8" s="1"/>
  <c r="O16" i="4"/>
  <c r="F15" i="6"/>
  <c r="P121" i="4"/>
  <c r="H206" i="4"/>
  <c r="N17" i="4"/>
  <c r="T107" i="4"/>
  <c r="G5" i="8" s="1"/>
  <c r="K205" i="4"/>
  <c r="O205" i="4"/>
  <c r="G122" i="4"/>
  <c r="G10" i="6"/>
  <c r="F10" i="6"/>
  <c r="L108" i="4"/>
  <c r="I37" i="4"/>
  <c r="T115" i="4"/>
  <c r="J18" i="7"/>
  <c r="M18" i="7" s="1"/>
  <c r="Q16" i="4"/>
  <c r="P38" i="4"/>
  <c r="O122" i="4"/>
  <c r="F8" i="6"/>
  <c r="J156" i="4"/>
  <c r="J151" i="4"/>
  <c r="J157" i="4"/>
  <c r="K152" i="4"/>
  <c r="L96" i="4"/>
  <c r="K95" i="4"/>
  <c r="K101" i="4"/>
  <c r="K100" i="4"/>
  <c r="N122" i="4"/>
  <c r="Q192" i="4"/>
  <c r="R37" i="4"/>
  <c r="G15" i="6"/>
  <c r="F16" i="6"/>
  <c r="O115" i="4"/>
  <c r="I16" i="4"/>
  <c r="S16" i="4"/>
  <c r="I107" i="4"/>
  <c r="G191" i="4"/>
  <c r="G9" i="8" s="1"/>
  <c r="N44" i="4"/>
  <c r="I115" i="4"/>
  <c r="F17" i="6"/>
  <c r="J192" i="4"/>
  <c r="T108" i="4"/>
  <c r="H5" i="8" s="1"/>
  <c r="M192" i="4"/>
  <c r="Q30" i="4"/>
  <c r="J129" i="4"/>
  <c r="I150" i="4"/>
  <c r="I144" i="4"/>
  <c r="J145" i="4"/>
  <c r="I149" i="4"/>
  <c r="H44" i="4"/>
  <c r="I193" i="4"/>
  <c r="I194" i="4" s="1"/>
  <c r="I198" i="4" s="1"/>
  <c r="L206" i="4"/>
  <c r="O191" i="4"/>
  <c r="H129" i="4"/>
  <c r="T37" i="4"/>
  <c r="F11" i="6"/>
  <c r="N129" i="4"/>
  <c r="T121" i="4"/>
  <c r="Q121" i="4"/>
  <c r="G45" i="4"/>
  <c r="Q108" i="4"/>
  <c r="J108" i="4"/>
  <c r="G11" i="6"/>
  <c r="K129" i="4"/>
  <c r="K114" i="4"/>
  <c r="R44" i="4"/>
  <c r="P206" i="4"/>
  <c r="T114" i="4"/>
  <c r="G17" i="4"/>
  <c r="I65" i="4"/>
  <c r="I60" i="4"/>
  <c r="J61" i="4"/>
  <c r="I66" i="4"/>
  <c r="H59" i="4"/>
  <c r="I54" i="4"/>
  <c r="H58" i="4"/>
  <c r="H53" i="4"/>
  <c r="H52" i="4"/>
  <c r="I47" i="4"/>
  <c r="H46" i="4"/>
  <c r="H51" i="4"/>
  <c r="J68" i="4"/>
  <c r="I72" i="4"/>
  <c r="I67" i="4"/>
  <c r="I73" i="4"/>
  <c r="I93" i="4"/>
  <c r="I88" i="4"/>
  <c r="I94" i="4"/>
  <c r="J89" i="4"/>
  <c r="N74" i="4"/>
  <c r="M79" i="4"/>
  <c r="O80" i="4"/>
  <c r="O74" i="4"/>
  <c r="N79" i="4"/>
  <c r="L80" i="4"/>
  <c r="Q74" i="4"/>
  <c r="Q80" i="4"/>
  <c r="P74" i="4"/>
  <c r="Q79" i="4"/>
  <c r="R80" i="4"/>
  <c r="S79" i="4"/>
  <c r="T79" i="4"/>
  <c r="S80" i="4"/>
  <c r="R74" i="4"/>
  <c r="R79" i="4"/>
  <c r="P80" i="4"/>
  <c r="T80" i="4"/>
  <c r="H18" i="8" s="1"/>
  <c r="J86" i="4"/>
  <c r="J87" i="4"/>
  <c r="J81" i="4"/>
  <c r="G6" i="6"/>
  <c r="F7" i="6"/>
  <c r="T30" i="4"/>
  <c r="T206" i="4"/>
  <c r="T191" i="4"/>
  <c r="L37" i="4"/>
  <c r="G107" i="4"/>
  <c r="G129" i="4"/>
  <c r="J8" i="7"/>
  <c r="M8" i="7" s="1"/>
  <c r="C7" i="9" s="1"/>
  <c r="D7" i="9" s="1"/>
  <c r="E7" i="9" s="1"/>
  <c r="J9" i="7"/>
  <c r="M9" i="7" s="1"/>
  <c r="C8" i="9" s="1"/>
  <c r="D8" i="9" s="1"/>
  <c r="E8" i="9" s="1"/>
  <c r="P191" i="4"/>
  <c r="M17" i="4"/>
  <c r="G17" i="6"/>
  <c r="G7" i="6"/>
  <c r="J121" i="4"/>
  <c r="F18" i="6"/>
  <c r="J206" i="4"/>
  <c r="M115" i="4"/>
  <c r="I121" i="4"/>
  <c r="M205" i="4"/>
  <c r="M44" i="4"/>
  <c r="J115" i="4"/>
  <c r="H4" i="8" s="1"/>
  <c r="O45" i="4"/>
  <c r="F9" i="6"/>
  <c r="S121" i="4"/>
  <c r="L114" i="4"/>
  <c r="I205" i="4"/>
  <c r="J7" i="7"/>
  <c r="M7" i="7" s="1"/>
  <c r="C6" i="9" s="1"/>
  <c r="D6" i="9" s="1"/>
  <c r="E6" i="9" s="1"/>
  <c r="G14" i="9"/>
  <c r="H14" i="9" s="1"/>
  <c r="P16" i="4"/>
  <c r="N206" i="4"/>
  <c r="G5" i="6"/>
  <c r="F5" i="6"/>
  <c r="F6" i="6"/>
  <c r="N191" i="4"/>
  <c r="G30" i="4"/>
  <c r="G8" i="6"/>
  <c r="K37" i="4"/>
  <c r="O38" i="4"/>
  <c r="S44" i="4"/>
  <c r="G13" i="8" s="1"/>
  <c r="J114" i="4"/>
  <c r="G4" i="8" s="1"/>
  <c r="G17" i="9"/>
  <c r="H17" i="9" s="1"/>
  <c r="J12" i="7"/>
  <c r="M12" i="7" s="1"/>
  <c r="Q45" i="4"/>
  <c r="G18" i="6"/>
  <c r="J44" i="4"/>
  <c r="G198" i="4"/>
  <c r="G10" i="8" s="1"/>
  <c r="L16" i="4"/>
  <c r="O31" i="4"/>
  <c r="O30" i="4"/>
  <c r="Q206" i="4"/>
  <c r="Q205" i="4"/>
  <c r="I191" i="4"/>
  <c r="N114" i="4"/>
  <c r="G15" i="9"/>
  <c r="H15" i="9" s="1"/>
  <c r="S31" i="4"/>
  <c r="S30" i="4"/>
  <c r="Q115" i="4"/>
  <c r="S205" i="4"/>
  <c r="T38" i="4"/>
  <c r="K30" i="4"/>
  <c r="H115" i="4"/>
  <c r="M128" i="4"/>
  <c r="P129" i="4"/>
  <c r="Q38" i="4"/>
  <c r="G16" i="9"/>
  <c r="H16" i="9" s="1"/>
  <c r="M30" i="4"/>
  <c r="M31" i="4"/>
  <c r="P114" i="4"/>
  <c r="K44" i="4"/>
  <c r="R192" i="4"/>
  <c r="G8" i="9"/>
  <c r="G5" i="9"/>
  <c r="H5" i="9" s="1"/>
  <c r="R129" i="4"/>
  <c r="R128" i="4"/>
  <c r="L191" i="4"/>
  <c r="L192" i="4"/>
  <c r="H198" i="4"/>
  <c r="H199" i="4"/>
  <c r="J17" i="4"/>
  <c r="H16" i="4"/>
  <c r="P107" i="4"/>
  <c r="G7" i="8" s="1"/>
  <c r="G12" i="9"/>
  <c r="H12" i="9" s="1"/>
  <c r="J11" i="7"/>
  <c r="M11" i="7" s="1"/>
  <c r="C10" i="9" s="1"/>
  <c r="D10" i="9" s="1"/>
  <c r="E10" i="9" s="1"/>
  <c r="S108" i="4"/>
  <c r="G4" i="9"/>
  <c r="P30" i="4"/>
  <c r="N30" i="4"/>
  <c r="R31" i="4"/>
  <c r="I31" i="4"/>
  <c r="G38" i="4"/>
  <c r="G10" i="9"/>
  <c r="H30" i="4"/>
  <c r="S38" i="4"/>
  <c r="H11" i="8" s="1"/>
  <c r="N37" i="4"/>
  <c r="H38" i="4"/>
  <c r="J31" i="4"/>
  <c r="J19" i="7"/>
  <c r="M19" i="7" s="1"/>
  <c r="E12" i="9"/>
  <c r="E5" i="9"/>
  <c r="E17" i="9"/>
  <c r="E14" i="9"/>
  <c r="D4" i="9"/>
  <c r="E16" i="9"/>
  <c r="H13" i="9"/>
  <c r="E13" i="9"/>
  <c r="E15" i="9"/>
  <c r="H9" i="9"/>
  <c r="H11" i="9"/>
  <c r="E11" i="9"/>
  <c r="G12" i="7"/>
  <c r="G20" i="7"/>
  <c r="G7" i="7"/>
  <c r="G18" i="7"/>
  <c r="I199" i="4" l="1"/>
  <c r="L171" i="4"/>
  <c r="M166" i="4"/>
  <c r="L170" i="4"/>
  <c r="L165" i="4"/>
  <c r="N163" i="4"/>
  <c r="N158" i="4"/>
  <c r="O159" i="4"/>
  <c r="N164" i="4"/>
  <c r="L152" i="4"/>
  <c r="K151" i="4"/>
  <c r="K157" i="4"/>
  <c r="K156" i="4"/>
  <c r="L101" i="4"/>
  <c r="M96" i="4"/>
  <c r="L100" i="4"/>
  <c r="L95" i="4"/>
  <c r="H8" i="9"/>
  <c r="J150" i="4"/>
  <c r="K145" i="4"/>
  <c r="J149" i="4"/>
  <c r="J144" i="4"/>
  <c r="J193" i="4"/>
  <c r="K193" i="4" s="1"/>
  <c r="H10" i="9"/>
  <c r="J65" i="4"/>
  <c r="J60" i="4"/>
  <c r="J66" i="4"/>
  <c r="K61" i="4"/>
  <c r="I58" i="4"/>
  <c r="I59" i="4"/>
  <c r="I53" i="4"/>
  <c r="J54" i="4"/>
  <c r="I51" i="4"/>
  <c r="I52" i="4"/>
  <c r="J47" i="4"/>
  <c r="I46" i="4"/>
  <c r="J72" i="4"/>
  <c r="J67" i="4"/>
  <c r="K68" i="4"/>
  <c r="J73" i="4"/>
  <c r="J93" i="4"/>
  <c r="J88" i="4"/>
  <c r="K89" i="4"/>
  <c r="J94" i="4"/>
  <c r="K81" i="4"/>
  <c r="K86" i="4"/>
  <c r="K87" i="4"/>
  <c r="H7" i="9"/>
  <c r="H6" i="9"/>
  <c r="G18" i="9"/>
  <c r="M25" i="7"/>
  <c r="C18" i="9"/>
  <c r="J25" i="7"/>
  <c r="M27" i="7" s="1"/>
  <c r="H4" i="9"/>
  <c r="D18" i="9"/>
  <c r="E4" i="9"/>
  <c r="E18" i="9" s="1"/>
  <c r="N166" i="4" l="1"/>
  <c r="M170" i="4"/>
  <c r="M171" i="4"/>
  <c r="M165" i="4"/>
  <c r="P159" i="4"/>
  <c r="O164" i="4"/>
  <c r="O158" i="4"/>
  <c r="O163" i="4"/>
  <c r="L157" i="4"/>
  <c r="M152" i="4"/>
  <c r="L156" i="4"/>
  <c r="L151" i="4"/>
  <c r="M100" i="4"/>
  <c r="M95" i="4"/>
  <c r="M101" i="4"/>
  <c r="N96" i="4"/>
  <c r="J194" i="4"/>
  <c r="J199" i="4" s="1"/>
  <c r="L145" i="4"/>
  <c r="K149" i="4"/>
  <c r="K150" i="4"/>
  <c r="K144" i="4"/>
  <c r="K194" i="4"/>
  <c r="L193" i="4"/>
  <c r="J198" i="4"/>
  <c r="L61" i="4"/>
  <c r="K66" i="4"/>
  <c r="K65" i="4"/>
  <c r="K60" i="4"/>
  <c r="J58" i="4"/>
  <c r="J53" i="4"/>
  <c r="J59" i="4"/>
  <c r="K54" i="4"/>
  <c r="J51" i="4"/>
  <c r="J46" i="4"/>
  <c r="J52" i="4"/>
  <c r="K47" i="4"/>
  <c r="L68" i="4"/>
  <c r="K73" i="4"/>
  <c r="K72" i="4"/>
  <c r="K67" i="4"/>
  <c r="L89" i="4"/>
  <c r="K88" i="4"/>
  <c r="K94" i="4"/>
  <c r="K93" i="4"/>
  <c r="L81" i="4"/>
  <c r="L87" i="4"/>
  <c r="L86" i="4"/>
  <c r="H18" i="9"/>
  <c r="N165" i="4" l="1"/>
  <c r="N170" i="4"/>
  <c r="O166" i="4"/>
  <c r="N171" i="4"/>
  <c r="P164" i="4"/>
  <c r="P163" i="4"/>
  <c r="P158" i="4"/>
  <c r="Q159" i="4"/>
  <c r="M156" i="4"/>
  <c r="M151" i="4"/>
  <c r="M157" i="4"/>
  <c r="N152" i="4"/>
  <c r="N100" i="4"/>
  <c r="N95" i="4"/>
  <c r="O96" i="4"/>
  <c r="N101" i="4"/>
  <c r="L150" i="4"/>
  <c r="L144" i="4"/>
  <c r="M145" i="4"/>
  <c r="L149" i="4"/>
  <c r="M193" i="4"/>
  <c r="L194" i="4"/>
  <c r="K199" i="4"/>
  <c r="K198" i="4"/>
  <c r="L66" i="4"/>
  <c r="L60" i="4"/>
  <c r="L65" i="4"/>
  <c r="M61" i="4"/>
  <c r="K53" i="4"/>
  <c r="K59" i="4"/>
  <c r="L54" i="4"/>
  <c r="K58" i="4"/>
  <c r="K46" i="4"/>
  <c r="K51" i="4"/>
  <c r="K52" i="4"/>
  <c r="L47" i="4"/>
  <c r="L73" i="4"/>
  <c r="L72" i="4"/>
  <c r="L67" i="4"/>
  <c r="M68" i="4"/>
  <c r="L94" i="4"/>
  <c r="M89" i="4"/>
  <c r="L93" i="4"/>
  <c r="L88" i="4"/>
  <c r="M81" i="4"/>
  <c r="M86" i="4"/>
  <c r="M87" i="4"/>
  <c r="P166" i="4" l="1"/>
  <c r="O171" i="4"/>
  <c r="O165" i="4"/>
  <c r="O170" i="4"/>
  <c r="Q163" i="4"/>
  <c r="Q158" i="4"/>
  <c r="R159" i="4"/>
  <c r="Q164" i="4"/>
  <c r="N156" i="4"/>
  <c r="N151" i="4"/>
  <c r="N157" i="4"/>
  <c r="O152" i="4"/>
  <c r="P96" i="4"/>
  <c r="O95" i="4"/>
  <c r="O101" i="4"/>
  <c r="O100" i="4"/>
  <c r="M150" i="4"/>
  <c r="M144" i="4"/>
  <c r="N145" i="4"/>
  <c r="M149" i="4"/>
  <c r="L198" i="4"/>
  <c r="L199" i="4"/>
  <c r="M194" i="4"/>
  <c r="N193" i="4"/>
  <c r="M60" i="4"/>
  <c r="N61" i="4"/>
  <c r="M66" i="4"/>
  <c r="M65" i="4"/>
  <c r="L59" i="4"/>
  <c r="M54" i="4"/>
  <c r="L58" i="4"/>
  <c r="L53" i="4"/>
  <c r="L52" i="4"/>
  <c r="M47" i="4"/>
  <c r="L46" i="4"/>
  <c r="L51" i="4"/>
  <c r="M72" i="4"/>
  <c r="M67" i="4"/>
  <c r="N68" i="4"/>
  <c r="M73" i="4"/>
  <c r="M93" i="4"/>
  <c r="M88" i="4"/>
  <c r="N89" i="4"/>
  <c r="M94" i="4"/>
  <c r="N87" i="4"/>
  <c r="N86" i="4"/>
  <c r="N81" i="4"/>
  <c r="P171" i="4" l="1"/>
  <c r="Q166" i="4"/>
  <c r="P170" i="4"/>
  <c r="P165" i="4"/>
  <c r="R163" i="4"/>
  <c r="R158" i="4"/>
  <c r="S159" i="4"/>
  <c r="R164" i="4"/>
  <c r="P152" i="4"/>
  <c r="O157" i="4"/>
  <c r="O156" i="4"/>
  <c r="O151" i="4"/>
  <c r="P101" i="4"/>
  <c r="Q96" i="4"/>
  <c r="P100" i="4"/>
  <c r="P95" i="4"/>
  <c r="N150" i="4"/>
  <c r="N144" i="4"/>
  <c r="O145" i="4"/>
  <c r="N149" i="4"/>
  <c r="O193" i="4"/>
  <c r="N194" i="4"/>
  <c r="M199" i="4"/>
  <c r="M198" i="4"/>
  <c r="N65" i="4"/>
  <c r="N60" i="4"/>
  <c r="O61" i="4"/>
  <c r="N66" i="4"/>
  <c r="M58" i="4"/>
  <c r="M53" i="4"/>
  <c r="N54" i="4"/>
  <c r="M59" i="4"/>
  <c r="M52" i="4"/>
  <c r="N47" i="4"/>
  <c r="M51" i="4"/>
  <c r="M46" i="4"/>
  <c r="N72" i="4"/>
  <c r="N67" i="4"/>
  <c r="N73" i="4"/>
  <c r="O68" i="4"/>
  <c r="N93" i="4"/>
  <c r="N88" i="4"/>
  <c r="O89" i="4"/>
  <c r="N94" i="4"/>
  <c r="O86" i="4"/>
  <c r="O87" i="4"/>
  <c r="O81" i="4"/>
  <c r="R166" i="4" l="1"/>
  <c r="Q171" i="4"/>
  <c r="Q170" i="4"/>
  <c r="Q165" i="4"/>
  <c r="S163" i="4"/>
  <c r="S164" i="4"/>
  <c r="S158" i="4"/>
  <c r="P157" i="4"/>
  <c r="Q152" i="4"/>
  <c r="P156" i="4"/>
  <c r="P151" i="4"/>
  <c r="Q100" i="4"/>
  <c r="Q95" i="4"/>
  <c r="R96" i="4"/>
  <c r="Q101" i="4"/>
  <c r="P145" i="4"/>
  <c r="O149" i="4"/>
  <c r="O150" i="4"/>
  <c r="O144" i="4"/>
  <c r="N199" i="4"/>
  <c r="N198" i="4"/>
  <c r="O194" i="4"/>
  <c r="P193" i="4"/>
  <c r="P61" i="4"/>
  <c r="O65" i="4"/>
  <c r="O66" i="4"/>
  <c r="O60" i="4"/>
  <c r="N58" i="4"/>
  <c r="N53" i="4"/>
  <c r="N59" i="4"/>
  <c r="O54" i="4"/>
  <c r="N51" i="4"/>
  <c r="N46" i="4"/>
  <c r="N52" i="4"/>
  <c r="O47" i="4"/>
  <c r="P68" i="4"/>
  <c r="O72" i="4"/>
  <c r="O73" i="4"/>
  <c r="O67" i="4"/>
  <c r="P89" i="4"/>
  <c r="O93" i="4"/>
  <c r="O94" i="4"/>
  <c r="O88" i="4"/>
  <c r="P81" i="4"/>
  <c r="P87" i="4"/>
  <c r="P86" i="4"/>
  <c r="R165" i="4" l="1"/>
  <c r="S166" i="4"/>
  <c r="R171" i="4"/>
  <c r="R170" i="4"/>
  <c r="Q156" i="4"/>
  <c r="Q151" i="4"/>
  <c r="Q157" i="4"/>
  <c r="R152" i="4"/>
  <c r="R100" i="4"/>
  <c r="R95" i="4"/>
  <c r="S96" i="4"/>
  <c r="R101" i="4"/>
  <c r="P150" i="4"/>
  <c r="P144" i="4"/>
  <c r="Q145" i="4"/>
  <c r="P149" i="4"/>
  <c r="P194" i="4"/>
  <c r="Q193" i="4"/>
  <c r="O198" i="4"/>
  <c r="O199" i="4"/>
  <c r="P66" i="4"/>
  <c r="P65" i="4"/>
  <c r="P60" i="4"/>
  <c r="Q61" i="4"/>
  <c r="O53" i="4"/>
  <c r="O59" i="4"/>
  <c r="P54" i="4"/>
  <c r="O58" i="4"/>
  <c r="O46" i="4"/>
  <c r="O51" i="4"/>
  <c r="O52" i="4"/>
  <c r="P47" i="4"/>
  <c r="P73" i="4"/>
  <c r="P67" i="4"/>
  <c r="P72" i="4"/>
  <c r="Q68" i="4"/>
  <c r="P94" i="4"/>
  <c r="Q89" i="4"/>
  <c r="P93" i="4"/>
  <c r="P88" i="4"/>
  <c r="Q86" i="4"/>
  <c r="Q87" i="4"/>
  <c r="Q81" i="4"/>
  <c r="S171" i="4" l="1"/>
  <c r="S170" i="4"/>
  <c r="S165" i="4"/>
  <c r="R156" i="4"/>
  <c r="R151" i="4"/>
  <c r="R157" i="4"/>
  <c r="S152" i="4"/>
  <c r="S95" i="4"/>
  <c r="S101" i="4"/>
  <c r="S100" i="4"/>
  <c r="Q150" i="4"/>
  <c r="Q144" i="4"/>
  <c r="R145" i="4"/>
  <c r="Q149" i="4"/>
  <c r="P198" i="4"/>
  <c r="P199" i="4"/>
  <c r="Q194" i="4"/>
  <c r="R193" i="4"/>
  <c r="Q65" i="4"/>
  <c r="Q60" i="4"/>
  <c r="R61" i="4"/>
  <c r="Q66" i="4"/>
  <c r="P59" i="4"/>
  <c r="Q54" i="4"/>
  <c r="P53" i="4"/>
  <c r="P58" i="4"/>
  <c r="P52" i="4"/>
  <c r="Q47" i="4"/>
  <c r="P46" i="4"/>
  <c r="P51" i="4"/>
  <c r="R68" i="4"/>
  <c r="Q72" i="4"/>
  <c r="Q67" i="4"/>
  <c r="Q73" i="4"/>
  <c r="Q93" i="4"/>
  <c r="Q88" i="4"/>
  <c r="R89" i="4"/>
  <c r="Q94" i="4"/>
  <c r="R81" i="4"/>
  <c r="R87" i="4"/>
  <c r="R86" i="4"/>
  <c r="S151" i="4" l="1"/>
  <c r="S157" i="4"/>
  <c r="S156" i="4"/>
  <c r="R150" i="4"/>
  <c r="R144" i="4"/>
  <c r="S145" i="4"/>
  <c r="R149" i="4"/>
  <c r="S193" i="4"/>
  <c r="R194" i="4"/>
  <c r="Q198" i="4"/>
  <c r="Q199" i="4"/>
  <c r="R65" i="4"/>
  <c r="R60" i="4"/>
  <c r="R66" i="4"/>
  <c r="S61" i="4"/>
  <c r="Q53" i="4"/>
  <c r="Q59" i="4"/>
  <c r="Q58" i="4"/>
  <c r="R54" i="4"/>
  <c r="Q51" i="4"/>
  <c r="R47" i="4"/>
  <c r="Q46" i="4"/>
  <c r="Q52" i="4"/>
  <c r="R72" i="4"/>
  <c r="R67" i="4"/>
  <c r="S68" i="4"/>
  <c r="R73" i="4"/>
  <c r="R93" i="4"/>
  <c r="R88" i="4"/>
  <c r="S89" i="4"/>
  <c r="R94" i="4"/>
  <c r="S81" i="4"/>
  <c r="S86" i="4"/>
  <c r="S87" i="4"/>
  <c r="S149" i="4" l="1"/>
  <c r="S150" i="4"/>
  <c r="S144" i="4"/>
  <c r="R199" i="4"/>
  <c r="R198" i="4"/>
  <c r="T193" i="4"/>
  <c r="T194" i="4" s="1"/>
  <c r="S194" i="4"/>
  <c r="T61" i="4"/>
  <c r="S66" i="4"/>
  <c r="S65" i="4"/>
  <c r="S60" i="4"/>
  <c r="R58" i="4"/>
  <c r="R53" i="4"/>
  <c r="R59" i="4"/>
  <c r="S54" i="4"/>
  <c r="R51" i="4"/>
  <c r="R46" i="4"/>
  <c r="R52" i="4"/>
  <c r="S47" i="4"/>
  <c r="T68" i="4"/>
  <c r="S73" i="4"/>
  <c r="S72" i="4"/>
  <c r="S67" i="4"/>
  <c r="S88" i="4"/>
  <c r="S94" i="4"/>
  <c r="S93" i="4"/>
  <c r="T81" i="4"/>
  <c r="T87" i="4"/>
  <c r="H19" i="8" s="1"/>
  <c r="T86" i="4"/>
  <c r="T199" i="4" l="1"/>
  <c r="T198" i="4"/>
  <c r="S198" i="4"/>
  <c r="S199" i="4"/>
  <c r="T66" i="4"/>
  <c r="H16" i="8" s="1"/>
  <c r="T60" i="4"/>
  <c r="T65" i="4"/>
  <c r="S53" i="4"/>
  <c r="S58" i="4"/>
  <c r="S59" i="4"/>
  <c r="T54" i="4"/>
  <c r="S46" i="4"/>
  <c r="S52" i="4"/>
  <c r="T47" i="4"/>
  <c r="S51" i="4"/>
  <c r="T73" i="4"/>
  <c r="H17" i="8" s="1"/>
  <c r="T72" i="4"/>
  <c r="T67" i="4"/>
  <c r="T94" i="4"/>
  <c r="H20" i="8" s="1"/>
  <c r="T93" i="4"/>
  <c r="T88" i="4"/>
  <c r="T59" i="4" l="1"/>
  <c r="H15" i="8" s="1"/>
  <c r="T58" i="4"/>
  <c r="T53" i="4"/>
  <c r="T52" i="4"/>
  <c r="H14" i="8" s="1"/>
  <c r="T46" i="4"/>
  <c r="T51" i="4"/>
</calcChain>
</file>

<file path=xl/comments1.xml><?xml version="1.0" encoding="utf-8"?>
<comments xmlns="http://schemas.openxmlformats.org/spreadsheetml/2006/main">
  <authors>
    <author>Cari L. Garcia</author>
    <author>Sarah Hudgins</author>
  </authors>
  <commentList>
    <comment ref="G9" authorId="0" shapeId="0">
      <text>
        <r>
          <rPr>
            <b/>
            <sz val="9"/>
            <color indexed="81"/>
            <rFont val="Tahoma"/>
            <family val="2"/>
          </rPr>
          <t>Cari L. Garcia:</t>
        </r>
        <r>
          <rPr>
            <sz val="9"/>
            <color indexed="81"/>
            <rFont val="Tahoma"/>
            <family val="2"/>
          </rPr>
          <t xml:space="preserve">
Tom Hartman
(no changes on Amendment 16)</t>
        </r>
      </text>
    </comment>
    <comment ref="R11" authorId="1" shapeId="0">
      <text>
        <r>
          <rPr>
            <b/>
            <sz val="9"/>
            <color indexed="81"/>
            <rFont val="Tahoma"/>
            <family val="2"/>
          </rPr>
          <t>Sarah Hudgins:</t>
        </r>
        <r>
          <rPr>
            <sz val="9"/>
            <color indexed="81"/>
            <rFont val="Tahoma"/>
            <family val="2"/>
          </rPr>
          <t xml:space="preserve">
Karen Rapponotti 3/1/2019</t>
        </r>
      </text>
    </comment>
    <comment ref="M32" authorId="0" shapeId="0">
      <text>
        <r>
          <rPr>
            <b/>
            <sz val="9"/>
            <color indexed="81"/>
            <rFont val="Tahoma"/>
            <family val="2"/>
          </rPr>
          <t>Cari L. Garcia:</t>
        </r>
        <r>
          <rPr>
            <sz val="9"/>
            <color indexed="81"/>
            <rFont val="Tahoma"/>
            <family val="2"/>
          </rPr>
          <t xml:space="preserve">
Thru 2/28/17:
Jenn Hobbs</t>
        </r>
      </text>
    </comment>
    <comment ref="O32" authorId="0" shapeId="0">
      <text>
        <r>
          <rPr>
            <b/>
            <sz val="9"/>
            <color indexed="81"/>
            <rFont val="Tahoma"/>
            <family val="2"/>
          </rPr>
          <t>Cari L. Garcia:</t>
        </r>
        <r>
          <rPr>
            <sz val="9"/>
            <color indexed="81"/>
            <rFont val="Tahoma"/>
            <family val="2"/>
          </rPr>
          <t xml:space="preserve">
Thru 2/28/18:
Jenn Hobbs</t>
        </r>
      </text>
    </comment>
    <comment ref="Q32" authorId="0" shapeId="0">
      <text>
        <r>
          <rPr>
            <b/>
            <sz val="9"/>
            <color indexed="81"/>
            <rFont val="Tahoma"/>
            <family val="2"/>
          </rPr>
          <t>Cari L. Garcia:</t>
        </r>
        <r>
          <rPr>
            <sz val="9"/>
            <color indexed="81"/>
            <rFont val="Tahoma"/>
            <family val="2"/>
          </rPr>
          <t xml:space="preserve">
Jenn Hobbs through 2/28/19</t>
        </r>
      </text>
    </comment>
    <comment ref="S32" authorId="1" shapeId="0">
      <text>
        <r>
          <rPr>
            <b/>
            <sz val="9"/>
            <color indexed="81"/>
            <rFont val="Tahoma"/>
            <family val="2"/>
          </rPr>
          <t>Sarah Hudgins:</t>
        </r>
        <r>
          <rPr>
            <sz val="9"/>
            <color indexed="81"/>
            <rFont val="Tahoma"/>
            <family val="2"/>
          </rPr>
          <t xml:space="preserve">
Jenn Hobbs 3/1/2019</t>
        </r>
      </text>
    </comment>
    <comment ref="M39" authorId="0" shapeId="0">
      <text>
        <r>
          <rPr>
            <b/>
            <sz val="9"/>
            <color indexed="81"/>
            <rFont val="Tahoma"/>
            <family val="2"/>
          </rPr>
          <t>Cari L. Garcia:</t>
        </r>
        <r>
          <rPr>
            <sz val="9"/>
            <color indexed="81"/>
            <rFont val="Tahoma"/>
            <family val="2"/>
          </rPr>
          <t xml:space="preserve">
Thru 2/28/17:
Jon Burkett</t>
        </r>
      </text>
    </comment>
    <comment ref="O39" authorId="0" shapeId="0">
      <text>
        <r>
          <rPr>
            <b/>
            <sz val="9"/>
            <color indexed="81"/>
            <rFont val="Tahoma"/>
            <family val="2"/>
          </rPr>
          <t>Cari L. Garcia:</t>
        </r>
        <r>
          <rPr>
            <sz val="9"/>
            <color indexed="81"/>
            <rFont val="Tahoma"/>
            <family val="2"/>
          </rPr>
          <t xml:space="preserve">
Thru 2/28/18:
Jon Burkett</t>
        </r>
      </text>
    </comment>
    <comment ref="Q39" authorId="0" shapeId="0">
      <text>
        <r>
          <rPr>
            <b/>
            <sz val="9"/>
            <color indexed="81"/>
            <rFont val="Tahoma"/>
            <family val="2"/>
          </rPr>
          <t>Cari L. Garcia:</t>
        </r>
        <r>
          <rPr>
            <sz val="9"/>
            <color indexed="81"/>
            <rFont val="Tahoma"/>
            <family val="2"/>
          </rPr>
          <t xml:space="preserve">
Jon Burkett thru 2/28/19</t>
        </r>
      </text>
    </comment>
    <comment ref="S39" authorId="1" shapeId="0">
      <text>
        <r>
          <rPr>
            <b/>
            <sz val="9"/>
            <color indexed="81"/>
            <rFont val="Tahoma"/>
            <family val="2"/>
          </rPr>
          <t>Sarah Hudgins:</t>
        </r>
        <r>
          <rPr>
            <sz val="9"/>
            <color indexed="81"/>
            <rFont val="Tahoma"/>
            <family val="2"/>
          </rPr>
          <t xml:space="preserve">
Jon Burket 3/1/2019</t>
        </r>
      </text>
    </comment>
    <comment ref="L102" authorId="0" shapeId="0">
      <text>
        <r>
          <rPr>
            <b/>
            <sz val="9"/>
            <color indexed="81"/>
            <rFont val="Tahoma"/>
            <family val="2"/>
          </rPr>
          <t>Cari L. Garcia:</t>
        </r>
        <r>
          <rPr>
            <sz val="9"/>
            <color indexed="81"/>
            <rFont val="Tahoma"/>
            <family val="2"/>
          </rPr>
          <t xml:space="preserve">
Thru 2/28/17
Joel Acevedo</t>
        </r>
      </text>
    </comment>
    <comment ref="N102" authorId="0" shapeId="0">
      <text>
        <r>
          <rPr>
            <b/>
            <sz val="9"/>
            <color indexed="81"/>
            <rFont val="Tahoma"/>
            <family val="2"/>
          </rPr>
          <t>Cari L. Garcia:</t>
        </r>
        <r>
          <rPr>
            <sz val="9"/>
            <color indexed="81"/>
            <rFont val="Tahoma"/>
            <family val="2"/>
          </rPr>
          <t xml:space="preserve">
Joel Acevedo thru 2/28/19
Elisa Miller Thru 2/28/17
</t>
        </r>
      </text>
    </comment>
    <comment ref="P102" authorId="1" shapeId="0">
      <text>
        <r>
          <rPr>
            <b/>
            <sz val="9"/>
            <color indexed="81"/>
            <rFont val="Tahoma"/>
            <family val="2"/>
          </rPr>
          <t>Sarah Hudgins:</t>
        </r>
        <r>
          <rPr>
            <sz val="9"/>
            <color indexed="81"/>
            <rFont val="Tahoma"/>
            <family val="2"/>
          </rPr>
          <t xml:space="preserve">
Joel Acevedo as of 3/1/2019
Elisa Miller thru 2/28/19</t>
        </r>
      </text>
    </comment>
    <comment ref="R102" authorId="1" shapeId="0">
      <text>
        <r>
          <rPr>
            <b/>
            <sz val="9"/>
            <color indexed="81"/>
            <rFont val="Tahoma"/>
            <family val="2"/>
          </rPr>
          <t>Sarah Hudgins:</t>
        </r>
        <r>
          <rPr>
            <sz val="9"/>
            <color indexed="81"/>
            <rFont val="Tahoma"/>
            <family val="2"/>
          </rPr>
          <t xml:space="preserve">
3/1/2019:
Elisa Miller
Thru 2/28/17:
Danielle Benoit</t>
        </r>
      </text>
    </comment>
    <comment ref="T102" authorId="1" shapeId="0">
      <text>
        <r>
          <rPr>
            <b/>
            <sz val="9"/>
            <color indexed="81"/>
            <rFont val="Tahoma"/>
            <family val="2"/>
          </rPr>
          <t>Sarah Hudgins:</t>
        </r>
        <r>
          <rPr>
            <sz val="9"/>
            <color indexed="81"/>
            <rFont val="Tahoma"/>
            <family val="2"/>
          </rPr>
          <t xml:space="preserve">
Daneille Benoit: As of 3/1/17; no change 3/1/18; no change 3/1/19</t>
        </r>
      </text>
    </comment>
    <comment ref="H109" authorId="0" shapeId="0">
      <text>
        <r>
          <rPr>
            <b/>
            <sz val="9"/>
            <color indexed="81"/>
            <rFont val="Tahoma"/>
            <family val="2"/>
          </rPr>
          <t>Cari L. Garcia:</t>
        </r>
        <r>
          <rPr>
            <sz val="9"/>
            <color indexed="81"/>
            <rFont val="Tahoma"/>
            <family val="2"/>
          </rPr>
          <t xml:space="preserve">
Thru 2/28/19:
Paul Robertson
Taras Shemchuk
Daisy Villasenor
Darcy Alexander
Tyler Vaisau
Andrea Maddox</t>
        </r>
      </text>
    </comment>
    <comment ref="J109" authorId="1" shapeId="0">
      <text>
        <r>
          <rPr>
            <b/>
            <sz val="9"/>
            <color indexed="81"/>
            <rFont val="Tahoma"/>
            <family val="2"/>
          </rPr>
          <t>Sarah Hudgins:</t>
        </r>
        <r>
          <rPr>
            <sz val="9"/>
            <color indexed="81"/>
            <rFont val="Tahoma"/>
            <family val="2"/>
          </rPr>
          <t xml:space="preserve">
As of 3/1/19:
Paul Robertson
Taras Shemchuk
Daisy Villasenor
Darcy Alexander
Tyler Vaisau
</t>
        </r>
      </text>
    </comment>
    <comment ref="G116" authorId="0" shapeId="0">
      <text>
        <r>
          <rPr>
            <b/>
            <sz val="9"/>
            <color indexed="81"/>
            <rFont val="Tahoma"/>
            <family val="2"/>
          </rPr>
          <t>Cari L. Garcia:</t>
        </r>
        <r>
          <rPr>
            <sz val="9"/>
            <color indexed="81"/>
            <rFont val="Tahoma"/>
            <family val="2"/>
          </rPr>
          <t xml:space="preserve">
Thru 2/28/17
Paul Robertson
Taras Shemchuk</t>
        </r>
      </text>
    </comment>
    <comment ref="J116" authorId="0" shapeId="0">
      <text>
        <r>
          <rPr>
            <b/>
            <sz val="9"/>
            <color indexed="81"/>
            <rFont val="Tahoma"/>
            <family val="2"/>
          </rPr>
          <t>Cari L. Garcia:</t>
        </r>
        <r>
          <rPr>
            <sz val="9"/>
            <color indexed="81"/>
            <rFont val="Tahoma"/>
            <family val="2"/>
          </rPr>
          <t xml:space="preserve">
Thru 2/28/17:
Andrea Maddox
Daisy Villasenor
Darcy Alexander
Tyler Vaisau</t>
        </r>
      </text>
    </comment>
    <comment ref="L116" authorId="0" shapeId="0">
      <text>
        <r>
          <rPr>
            <b/>
            <sz val="9"/>
            <color indexed="81"/>
            <rFont val="Tahoma"/>
            <family val="2"/>
          </rPr>
          <t>Cari L. Garcia:</t>
        </r>
        <r>
          <rPr>
            <sz val="9"/>
            <color indexed="81"/>
            <rFont val="Tahoma"/>
            <family val="2"/>
          </rPr>
          <t xml:space="preserve">
Thru 2/28/18:
Paul Robertson
Taras Shemchuk
Daisy Villasenor
Darcy Alexander
Tyler Vaisau
Andrea Maddox</t>
        </r>
      </text>
    </comment>
    <comment ref="M116" authorId="0" shapeId="0">
      <text>
        <r>
          <rPr>
            <b/>
            <sz val="9"/>
            <color indexed="81"/>
            <rFont val="Tahoma"/>
            <family val="2"/>
          </rPr>
          <t>Cari L. Garcia:</t>
        </r>
        <r>
          <rPr>
            <sz val="9"/>
            <color indexed="81"/>
            <rFont val="Tahoma"/>
            <family val="2"/>
          </rPr>
          <t xml:space="preserve">
Thru 2/28/17:
Ravette Taylor </t>
        </r>
      </text>
    </comment>
    <comment ref="Q123" authorId="0" shapeId="0">
      <text>
        <r>
          <rPr>
            <b/>
            <sz val="9"/>
            <color indexed="81"/>
            <rFont val="Tahoma"/>
            <family val="2"/>
          </rPr>
          <t>Cari L. Garcia:</t>
        </r>
        <r>
          <rPr>
            <sz val="9"/>
            <color indexed="81"/>
            <rFont val="Tahoma"/>
            <family val="2"/>
          </rPr>
          <t xml:space="preserve">
Thru 2/28/17:
Dave McKinney</t>
        </r>
      </text>
    </comment>
    <comment ref="S123" authorId="0" shapeId="0">
      <text>
        <r>
          <rPr>
            <b/>
            <sz val="9"/>
            <color indexed="81"/>
            <rFont val="Tahoma"/>
            <family val="2"/>
          </rPr>
          <t>Cari L. Garcia:</t>
        </r>
        <r>
          <rPr>
            <sz val="9"/>
            <color indexed="81"/>
            <rFont val="Tahoma"/>
            <family val="2"/>
          </rPr>
          <t xml:space="preserve">
Thru 2/28/18:
Dave McKinney</t>
        </r>
      </text>
    </comment>
    <comment ref="T123" authorId="0" shapeId="0">
      <text>
        <r>
          <rPr>
            <b/>
            <sz val="9"/>
            <color indexed="81"/>
            <rFont val="Tahoma"/>
            <family val="2"/>
          </rPr>
          <t>Cari L. Garcia:</t>
        </r>
        <r>
          <rPr>
            <sz val="9"/>
            <color indexed="81"/>
            <rFont val="Tahoma"/>
            <family val="2"/>
          </rPr>
          <t xml:space="preserve">
As of 3/1/18; no change 3/1/19</t>
        </r>
      </text>
    </comment>
    <comment ref="M186" authorId="0" shapeId="0">
      <text>
        <r>
          <rPr>
            <b/>
            <sz val="9"/>
            <color indexed="81"/>
            <rFont val="Tahoma"/>
            <family val="2"/>
          </rPr>
          <t>Cari L. Garcia:</t>
        </r>
        <r>
          <rPr>
            <sz val="9"/>
            <color indexed="81"/>
            <rFont val="Tahoma"/>
            <family val="2"/>
          </rPr>
          <t xml:space="preserve">
Thru 2/28/17:
Raychelle Menefee</t>
        </r>
      </text>
    </comment>
    <comment ref="O186" authorId="0" shapeId="0">
      <text>
        <r>
          <rPr>
            <b/>
            <sz val="9"/>
            <color indexed="81"/>
            <rFont val="Tahoma"/>
            <family val="2"/>
          </rPr>
          <t>Cari L. Garcia:</t>
        </r>
        <r>
          <rPr>
            <sz val="9"/>
            <color indexed="81"/>
            <rFont val="Tahoma"/>
            <family val="2"/>
          </rPr>
          <t xml:space="preserve">
Thru 2/28/18:
Raychelle Menefee</t>
        </r>
      </text>
    </comment>
    <comment ref="Q186" authorId="0" shapeId="0">
      <text>
        <r>
          <rPr>
            <b/>
            <sz val="9"/>
            <color indexed="81"/>
            <rFont val="Tahoma"/>
            <family val="2"/>
          </rPr>
          <t>Cari L. Garcia:</t>
        </r>
        <r>
          <rPr>
            <sz val="9"/>
            <color indexed="81"/>
            <rFont val="Tahoma"/>
            <family val="2"/>
          </rPr>
          <t xml:space="preserve">
As of 3/1/18:
Raychelle Menefee
As of 10/17/18: 
Raychelle rolled off - this position is unfilled</t>
        </r>
      </text>
    </comment>
    <comment ref="G193" authorId="1" shapeId="0">
      <text>
        <r>
          <rPr>
            <b/>
            <sz val="9"/>
            <color indexed="81"/>
            <rFont val="Tahoma"/>
            <family val="2"/>
          </rPr>
          <t>Sarah Hudgins:</t>
        </r>
        <r>
          <rPr>
            <sz val="9"/>
            <color indexed="81"/>
            <rFont val="Tahoma"/>
            <family val="2"/>
          </rPr>
          <t xml:space="preserve">
Faleesha effective 11/27/18; no change as of 3/1/2019 (eligible to next step increase 3/1/20)</t>
        </r>
      </text>
    </comment>
  </commentList>
</comments>
</file>

<file path=xl/sharedStrings.xml><?xml version="1.0" encoding="utf-8"?>
<sst xmlns="http://schemas.openxmlformats.org/spreadsheetml/2006/main" count="821" uniqueCount="230">
  <si>
    <t>C-IV Position</t>
  </si>
  <si>
    <t>San Bernardino Equivalent</t>
  </si>
  <si>
    <t>Sal Plan</t>
  </si>
  <si>
    <t>Grade</t>
  </si>
  <si>
    <t>Range</t>
  </si>
  <si>
    <t>Step 1</t>
  </si>
  <si>
    <t>Step 2</t>
  </si>
  <si>
    <t>Step 3</t>
  </si>
  <si>
    <t>Step 4</t>
  </si>
  <si>
    <t>Step 5</t>
  </si>
  <si>
    <t>Step 6</t>
  </si>
  <si>
    <t>Step 7</t>
  </si>
  <si>
    <t>Step 8</t>
  </si>
  <si>
    <t>Step 9</t>
  </si>
  <si>
    <t>Step 10</t>
  </si>
  <si>
    <t>Step 11</t>
  </si>
  <si>
    <t>Step 12</t>
  </si>
  <si>
    <t>Step 13</t>
  </si>
  <si>
    <t>Step 14</t>
  </si>
  <si>
    <t>Project Director</t>
  </si>
  <si>
    <t xml:space="preserve">Director </t>
  </si>
  <si>
    <t>XMB</t>
  </si>
  <si>
    <t>Min Hr</t>
  </si>
  <si>
    <t>Bi-wkly</t>
  </si>
  <si>
    <t>Approx. Month</t>
  </si>
  <si>
    <t>Determined by JPA Board</t>
  </si>
  <si>
    <t>Approx Annual</t>
  </si>
  <si>
    <t>Deputy Project Director</t>
  </si>
  <si>
    <t>Assistant Director</t>
  </si>
  <si>
    <t>MRP</t>
  </si>
  <si>
    <t>Business Analyst Manager</t>
  </si>
  <si>
    <t>Business Application Manager</t>
  </si>
  <si>
    <t>394</t>
  </si>
  <si>
    <t>73</t>
  </si>
  <si>
    <t>Regional Project Manager</t>
  </si>
  <si>
    <t>Business Analyst III</t>
  </si>
  <si>
    <t>67</t>
  </si>
  <si>
    <t>Technical Manager</t>
  </si>
  <si>
    <t>Dept. IS Admin</t>
  </si>
  <si>
    <t>ITS</t>
  </si>
  <si>
    <t>559</t>
  </si>
  <si>
    <t>80</t>
  </si>
  <si>
    <t xml:space="preserve">Lead Business Analyst </t>
  </si>
  <si>
    <t>SEU</t>
  </si>
  <si>
    <t>602</t>
  </si>
  <si>
    <t>Business Analyst II (Journey level)</t>
  </si>
  <si>
    <t>Business Analyst II</t>
  </si>
  <si>
    <t>494</t>
  </si>
  <si>
    <t>63</t>
  </si>
  <si>
    <t>Business Analyst I (Entry level)</t>
  </si>
  <si>
    <t>Business Analyst I</t>
  </si>
  <si>
    <t>363</t>
  </si>
  <si>
    <t>57</t>
  </si>
  <si>
    <t>Technical Analyst</t>
  </si>
  <si>
    <t>System Support Analyst II</t>
  </si>
  <si>
    <t>372</t>
  </si>
  <si>
    <t>Executive Secretary</t>
  </si>
  <si>
    <t>Executive Secretary II</t>
  </si>
  <si>
    <t>MCO</t>
  </si>
  <si>
    <t>Contracts Officer</t>
  </si>
  <si>
    <t>Contracts and Compliance Officer</t>
  </si>
  <si>
    <t>MRP  SEU</t>
  </si>
  <si>
    <t>495  569</t>
  </si>
  <si>
    <t>EXHIBIT A – TABLE 1</t>
  </si>
  <si>
    <t>Title</t>
  </si>
  <si>
    <t>Current  Step</t>
  </si>
  <si>
    <r>
      <t xml:space="preserve"># of Positions </t>
    </r>
    <r>
      <rPr>
        <b/>
        <vertAlign val="superscript"/>
        <sz val="11"/>
        <rFont val="Calibri"/>
        <family val="2"/>
        <scheme val="minor"/>
      </rPr>
      <t>1</t>
    </r>
  </si>
  <si>
    <t>Effective Date(s)</t>
  </si>
  <si>
    <t>Rate Frequency</t>
  </si>
  <si>
    <r>
      <t xml:space="preserve">Min Rate </t>
    </r>
    <r>
      <rPr>
        <b/>
        <vertAlign val="superscript"/>
        <sz val="11"/>
        <rFont val="Calibri"/>
        <family val="2"/>
        <scheme val="minor"/>
      </rPr>
      <t>2</t>
    </r>
  </si>
  <si>
    <r>
      <t xml:space="preserve">Max Rate </t>
    </r>
    <r>
      <rPr>
        <b/>
        <vertAlign val="superscript"/>
        <sz val="12"/>
        <rFont val="Calibri"/>
        <family val="2"/>
        <scheme val="minor"/>
      </rPr>
      <t>3</t>
    </r>
  </si>
  <si>
    <t>Travel</t>
  </si>
  <si>
    <t>Column1</t>
  </si>
  <si>
    <t>Column2</t>
  </si>
  <si>
    <t>Month</t>
  </si>
  <si>
    <r>
      <t>Actual</t>
    </r>
    <r>
      <rPr>
        <vertAlign val="superscript"/>
        <sz val="11"/>
        <rFont val="Calibri"/>
        <family val="2"/>
        <scheme val="minor"/>
      </rPr>
      <t>4</t>
    </r>
  </si>
  <si>
    <t>Business Analyst Lead</t>
  </si>
  <si>
    <t>No Change</t>
  </si>
  <si>
    <t>Danielle</t>
  </si>
  <si>
    <r>
      <t>Actual</t>
    </r>
    <r>
      <rPr>
        <vertAlign val="superscript"/>
        <sz val="1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/>
    </r>
  </si>
  <si>
    <t>Elisa</t>
  </si>
  <si>
    <t>Joel</t>
  </si>
  <si>
    <t>Karen</t>
  </si>
  <si>
    <t>N/A</t>
  </si>
  <si>
    <r>
      <t>$1000/month</t>
    </r>
    <r>
      <rPr>
        <vertAlign val="superscript"/>
        <sz val="11"/>
        <rFont val="Calibri"/>
        <family val="2"/>
        <scheme val="minor"/>
      </rPr>
      <t>5</t>
    </r>
    <r>
      <rPr>
        <sz val="11"/>
        <rFont val="Calibri"/>
        <family val="2"/>
        <scheme val="minor"/>
      </rPr>
      <t xml:space="preserve"> + Actual</t>
    </r>
    <r>
      <rPr>
        <vertAlign val="superscript"/>
        <sz val="11"/>
        <rFont val="Calibri"/>
        <family val="2"/>
        <scheme val="minor"/>
      </rPr>
      <t>4</t>
    </r>
  </si>
  <si>
    <t>Tom</t>
  </si>
  <si>
    <t>Cloud Architect Consultant</t>
  </si>
  <si>
    <t>Hour</t>
  </si>
  <si>
    <t>1-14</t>
  </si>
  <si>
    <t>SB County</t>
  </si>
  <si>
    <t>Jenn Smith</t>
  </si>
  <si>
    <t>Governance Consultant</t>
  </si>
  <si>
    <t>Office Assistant II</t>
  </si>
  <si>
    <t>Faleesha</t>
  </si>
  <si>
    <t>Procurement Consultant</t>
  </si>
  <si>
    <t>Regional Manager</t>
  </si>
  <si>
    <t>Jenn H</t>
  </si>
  <si>
    <t>RGS Chief Operating Officer</t>
  </si>
  <si>
    <t>None</t>
  </si>
  <si>
    <t>RGS Deputy Chief Operating Officer</t>
  </si>
  <si>
    <t>RGS Advisor</t>
  </si>
  <si>
    <t>RGS Project Advisor</t>
  </si>
  <si>
    <t>RGS Project Coordinator</t>
  </si>
  <si>
    <t>RGS Senior/Lead Advisor</t>
  </si>
  <si>
    <t>RGS Technical Specialist</t>
  </si>
  <si>
    <r>
      <t>Included</t>
    </r>
    <r>
      <rPr>
        <vertAlign val="superscript"/>
        <sz val="11"/>
        <rFont val="Calibri"/>
        <family val="2"/>
        <scheme val="minor"/>
      </rPr>
      <t>6</t>
    </r>
  </si>
  <si>
    <t>Chief Information Security Officer</t>
  </si>
  <si>
    <t>Dave M</t>
  </si>
  <si>
    <t>Conversion Analyst</t>
  </si>
  <si>
    <t>Exhibit A Salary Schedule</t>
  </si>
  <si>
    <t>CalSAWS Position</t>
  </si>
  <si>
    <t>Item</t>
  </si>
  <si>
    <t>Hourly Rate</t>
  </si>
  <si>
    <t>Tom Hartman</t>
  </si>
  <si>
    <t>Monthly Pay</t>
  </si>
  <si>
    <t>Min. Benefits/Mth</t>
  </si>
  <si>
    <t>Min Monthly Rate</t>
  </si>
  <si>
    <t>Max Benefits/Mth</t>
  </si>
  <si>
    <t>Max Monthly Rate</t>
  </si>
  <si>
    <t>RGS Fees</t>
  </si>
  <si>
    <t>Min. Monthly Budget</t>
  </si>
  <si>
    <t>Max Monthly Budget</t>
  </si>
  <si>
    <t>Policy, Design and Governance Director</t>
  </si>
  <si>
    <t>Karen Rapponotti</t>
  </si>
  <si>
    <t>Max. Benefits/Mth</t>
  </si>
  <si>
    <t>RGS Fees/Mth</t>
  </si>
  <si>
    <t>Min Monthly Budget</t>
  </si>
  <si>
    <t>Jenn Hobbs</t>
  </si>
  <si>
    <t>Jon Burkett</t>
  </si>
  <si>
    <t>Customer Engagement Manager</t>
  </si>
  <si>
    <t>Danielle Benoit</t>
  </si>
  <si>
    <t>Joel Acevedo</t>
  </si>
  <si>
    <t>Elisa Miller</t>
  </si>
  <si>
    <t>Paul Robertson</t>
  </si>
  <si>
    <t>Taras Shemchuk</t>
  </si>
  <si>
    <t>Daisy Villasenor</t>
  </si>
  <si>
    <t>Darcy Alexander</t>
  </si>
  <si>
    <t>Tyler Vaisau</t>
  </si>
  <si>
    <t>Dave McKinney</t>
  </si>
  <si>
    <t>Unfilled as of 10/2018; Raychelle Menefee rolled off</t>
  </si>
  <si>
    <t>Faleesha Andrews</t>
  </si>
  <si>
    <r>
      <rPr>
        <b/>
        <sz val="11"/>
        <color rgb="FFFF0000"/>
        <rFont val="Calibri"/>
        <family val="2"/>
        <scheme val="minor"/>
      </rPr>
      <t>Range</t>
    </r>
    <r>
      <rPr>
        <b/>
        <sz val="11"/>
        <color theme="1"/>
        <rFont val="Calibri"/>
        <family val="2"/>
        <scheme val="minor"/>
      </rPr>
      <t xml:space="preserve"> of Rates for Personnel and Travel Reimbursement Policies</t>
    </r>
  </si>
  <si>
    <t>C-IV Title</t>
  </si>
  <si>
    <t>Staff Name</t>
  </si>
  <si>
    <r>
      <t xml:space="preserve">Min. Rate </t>
    </r>
    <r>
      <rPr>
        <b/>
        <vertAlign val="superscript"/>
        <sz val="11"/>
        <rFont val="Calibri"/>
        <family val="2"/>
        <scheme val="minor"/>
      </rPr>
      <t>1</t>
    </r>
  </si>
  <si>
    <r>
      <t xml:space="preserve">Max Rate </t>
    </r>
    <r>
      <rPr>
        <b/>
        <vertAlign val="superscript"/>
        <sz val="11"/>
        <rFont val="Calibri"/>
        <family val="2"/>
        <scheme val="minor"/>
      </rPr>
      <t>2</t>
    </r>
  </si>
  <si>
    <t>Current Step</t>
  </si>
  <si>
    <t>Andrea Everett</t>
  </si>
  <si>
    <r>
      <t>Actual</t>
    </r>
    <r>
      <rPr>
        <vertAlign val="superscript"/>
        <sz val="11"/>
        <rFont val="Calibri"/>
        <family val="2"/>
        <scheme val="minor"/>
      </rPr>
      <t>3</t>
    </r>
  </si>
  <si>
    <t>RaVette Taylor</t>
  </si>
  <si>
    <t>C-IV Project Director</t>
  </si>
  <si>
    <r>
      <t>$1000/month</t>
    </r>
    <r>
      <rPr>
        <vertAlign val="superscript"/>
        <sz val="11"/>
        <rFont val="Calibri"/>
        <family val="2"/>
        <scheme val="minor"/>
      </rPr>
      <t>4</t>
    </r>
    <r>
      <rPr>
        <sz val="11"/>
        <rFont val="Calibri"/>
        <family val="2"/>
        <scheme val="minor"/>
      </rPr>
      <t xml:space="preserve"> + Actual</t>
    </r>
    <r>
      <rPr>
        <vertAlign val="superscript"/>
        <sz val="11"/>
        <rFont val="Calibri"/>
        <family val="2"/>
        <scheme val="minor"/>
      </rPr>
      <t>3</t>
    </r>
  </si>
  <si>
    <t>Raychelle Menefee</t>
  </si>
  <si>
    <r>
      <t>Included</t>
    </r>
    <r>
      <rPr>
        <vertAlign val="superscript"/>
        <sz val="11"/>
        <rFont val="Calibri"/>
        <family val="2"/>
        <scheme val="minor"/>
      </rPr>
      <t>5</t>
    </r>
  </si>
  <si>
    <t>Betty Uzipus</t>
  </si>
  <si>
    <t>RGS Amendment 24 Budget</t>
  </si>
  <si>
    <t>As of 7/19/19</t>
  </si>
  <si>
    <t>CalACES Title</t>
  </si>
  <si>
    <t>RGS Start Date</t>
  </si>
  <si>
    <r>
      <t>C-IV Project Start Date</t>
    </r>
    <r>
      <rPr>
        <b/>
        <sz val="8"/>
        <rFont val="Calibri"/>
        <family val="2"/>
        <scheme val="minor"/>
      </rPr>
      <t xml:space="preserve">
(Use for Vacation Accrual)</t>
    </r>
  </si>
  <si>
    <t>Months on Project</t>
  </si>
  <si>
    <t>Vacation Accrual Rate per hour</t>
  </si>
  <si>
    <t>Salary &amp; Benefit Effective Date</t>
  </si>
  <si>
    <r>
      <t xml:space="preserve">Current Benefits
</t>
    </r>
    <r>
      <rPr>
        <b/>
        <sz val="9"/>
        <rFont val="Calibri"/>
        <family val="2"/>
        <scheme val="minor"/>
      </rPr>
      <t>(Per Jeff on 4/24/19)</t>
    </r>
  </si>
  <si>
    <t>RGS Fee</t>
  </si>
  <si>
    <r>
      <t xml:space="preserve">Total Monthly Budget 
</t>
    </r>
    <r>
      <rPr>
        <b/>
        <sz val="9"/>
        <rFont val="Calibri"/>
        <family val="2"/>
        <scheme val="minor"/>
      </rPr>
      <t>(Salary + Benefits + Fees)</t>
    </r>
  </si>
  <si>
    <t>Annual Travel Budget</t>
  </si>
  <si>
    <t>Monthly Travel Budget</t>
  </si>
  <si>
    <t>Alexander, Darcy</t>
  </si>
  <si>
    <t>UNFILLED</t>
  </si>
  <si>
    <t xml:space="preserve">Robertson, Paul </t>
  </si>
  <si>
    <t xml:space="preserve">Shemchuk, Taras </t>
  </si>
  <si>
    <t xml:space="preserve">Vaisau, Tyler </t>
  </si>
  <si>
    <t>Hours/
year</t>
  </si>
  <si>
    <t>Hrs/year</t>
  </si>
  <si>
    <t>Accrual Rate</t>
  </si>
  <si>
    <t>Time</t>
  </si>
  <si>
    <t>Days/Year</t>
  </si>
  <si>
    <t xml:space="preserve">Villasenor, Daisy </t>
  </si>
  <si>
    <t>0-&lt;60</t>
  </si>
  <si>
    <t>Acevedo, Joel</t>
  </si>
  <si>
    <t>&gt;61-120</t>
  </si>
  <si>
    <t xml:space="preserve">Benoit, Danielle </t>
  </si>
  <si>
    <t>&gt;120</t>
  </si>
  <si>
    <t>Miller, Elisa</t>
  </si>
  <si>
    <t>Rapponotti, Karen</t>
  </si>
  <si>
    <t>Hartman, Thomas</t>
  </si>
  <si>
    <t xml:space="preserve">Uzipus, Betty </t>
  </si>
  <si>
    <t>Andrews, Faleesha</t>
  </si>
  <si>
    <t>Hobbs, Jennifer</t>
  </si>
  <si>
    <t>McKinney, Dave</t>
  </si>
  <si>
    <t xml:space="preserve">Burkett, Jon </t>
  </si>
  <si>
    <t>Ramirez, Belinda</t>
  </si>
  <si>
    <t xml:space="preserve">Trisler, Paul </t>
  </si>
  <si>
    <t>TOTAL</t>
  </si>
  <si>
    <t>Salary &amp; Benefits Increase Comparison (Effective 3/1/19)</t>
  </si>
  <si>
    <t>Employee</t>
  </si>
  <si>
    <t>1/1/2019</t>
  </si>
  <si>
    <t>3/1/2019</t>
  </si>
  <si>
    <t>Total Increase / (Decrease)</t>
  </si>
  <si>
    <t>%</t>
  </si>
  <si>
    <t>Salary Increase</t>
  </si>
  <si>
    <t>Benefit Increase</t>
  </si>
  <si>
    <t>Total</t>
  </si>
  <si>
    <t>Actual Rates for Personnel and Travel Reimbursement Policies</t>
  </si>
  <si>
    <t>Salary as of 7/19/19</t>
  </si>
  <si>
    <t>Step as of 7/19/19</t>
  </si>
  <si>
    <t>Information Security Consultant</t>
  </si>
  <si>
    <t>Conversion Consultant</t>
  </si>
  <si>
    <t>Cloud Manager</t>
  </si>
  <si>
    <t>Project IT Manager</t>
  </si>
  <si>
    <t>Technical Operations Manager</t>
  </si>
  <si>
    <t>Technical / Security Analyst I</t>
  </si>
  <si>
    <t>Technical / Security Analyst II</t>
  </si>
  <si>
    <t>Cloud Analyst</t>
  </si>
  <si>
    <t>Technical Security Consultant</t>
  </si>
  <si>
    <t>PMO Manager; Fiscal &amp; Contract Manager; Procurement Manager</t>
  </si>
  <si>
    <t>PMO-Fiscal &amp; Contract Analyst II; Procurement Analyst II</t>
  </si>
  <si>
    <t>PMO-Fiscal &amp; Contract Analyst III; Procurement Analyst III</t>
  </si>
  <si>
    <t>Principal Information Systems Analyst</t>
  </si>
  <si>
    <t>1-2</t>
  </si>
  <si>
    <t>1-7</t>
  </si>
  <si>
    <t>1-10</t>
  </si>
  <si>
    <t>Regional Manager II</t>
  </si>
  <si>
    <t>Change Management Lead</t>
  </si>
  <si>
    <t>Trainer</t>
  </si>
  <si>
    <t>Help Desk Analyst</t>
  </si>
  <si>
    <r>
      <t>Actual</t>
    </r>
    <r>
      <rPr>
        <vertAlign val="superscript"/>
        <sz val="11"/>
        <color theme="1"/>
        <rFont val="Calibri"/>
        <family val="2"/>
        <scheme val="minor"/>
      </rPr>
      <t>4</t>
    </r>
  </si>
  <si>
    <t>Business Consultant</t>
  </si>
  <si>
    <t>Range of Rates for Personnel and Travel Reimbursement Policies as of September 13,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</si>
</sst>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0.0000"/>
    <numFmt numFmtId="166" formatCode="0.0%"/>
    <numFmt numFmtId="167" formatCode="0.000%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8"/>
      <color theme="3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</font>
    <font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vertAlign val="superscript"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sz val="9"/>
      <color rgb="FFFF0000"/>
      <name val="Calibri"/>
      <family val="2"/>
      <scheme val="minor"/>
    </font>
    <font>
      <b/>
      <sz val="11"/>
      <name val="Calibri"/>
      <scheme val="minor"/>
    </font>
    <font>
      <sz val="11"/>
      <name val="Calibri"/>
      <scheme val="minor"/>
    </font>
    <font>
      <sz val="11"/>
      <name val="Calibri"/>
    </font>
    <font>
      <vertAlign val="super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13" fillId="0" borderId="0"/>
    <xf numFmtId="9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43">
    <xf numFmtId="0" fontId="0" fillId="0" borderId="0" xfId="0"/>
    <xf numFmtId="0" fontId="4" fillId="2" borderId="2" xfId="2" applyFont="1" applyFill="1" applyBorder="1" applyAlignment="1">
      <alignment horizontal="left" wrapText="1"/>
    </xf>
    <xf numFmtId="0" fontId="4" fillId="2" borderId="2" xfId="2" applyFont="1" applyFill="1" applyBorder="1" applyAlignment="1">
      <alignment horizontal="center" wrapText="1"/>
    </xf>
    <xf numFmtId="0" fontId="4" fillId="2" borderId="3" xfId="2" applyFont="1" applyFill="1" applyBorder="1" applyAlignment="1">
      <alignment horizontal="center" wrapText="1"/>
    </xf>
    <xf numFmtId="0" fontId="4" fillId="2" borderId="4" xfId="2" applyFont="1" applyFill="1" applyBorder="1" applyAlignment="1">
      <alignment horizontal="left" wrapText="1"/>
    </xf>
    <xf numFmtId="0" fontId="4" fillId="2" borderId="5" xfId="2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vertical="top" wrapText="1"/>
    </xf>
    <xf numFmtId="44" fontId="8" fillId="0" borderId="6" xfId="1" applyFont="1" applyFill="1" applyBorder="1" applyAlignment="1">
      <alignment horizontal="left" vertical="top" wrapText="1"/>
    </xf>
    <xf numFmtId="44" fontId="8" fillId="3" borderId="6" xfId="1" applyFont="1" applyFill="1" applyBorder="1" applyAlignment="1">
      <alignment horizontal="left" vertical="top" wrapText="1"/>
    </xf>
    <xf numFmtId="0" fontId="7" fillId="3" borderId="6" xfId="0" applyFont="1" applyFill="1" applyBorder="1" applyAlignment="1">
      <alignment horizontal="left" vertical="top" wrapText="1"/>
    </xf>
    <xf numFmtId="44" fontId="8" fillId="3" borderId="6" xfId="1" applyNumberFormat="1" applyFont="1" applyFill="1" applyBorder="1" applyAlignment="1">
      <alignment vertical="top"/>
    </xf>
    <xf numFmtId="44" fontId="8" fillId="3" borderId="6" xfId="1" applyFont="1" applyFill="1" applyBorder="1" applyAlignment="1">
      <alignment vertical="top"/>
    </xf>
    <xf numFmtId="44" fontId="8" fillId="0" borderId="6" xfId="1" applyNumberFormat="1" applyFont="1" applyFill="1" applyBorder="1" applyAlignment="1">
      <alignment vertical="top"/>
    </xf>
    <xf numFmtId="0" fontId="0" fillId="0" borderId="0" xfId="0" applyFill="1"/>
    <xf numFmtId="44" fontId="8" fillId="0" borderId="6" xfId="1" applyFont="1" applyFill="1" applyBorder="1" applyAlignment="1">
      <alignment vertical="top"/>
    </xf>
    <xf numFmtId="0" fontId="0" fillId="0" borderId="0" xfId="0" applyAlignment="1">
      <alignment horizontal="centerContinuous"/>
    </xf>
    <xf numFmtId="0" fontId="0" fillId="0" borderId="0" xfId="0" applyAlignment="1">
      <alignment vertical="top"/>
    </xf>
    <xf numFmtId="0" fontId="9" fillId="0" borderId="0" xfId="0" applyFont="1" applyAlignment="1">
      <alignment horizontal="centerContinuous" vertical="top"/>
    </xf>
    <xf numFmtId="0" fontId="10" fillId="0" borderId="0" xfId="0" applyFont="1" applyFill="1" applyBorder="1" applyAlignment="1">
      <alignment horizontal="center" vertical="top"/>
    </xf>
    <xf numFmtId="1" fontId="0" fillId="0" borderId="0" xfId="0" applyNumberFormat="1"/>
    <xf numFmtId="0" fontId="0" fillId="0" borderId="0" xfId="0" applyAlignment="1"/>
    <xf numFmtId="1" fontId="0" fillId="0" borderId="0" xfId="0" applyNumberFormat="1" applyAlignment="1">
      <alignment horizontal="centerContinuous"/>
    </xf>
    <xf numFmtId="44" fontId="11" fillId="0" borderId="0" xfId="1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right" vertical="center"/>
    </xf>
    <xf numFmtId="164" fontId="11" fillId="0" borderId="0" xfId="1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top" wrapText="1"/>
    </xf>
    <xf numFmtId="1" fontId="11" fillId="0" borderId="0" xfId="1" applyNumberFormat="1" applyFont="1" applyFill="1" applyBorder="1" applyAlignment="1">
      <alignment horizontal="center" vertical="center"/>
    </xf>
    <xf numFmtId="1" fontId="10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14" fontId="11" fillId="0" borderId="0" xfId="0" applyNumberFormat="1" applyFont="1" applyFill="1" applyBorder="1" applyAlignment="1">
      <alignment horizontal="center" vertical="center" wrapText="1"/>
    </xf>
    <xf numFmtId="44" fontId="11" fillId="0" borderId="0" xfId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44" fontId="0" fillId="0" borderId="0" xfId="1" applyFont="1"/>
    <xf numFmtId="0" fontId="9" fillId="0" borderId="0" xfId="0" applyFont="1" applyFill="1"/>
    <xf numFmtId="0" fontId="9" fillId="0" borderId="0" xfId="0" applyFont="1" applyFill="1" applyAlignment="1">
      <alignment horizontal="center"/>
    </xf>
    <xf numFmtId="44" fontId="9" fillId="0" borderId="0" xfId="1" applyFont="1" applyFill="1"/>
    <xf numFmtId="0" fontId="8" fillId="0" borderId="0" xfId="0" applyFont="1" applyAlignment="1">
      <alignment vertical="top"/>
    </xf>
    <xf numFmtId="44" fontId="19" fillId="0" borderId="0" xfId="0" applyNumberFormat="1" applyFont="1"/>
    <xf numFmtId="0" fontId="11" fillId="0" borderId="0" xfId="0" applyFont="1" applyFill="1" applyBorder="1" applyAlignment="1">
      <alignment horizontal="center" vertical="center"/>
    </xf>
    <xf numFmtId="14" fontId="11" fillId="0" borderId="0" xfId="0" applyNumberFormat="1" applyFont="1" applyFill="1" applyBorder="1" applyAlignment="1">
      <alignment horizontal="center" vertical="center"/>
    </xf>
    <xf numFmtId="1" fontId="11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11" fillId="0" borderId="0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165" fontId="11" fillId="0" borderId="0" xfId="0" applyNumberFormat="1" applyFont="1" applyFill="1" applyBorder="1" applyAlignment="1">
      <alignment horizontal="center" vertical="center"/>
    </xf>
    <xf numFmtId="165" fontId="0" fillId="0" borderId="0" xfId="0" applyNumberFormat="1" applyAlignment="1">
      <alignment horizontal="center"/>
    </xf>
    <xf numFmtId="8" fontId="0" fillId="0" borderId="0" xfId="0" applyNumberFormat="1"/>
    <xf numFmtId="0" fontId="0" fillId="0" borderId="0" xfId="0" applyNumberFormat="1" applyAlignment="1">
      <alignment horizontal="center"/>
    </xf>
    <xf numFmtId="44" fontId="0" fillId="0" borderId="0" xfId="0" applyNumberFormat="1"/>
    <xf numFmtId="1" fontId="11" fillId="0" borderId="0" xfId="0" quotePrefix="1" applyNumberFormat="1" applyFont="1" applyFill="1" applyBorder="1" applyAlignment="1">
      <alignment horizontal="center" vertical="center"/>
    </xf>
    <xf numFmtId="3" fontId="0" fillId="0" borderId="0" xfId="0" applyNumberFormat="1"/>
    <xf numFmtId="0" fontId="0" fillId="0" borderId="0" xfId="0" applyAlignment="1">
      <alignment horizontal="center" vertical="top"/>
    </xf>
    <xf numFmtId="0" fontId="23" fillId="0" borderId="0" xfId="0" applyFont="1"/>
    <xf numFmtId="164" fontId="10" fillId="0" borderId="0" xfId="1" applyNumberFormat="1" applyFont="1" applyFill="1" applyBorder="1" applyAlignment="1">
      <alignment horizontal="right" vertical="center"/>
    </xf>
    <xf numFmtId="164" fontId="11" fillId="0" borderId="0" xfId="1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14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 wrapText="1"/>
    </xf>
    <xf numFmtId="164" fontId="0" fillId="0" borderId="0" xfId="0" applyNumberFormat="1" applyAlignment="1">
      <alignment horizontal="center" vertical="top" wrapText="1"/>
    </xf>
    <xf numFmtId="166" fontId="0" fillId="0" borderId="0" xfId="4" applyNumberFormat="1" applyFont="1"/>
    <xf numFmtId="166" fontId="0" fillId="0" borderId="0" xfId="0" applyNumberFormat="1" applyFont="1"/>
    <xf numFmtId="0" fontId="10" fillId="0" borderId="20" xfId="0" applyFont="1" applyFill="1" applyBorder="1" applyAlignment="1">
      <alignment horizontal="center" vertical="top" wrapText="1"/>
    </xf>
    <xf numFmtId="0" fontId="10" fillId="0" borderId="21" xfId="0" applyFont="1" applyFill="1" applyBorder="1" applyAlignment="1">
      <alignment horizontal="center" vertical="top" wrapText="1"/>
    </xf>
    <xf numFmtId="1" fontId="10" fillId="0" borderId="21" xfId="0" applyNumberFormat="1" applyFont="1" applyFill="1" applyBorder="1" applyAlignment="1">
      <alignment horizontal="center" vertical="top" wrapText="1"/>
    </xf>
    <xf numFmtId="44" fontId="10" fillId="0" borderId="22" xfId="1" applyFont="1" applyFill="1" applyBorder="1" applyAlignment="1">
      <alignment horizontal="center" vertical="top" wrapText="1"/>
    </xf>
    <xf numFmtId="0" fontId="10" fillId="0" borderId="23" xfId="0" applyFont="1" applyFill="1" applyBorder="1" applyAlignment="1">
      <alignment horizontal="left" vertical="center"/>
    </xf>
    <xf numFmtId="164" fontId="18" fillId="0" borderId="24" xfId="1" applyNumberFormat="1" applyFont="1" applyFill="1" applyBorder="1" applyAlignment="1">
      <alignment horizontal="center" vertical="center"/>
    </xf>
    <xf numFmtId="0" fontId="0" fillId="5" borderId="2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164" fontId="0" fillId="5" borderId="0" xfId="0" applyNumberFormat="1" applyFill="1" applyBorder="1"/>
    <xf numFmtId="164" fontId="0" fillId="5" borderId="24" xfId="1" applyNumberFormat="1" applyFont="1" applyFill="1" applyBorder="1"/>
    <xf numFmtId="0" fontId="9" fillId="3" borderId="25" xfId="0" applyFont="1" applyFill="1" applyBorder="1"/>
    <xf numFmtId="0" fontId="9" fillId="3" borderId="26" xfId="0" applyFont="1" applyFill="1" applyBorder="1"/>
    <xf numFmtId="0" fontId="9" fillId="3" borderId="26" xfId="0" applyFont="1" applyFill="1" applyBorder="1" applyAlignment="1">
      <alignment horizontal="center"/>
    </xf>
    <xf numFmtId="164" fontId="9" fillId="3" borderId="26" xfId="1" applyNumberFormat="1" applyFont="1" applyFill="1" applyBorder="1"/>
    <xf numFmtId="164" fontId="9" fillId="3" borderId="26" xfId="0" applyNumberFormat="1" applyFont="1" applyFill="1" applyBorder="1"/>
    <xf numFmtId="164" fontId="9" fillId="3" borderId="27" xfId="1" applyNumberFormat="1" applyFont="1" applyFill="1" applyBorder="1"/>
    <xf numFmtId="0" fontId="10" fillId="0" borderId="20" xfId="0" applyFont="1" applyFill="1" applyBorder="1" applyAlignment="1">
      <alignment horizontal="center" vertical="top"/>
    </xf>
    <xf numFmtId="0" fontId="10" fillId="0" borderId="21" xfId="0" applyFont="1" applyFill="1" applyBorder="1" applyAlignment="1">
      <alignment horizontal="center" vertical="top"/>
    </xf>
    <xf numFmtId="0" fontId="10" fillId="0" borderId="22" xfId="0" applyFont="1" applyFill="1" applyBorder="1" applyAlignment="1">
      <alignment horizontal="center" vertical="top"/>
    </xf>
    <xf numFmtId="0" fontId="11" fillId="0" borderId="24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top"/>
    </xf>
    <xf numFmtId="0" fontId="9" fillId="0" borderId="0" xfId="0" applyFont="1" applyAlignment="1">
      <alignment horizontal="center"/>
    </xf>
    <xf numFmtId="0" fontId="21" fillId="2" borderId="9" xfId="2" applyFont="1" applyFill="1" applyBorder="1" applyAlignment="1">
      <alignment horizontal="left" wrapText="1"/>
    </xf>
    <xf numFmtId="0" fontId="11" fillId="0" borderId="0" xfId="0" applyFont="1"/>
    <xf numFmtId="0" fontId="11" fillId="0" borderId="0" xfId="0" applyFont="1" applyAlignment="1">
      <alignment vertical="center"/>
    </xf>
    <xf numFmtId="8" fontId="11" fillId="0" borderId="0" xfId="0" applyNumberFormat="1" applyFont="1"/>
    <xf numFmtId="0" fontId="11" fillId="0" borderId="0" xfId="0" applyFont="1" applyAlignment="1">
      <alignment horizontal="centerContinuous"/>
    </xf>
    <xf numFmtId="0" fontId="11" fillId="0" borderId="0" xfId="0" applyFont="1" applyAlignment="1"/>
    <xf numFmtId="0" fontId="11" fillId="0" borderId="0" xfId="0" applyFont="1" applyAlignment="1">
      <alignment vertical="top"/>
    </xf>
    <xf numFmtId="0" fontId="11" fillId="0" borderId="0" xfId="0" applyFont="1" applyFill="1" applyAlignment="1">
      <alignment horizontal="center"/>
    </xf>
    <xf numFmtId="0" fontId="11" fillId="0" borderId="0" xfId="0" quotePrefix="1" applyNumberFormat="1" applyFont="1" applyFill="1" applyBorder="1" applyAlignment="1">
      <alignment horizontal="center" vertical="center"/>
    </xf>
    <xf numFmtId="1" fontId="11" fillId="0" borderId="0" xfId="0" applyNumberFormat="1" applyFont="1"/>
    <xf numFmtId="0" fontId="24" fillId="0" borderId="0" xfId="0" applyFont="1"/>
    <xf numFmtId="0" fontId="11" fillId="0" borderId="0" xfId="0" applyFont="1" applyFill="1"/>
    <xf numFmtId="0" fontId="11" fillId="0" borderId="0" xfId="0" applyFont="1" applyFill="1" applyAlignment="1"/>
    <xf numFmtId="164" fontId="11" fillId="0" borderId="0" xfId="0" applyNumberFormat="1" applyFont="1" applyFill="1"/>
    <xf numFmtId="0" fontId="21" fillId="2" borderId="10" xfId="2" applyFont="1" applyFill="1" applyBorder="1" applyAlignment="1">
      <alignment horizontal="left" wrapText="1"/>
    </xf>
    <xf numFmtId="0" fontId="21" fillId="2" borderId="10" xfId="2" applyFont="1" applyFill="1" applyBorder="1" applyAlignment="1">
      <alignment horizontal="center" wrapText="1"/>
    </xf>
    <xf numFmtId="0" fontId="21" fillId="2" borderId="11" xfId="2" applyFont="1" applyFill="1" applyBorder="1" applyAlignment="1">
      <alignment horizontal="left" wrapText="1"/>
    </xf>
    <xf numFmtId="164" fontId="11" fillId="0" borderId="0" xfId="0" applyNumberFormat="1" applyFont="1"/>
    <xf numFmtId="0" fontId="21" fillId="0" borderId="6" xfId="0" applyFont="1" applyFill="1" applyBorder="1" applyAlignment="1">
      <alignment horizontal="left" vertical="top"/>
    </xf>
    <xf numFmtId="164" fontId="26" fillId="0" borderId="6" xfId="1" applyNumberFormat="1" applyFont="1" applyFill="1" applyBorder="1" applyAlignment="1">
      <alignment horizontal="right" vertical="top" wrapText="1"/>
    </xf>
    <xf numFmtId="164" fontId="26" fillId="0" borderId="6" xfId="1" applyNumberFormat="1" applyFont="1" applyFill="1" applyBorder="1" applyAlignment="1">
      <alignment horizontal="right" vertical="top"/>
    </xf>
    <xf numFmtId="164" fontId="26" fillId="0" borderId="13" xfId="1" applyNumberFormat="1" applyFont="1" applyFill="1" applyBorder="1" applyAlignment="1">
      <alignment horizontal="right" vertical="top"/>
    </xf>
    <xf numFmtId="44" fontId="11" fillId="0" borderId="0" xfId="1" applyFont="1" applyFill="1"/>
    <xf numFmtId="0" fontId="11" fillId="0" borderId="0" xfId="0" applyFont="1" applyFill="1" applyBorder="1"/>
    <xf numFmtId="164" fontId="26" fillId="0" borderId="13" xfId="1" applyNumberFormat="1" applyFont="1" applyFill="1" applyBorder="1" applyAlignment="1">
      <alignment horizontal="right" vertical="top" wrapText="1"/>
    </xf>
    <xf numFmtId="0" fontId="21" fillId="0" borderId="15" xfId="0" applyFont="1" applyFill="1" applyBorder="1" applyAlignment="1">
      <alignment horizontal="left" vertical="top"/>
    </xf>
    <xf numFmtId="164" fontId="26" fillId="0" borderId="15" xfId="1" applyNumberFormat="1" applyFont="1" applyFill="1" applyBorder="1" applyAlignment="1">
      <alignment horizontal="right" vertical="top" wrapText="1"/>
    </xf>
    <xf numFmtId="164" fontId="26" fillId="0" borderId="17" xfId="1" applyNumberFormat="1" applyFont="1" applyFill="1" applyBorder="1" applyAlignment="1">
      <alignment horizontal="right" vertical="top" wrapText="1"/>
    </xf>
    <xf numFmtId="0" fontId="21" fillId="3" borderId="10" xfId="0" applyFont="1" applyFill="1" applyBorder="1" applyAlignment="1">
      <alignment horizontal="left" vertical="top"/>
    </xf>
    <xf numFmtId="164" fontId="26" fillId="3" borderId="10" xfId="1" applyNumberFormat="1" applyFont="1" applyFill="1" applyBorder="1" applyAlignment="1">
      <alignment horizontal="right" vertical="top" wrapText="1"/>
    </xf>
    <xf numFmtId="164" fontId="26" fillId="3" borderId="11" xfId="1" applyNumberFormat="1" applyFont="1" applyFill="1" applyBorder="1" applyAlignment="1">
      <alignment horizontal="right" vertical="top" wrapText="1"/>
    </xf>
    <xf numFmtId="0" fontId="21" fillId="3" borderId="6" xfId="0" applyFont="1" applyFill="1" applyBorder="1" applyAlignment="1">
      <alignment horizontal="left" vertical="top"/>
    </xf>
    <xf numFmtId="164" fontId="26" fillId="3" borderId="6" xfId="1" applyNumberFormat="1" applyFont="1" applyFill="1" applyBorder="1" applyAlignment="1">
      <alignment horizontal="right" vertical="top" wrapText="1"/>
    </xf>
    <xf numFmtId="164" fontId="26" fillId="3" borderId="13" xfId="1" applyNumberFormat="1" applyFont="1" applyFill="1" applyBorder="1" applyAlignment="1">
      <alignment horizontal="right" vertical="top" wrapText="1"/>
    </xf>
    <xf numFmtId="0" fontId="21" fillId="3" borderId="15" xfId="0" applyFont="1" applyFill="1" applyBorder="1" applyAlignment="1">
      <alignment horizontal="left" vertical="top"/>
    </xf>
    <xf numFmtId="164" fontId="26" fillId="3" borderId="15" xfId="1" applyNumberFormat="1" applyFont="1" applyFill="1" applyBorder="1" applyAlignment="1">
      <alignment horizontal="right" vertical="top" wrapText="1"/>
    </xf>
    <xf numFmtId="164" fontId="26" fillId="3" borderId="17" xfId="1" applyNumberFormat="1" applyFont="1" applyFill="1" applyBorder="1" applyAlignment="1">
      <alignment horizontal="right" vertical="top" wrapText="1"/>
    </xf>
    <xf numFmtId="49" fontId="25" fillId="0" borderId="7" xfId="0" applyNumberFormat="1" applyFont="1" applyFill="1" applyBorder="1" applyAlignment="1">
      <alignment horizontal="center" vertical="top"/>
    </xf>
    <xf numFmtId="49" fontId="25" fillId="0" borderId="7" xfId="0" applyNumberFormat="1" applyFont="1" applyFill="1" applyBorder="1" applyAlignment="1">
      <alignment horizontal="center" vertical="top" wrapText="1"/>
    </xf>
    <xf numFmtId="0" fontId="21" fillId="0" borderId="10" xfId="0" applyFont="1" applyFill="1" applyBorder="1" applyAlignment="1">
      <alignment horizontal="left" vertical="top"/>
    </xf>
    <xf numFmtId="0" fontId="21" fillId="0" borderId="8" xfId="0" applyFont="1" applyFill="1" applyBorder="1" applyAlignment="1">
      <alignment horizontal="left" vertical="top"/>
    </xf>
    <xf numFmtId="164" fontId="26" fillId="0" borderId="8" xfId="1" applyNumberFormat="1" applyFont="1" applyFill="1" applyBorder="1" applyAlignment="1">
      <alignment horizontal="right" vertical="top" wrapText="1"/>
    </xf>
    <xf numFmtId="164" fontId="26" fillId="0" borderId="28" xfId="1" applyNumberFormat="1" applyFont="1" applyFill="1" applyBorder="1" applyAlignment="1">
      <alignment horizontal="right" vertical="top" wrapText="1"/>
    </xf>
    <xf numFmtId="164" fontId="26" fillId="0" borderId="10" xfId="1" applyNumberFormat="1" applyFont="1" applyFill="1" applyBorder="1" applyAlignment="1">
      <alignment horizontal="right" vertical="top" wrapText="1"/>
    </xf>
    <xf numFmtId="164" fontId="26" fillId="0" borderId="11" xfId="1" applyNumberFormat="1" applyFont="1" applyFill="1" applyBorder="1" applyAlignment="1">
      <alignment horizontal="right" vertical="top" wrapText="1"/>
    </xf>
    <xf numFmtId="0" fontId="25" fillId="0" borderId="32" xfId="0" applyFont="1" applyFill="1" applyBorder="1" applyAlignment="1">
      <alignment horizontal="center" vertical="top" wrapText="1"/>
    </xf>
    <xf numFmtId="49" fontId="25" fillId="0" borderId="32" xfId="0" applyNumberFormat="1" applyFont="1" applyFill="1" applyBorder="1" applyAlignment="1">
      <alignment horizontal="center" vertical="top"/>
    </xf>
    <xf numFmtId="49" fontId="25" fillId="0" borderId="32" xfId="0" applyNumberFormat="1" applyFont="1" applyFill="1" applyBorder="1" applyAlignment="1">
      <alignment horizontal="center" vertical="top" wrapText="1"/>
    </xf>
    <xf numFmtId="49" fontId="25" fillId="0" borderId="16" xfId="0" applyNumberFormat="1" applyFont="1" applyFill="1" applyBorder="1" applyAlignment="1">
      <alignment horizontal="center" vertical="top"/>
    </xf>
    <xf numFmtId="49" fontId="25" fillId="0" borderId="16" xfId="0" applyNumberFormat="1" applyFont="1" applyFill="1" applyBorder="1" applyAlignment="1">
      <alignment horizontal="center" vertical="top" wrapText="1"/>
    </xf>
    <xf numFmtId="167" fontId="11" fillId="0" borderId="0" xfId="4" applyNumberFormat="1" applyFont="1" applyFill="1"/>
    <xf numFmtId="164" fontId="26" fillId="6" borderId="10" xfId="1" applyNumberFormat="1" applyFont="1" applyFill="1" applyBorder="1" applyAlignment="1">
      <alignment horizontal="right" vertical="top" wrapText="1"/>
    </xf>
    <xf numFmtId="164" fontId="26" fillId="6" borderId="6" xfId="1" applyNumberFormat="1" applyFont="1" applyFill="1" applyBorder="1" applyAlignment="1">
      <alignment horizontal="right" vertical="top" wrapText="1"/>
    </xf>
    <xf numFmtId="164" fontId="26" fillId="6" borderId="15" xfId="1" applyNumberFormat="1" applyFont="1" applyFill="1" applyBorder="1" applyAlignment="1">
      <alignment horizontal="right" vertical="top" wrapText="1"/>
    </xf>
    <xf numFmtId="0" fontId="21" fillId="3" borderId="8" xfId="0" applyFont="1" applyFill="1" applyBorder="1" applyAlignment="1">
      <alignment horizontal="left" vertical="top"/>
    </xf>
    <xf numFmtId="164" fontId="26" fillId="3" borderId="8" xfId="1" applyNumberFormat="1" applyFont="1" applyFill="1" applyBorder="1" applyAlignment="1">
      <alignment horizontal="right" vertical="top" wrapText="1"/>
    </xf>
    <xf numFmtId="164" fontId="26" fillId="3" borderId="8" xfId="1" applyNumberFormat="1" applyFont="1" applyFill="1" applyBorder="1" applyAlignment="1">
      <alignment horizontal="right" vertical="top"/>
    </xf>
    <xf numFmtId="164" fontId="26" fillId="3" borderId="28" xfId="1" applyNumberFormat="1" applyFont="1" applyFill="1" applyBorder="1" applyAlignment="1">
      <alignment horizontal="right" vertical="top"/>
    </xf>
    <xf numFmtId="0" fontId="27" fillId="0" borderId="0" xfId="0" applyFont="1"/>
    <xf numFmtId="0" fontId="28" fillId="0" borderId="0" xfId="0" applyFont="1" applyFill="1" applyAlignment="1">
      <alignment horizontal="center" vertical="center"/>
    </xf>
    <xf numFmtId="0" fontId="29" fillId="0" borderId="7" xfId="0" applyFont="1" applyFill="1" applyBorder="1" applyAlignment="1">
      <alignment horizontal="center" vertical="top" wrapText="1"/>
    </xf>
    <xf numFmtId="49" fontId="29" fillId="0" borderId="7" xfId="0" applyNumberFormat="1" applyFont="1" applyFill="1" applyBorder="1" applyAlignment="1">
      <alignment horizontal="center" vertical="top"/>
    </xf>
    <xf numFmtId="49" fontId="29" fillId="0" borderId="7" xfId="0" applyNumberFormat="1" applyFont="1" applyFill="1" applyBorder="1" applyAlignment="1">
      <alignment horizontal="center" vertical="top" wrapText="1"/>
    </xf>
    <xf numFmtId="0" fontId="29" fillId="0" borderId="33" xfId="0" applyFont="1" applyFill="1" applyBorder="1" applyAlignment="1">
      <alignment horizontal="center" vertical="top" wrapText="1"/>
    </xf>
    <xf numFmtId="0" fontId="29" fillId="0" borderId="34" xfId="0" applyFont="1" applyFill="1" applyBorder="1" applyAlignment="1">
      <alignment horizontal="center" vertical="top" wrapText="1"/>
    </xf>
    <xf numFmtId="49" fontId="29" fillId="0" borderId="16" xfId="0" applyNumberFormat="1" applyFont="1" applyFill="1" applyBorder="1" applyAlignment="1">
      <alignment horizontal="center" vertical="top"/>
    </xf>
    <xf numFmtId="49" fontId="29" fillId="0" borderId="16" xfId="0" applyNumberFormat="1" applyFont="1" applyFill="1" applyBorder="1" applyAlignment="1">
      <alignment horizontal="center" vertical="top" wrapText="1"/>
    </xf>
    <xf numFmtId="0" fontId="29" fillId="0" borderId="32" xfId="0" applyFont="1" applyFill="1" applyBorder="1" applyAlignment="1">
      <alignment horizontal="center" vertical="top" wrapText="1"/>
    </xf>
    <xf numFmtId="49" fontId="29" fillId="0" borderId="32" xfId="0" applyNumberFormat="1" applyFont="1" applyFill="1" applyBorder="1" applyAlignment="1">
      <alignment horizontal="center" vertical="top"/>
    </xf>
    <xf numFmtId="49" fontId="29" fillId="0" borderId="32" xfId="0" applyNumberFormat="1" applyFont="1" applyFill="1" applyBorder="1" applyAlignment="1">
      <alignment horizontal="center" vertical="top" wrapText="1"/>
    </xf>
    <xf numFmtId="0" fontId="29" fillId="0" borderId="16" xfId="0" applyFont="1" applyFill="1" applyBorder="1" applyAlignment="1">
      <alignment horizontal="center" vertical="top" wrapText="1"/>
    </xf>
    <xf numFmtId="0" fontId="29" fillId="0" borderId="35" xfId="0" applyFont="1" applyFill="1" applyBorder="1" applyAlignment="1">
      <alignment horizontal="center" vertical="top" wrapText="1"/>
    </xf>
    <xf numFmtId="0" fontId="25" fillId="0" borderId="6" xfId="0" applyFont="1" applyFill="1" applyBorder="1" applyAlignment="1">
      <alignment horizontal="center" vertical="top" wrapText="1"/>
    </xf>
    <xf numFmtId="0" fontId="25" fillId="0" borderId="15" xfId="0" applyFont="1" applyFill="1" applyBorder="1" applyAlignment="1">
      <alignment horizontal="center" vertical="top" wrapText="1"/>
    </xf>
    <xf numFmtId="0" fontId="25" fillId="0" borderId="10" xfId="0" applyFont="1" applyFill="1" applyBorder="1" applyAlignment="1">
      <alignment horizontal="center" vertical="top" wrapText="1"/>
    </xf>
    <xf numFmtId="0" fontId="25" fillId="0" borderId="7" xfId="0" applyFont="1" applyFill="1" applyBorder="1" applyAlignment="1">
      <alignment horizontal="center" vertical="top" wrapText="1"/>
    </xf>
    <xf numFmtId="0" fontId="25" fillId="0" borderId="16" xfId="0" applyFont="1" applyFill="1" applyBorder="1" applyAlignment="1">
      <alignment horizontal="center" vertical="top" wrapText="1"/>
    </xf>
    <xf numFmtId="1" fontId="10" fillId="0" borderId="0" xfId="0" quotePrefix="1" applyNumberFormat="1" applyFont="1" applyFill="1" applyBorder="1" applyAlignment="1">
      <alignment horizontal="center" vertical="center"/>
    </xf>
    <xf numFmtId="16" fontId="11" fillId="0" borderId="0" xfId="0" quotePrefix="1" applyNumberFormat="1" applyFont="1" applyFill="1" applyBorder="1" applyAlignment="1">
      <alignment horizontal="center" vertical="center"/>
    </xf>
    <xf numFmtId="164" fontId="26" fillId="6" borderId="11" xfId="1" applyNumberFormat="1" applyFont="1" applyFill="1" applyBorder="1" applyAlignment="1">
      <alignment horizontal="right" vertical="top" wrapText="1"/>
    </xf>
    <xf numFmtId="164" fontId="26" fillId="6" borderId="13" xfId="1" applyNumberFormat="1" applyFont="1" applyFill="1" applyBorder="1" applyAlignment="1">
      <alignment horizontal="right" vertical="top" wrapText="1"/>
    </xf>
    <xf numFmtId="164" fontId="26" fillId="6" borderId="17" xfId="1" applyNumberFormat="1" applyFont="1" applyFill="1" applyBorder="1" applyAlignment="1">
      <alignment horizontal="right" vertical="top" wrapText="1"/>
    </xf>
    <xf numFmtId="164" fontId="26" fillId="3" borderId="28" xfId="1" applyNumberFormat="1" applyFont="1" applyFill="1" applyBorder="1" applyAlignment="1">
      <alignment horizontal="right" vertical="top" wrapText="1"/>
    </xf>
    <xf numFmtId="0" fontId="30" fillId="0" borderId="23" xfId="0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center" vertical="center"/>
    </xf>
    <xf numFmtId="14" fontId="31" fillId="0" borderId="0" xfId="0" applyNumberFormat="1" applyFont="1" applyFill="1" applyBorder="1" applyAlignment="1">
      <alignment horizontal="center" vertical="center"/>
    </xf>
    <xf numFmtId="44" fontId="31" fillId="0" borderId="0" xfId="1" applyFont="1" applyFill="1" applyBorder="1" applyAlignment="1">
      <alignment horizontal="right" vertical="center"/>
    </xf>
    <xf numFmtId="0" fontId="31" fillId="0" borderId="24" xfId="0" applyFont="1" applyFill="1" applyBorder="1" applyAlignment="1">
      <alignment horizontal="center" vertical="center"/>
    </xf>
    <xf numFmtId="0" fontId="32" fillId="0" borderId="0" xfId="0" applyFont="1" applyFill="1" applyAlignment="1">
      <alignment horizontal="center" vertical="center"/>
    </xf>
    <xf numFmtId="14" fontId="31" fillId="0" borderId="0" xfId="0" applyNumberFormat="1" applyFont="1" applyFill="1" applyAlignment="1">
      <alignment horizontal="center" vertical="center"/>
    </xf>
    <xf numFmtId="1" fontId="10" fillId="0" borderId="0" xfId="0" applyNumberFormat="1" applyFont="1" applyFill="1" applyBorder="1" applyAlignment="1">
      <alignment horizontal="center" vertical="center"/>
    </xf>
    <xf numFmtId="44" fontId="8" fillId="0" borderId="2" xfId="1" applyFont="1" applyFill="1" applyBorder="1" applyAlignment="1">
      <alignment horizontal="center" vertical="center" wrapText="1"/>
    </xf>
    <xf numFmtId="44" fontId="8" fillId="0" borderId="8" xfId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6" fillId="3" borderId="7" xfId="0" applyFont="1" applyFill="1" applyBorder="1" applyAlignment="1">
      <alignment horizontal="center" vertical="top" wrapText="1"/>
    </xf>
    <xf numFmtId="0" fontId="6" fillId="3" borderId="8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3" borderId="6" xfId="0" applyNumberFormat="1" applyFont="1" applyFill="1" applyBorder="1" applyAlignment="1">
      <alignment horizontal="center" vertical="top"/>
    </xf>
    <xf numFmtId="49" fontId="6" fillId="3" borderId="6" xfId="0" applyNumberFormat="1" applyFont="1" applyFill="1" applyBorder="1" applyAlignment="1">
      <alignment horizontal="center" vertical="top" wrapText="1"/>
    </xf>
    <xf numFmtId="49" fontId="6" fillId="3" borderId="2" xfId="0" applyNumberFormat="1" applyFont="1" applyFill="1" applyBorder="1" applyAlignment="1">
      <alignment horizontal="center" vertical="top" wrapText="1"/>
    </xf>
    <xf numFmtId="49" fontId="6" fillId="3" borderId="7" xfId="0" applyNumberFormat="1" applyFont="1" applyFill="1" applyBorder="1" applyAlignment="1">
      <alignment horizontal="center" vertical="top" wrapText="1"/>
    </xf>
    <xf numFmtId="49" fontId="6" fillId="3" borderId="8" xfId="0" applyNumberFormat="1" applyFont="1" applyFill="1" applyBorder="1" applyAlignment="1">
      <alignment horizontal="center" vertical="top" wrapText="1"/>
    </xf>
    <xf numFmtId="49" fontId="6" fillId="0" borderId="6" xfId="0" applyNumberFormat="1" applyFont="1" applyFill="1" applyBorder="1" applyAlignment="1">
      <alignment horizontal="center" vertical="top"/>
    </xf>
    <xf numFmtId="49" fontId="6" fillId="0" borderId="6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7" xfId="0" applyNumberFormat="1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top" wrapText="1"/>
    </xf>
    <xf numFmtId="49" fontId="6" fillId="3" borderId="2" xfId="0" applyNumberFormat="1" applyFont="1" applyFill="1" applyBorder="1" applyAlignment="1">
      <alignment horizontal="center" vertical="top"/>
    </xf>
    <xf numFmtId="49" fontId="6" fillId="3" borderId="7" xfId="0" applyNumberFormat="1" applyFont="1" applyFill="1" applyBorder="1" applyAlignment="1">
      <alignment horizontal="center" vertical="top"/>
    </xf>
    <xf numFmtId="49" fontId="6" fillId="3" borderId="8" xfId="0" applyNumberFormat="1" applyFont="1" applyFill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20" fillId="0" borderId="9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 wrapText="1"/>
    </xf>
    <xf numFmtId="0" fontId="20" fillId="0" borderId="14" xfId="0" applyFont="1" applyFill="1" applyBorder="1" applyAlignment="1">
      <alignment horizontal="center" vertical="top" wrapText="1"/>
    </xf>
    <xf numFmtId="0" fontId="20" fillId="0" borderId="18" xfId="0" applyFont="1" applyFill="1" applyBorder="1" applyAlignment="1">
      <alignment horizontal="center" vertical="top" wrapText="1"/>
    </xf>
    <xf numFmtId="0" fontId="20" fillId="0" borderId="19" xfId="0" applyFont="1" applyFill="1" applyBorder="1" applyAlignment="1">
      <alignment horizontal="center" vertical="top" wrapText="1"/>
    </xf>
    <xf numFmtId="0" fontId="25" fillId="0" borderId="8" xfId="0" applyFont="1" applyFill="1" applyBorder="1" applyAlignment="1">
      <alignment horizontal="center" vertical="top" wrapText="1"/>
    </xf>
    <xf numFmtId="0" fontId="25" fillId="0" borderId="6" xfId="0" applyFont="1" applyFill="1" applyBorder="1" applyAlignment="1">
      <alignment horizontal="center" vertical="top" wrapText="1"/>
    </xf>
    <xf numFmtId="0" fontId="25" fillId="0" borderId="15" xfId="0" applyFont="1" applyFill="1" applyBorder="1" applyAlignment="1">
      <alignment horizontal="center" vertical="top" wrapText="1"/>
    </xf>
    <xf numFmtId="49" fontId="25" fillId="0" borderId="8" xfId="0" applyNumberFormat="1" applyFont="1" applyFill="1" applyBorder="1" applyAlignment="1">
      <alignment horizontal="center" vertical="top" wrapText="1"/>
    </xf>
    <xf numFmtId="49" fontId="25" fillId="0" borderId="6" xfId="0" applyNumberFormat="1" applyFont="1" applyFill="1" applyBorder="1" applyAlignment="1">
      <alignment horizontal="center" vertical="top" wrapText="1"/>
    </xf>
    <xf numFmtId="49" fontId="25" fillId="0" borderId="15" xfId="0" applyNumberFormat="1" applyFont="1" applyFill="1" applyBorder="1" applyAlignment="1">
      <alignment horizontal="center" vertical="top" wrapText="1"/>
    </xf>
    <xf numFmtId="0" fontId="25" fillId="0" borderId="10" xfId="0" applyFont="1" applyFill="1" applyBorder="1" applyAlignment="1">
      <alignment horizontal="center" vertical="top" wrapText="1"/>
    </xf>
    <xf numFmtId="49" fontId="25" fillId="0" borderId="10" xfId="0" applyNumberFormat="1" applyFont="1" applyFill="1" applyBorder="1" applyAlignment="1">
      <alignment horizontal="center" vertical="top"/>
    </xf>
    <xf numFmtId="49" fontId="25" fillId="0" borderId="6" xfId="0" applyNumberFormat="1" applyFont="1" applyFill="1" applyBorder="1" applyAlignment="1">
      <alignment horizontal="center" vertical="top"/>
    </xf>
    <xf numFmtId="49" fontId="25" fillId="0" borderId="15" xfId="0" applyNumberFormat="1" applyFont="1" applyFill="1" applyBorder="1" applyAlignment="1">
      <alignment horizontal="center" vertical="top"/>
    </xf>
    <xf numFmtId="0" fontId="20" fillId="0" borderId="31" xfId="0" applyFont="1" applyFill="1" applyBorder="1" applyAlignment="1">
      <alignment horizontal="center" vertical="top" wrapText="1"/>
    </xf>
    <xf numFmtId="0" fontId="25" fillId="0" borderId="7" xfId="0" applyFont="1" applyFill="1" applyBorder="1" applyAlignment="1">
      <alignment horizontal="center" vertical="top" wrapText="1"/>
    </xf>
    <xf numFmtId="0" fontId="25" fillId="0" borderId="16" xfId="0" applyFont="1" applyFill="1" applyBorder="1" applyAlignment="1">
      <alignment horizontal="center" vertical="top" wrapText="1"/>
    </xf>
    <xf numFmtId="49" fontId="25" fillId="0" borderId="10" xfId="0" applyNumberFormat="1" applyFont="1" applyFill="1" applyBorder="1" applyAlignment="1">
      <alignment horizontal="center" vertical="top" wrapText="1"/>
    </xf>
    <xf numFmtId="0" fontId="25" fillId="3" borderId="8" xfId="0" applyFont="1" applyFill="1" applyBorder="1" applyAlignment="1">
      <alignment horizontal="center" vertical="top" wrapText="1"/>
    </xf>
    <xf numFmtId="0" fontId="25" fillId="3" borderId="6" xfId="0" applyFont="1" applyFill="1" applyBorder="1" applyAlignment="1">
      <alignment horizontal="center" vertical="top" wrapText="1"/>
    </xf>
    <xf numFmtId="0" fontId="25" fillId="3" borderId="15" xfId="0" applyFont="1" applyFill="1" applyBorder="1" applyAlignment="1">
      <alignment horizontal="center" vertical="top" wrapText="1"/>
    </xf>
    <xf numFmtId="49" fontId="25" fillId="3" borderId="8" xfId="0" applyNumberFormat="1" applyFont="1" applyFill="1" applyBorder="1" applyAlignment="1">
      <alignment horizontal="center" vertical="top"/>
    </xf>
    <xf numFmtId="49" fontId="25" fillId="3" borderId="6" xfId="0" applyNumberFormat="1" applyFont="1" applyFill="1" applyBorder="1" applyAlignment="1">
      <alignment horizontal="center" vertical="top"/>
    </xf>
    <xf numFmtId="49" fontId="25" fillId="3" borderId="15" xfId="0" applyNumberFormat="1" applyFont="1" applyFill="1" applyBorder="1" applyAlignment="1">
      <alignment horizontal="center" vertical="top"/>
    </xf>
    <xf numFmtId="0" fontId="20" fillId="0" borderId="30" xfId="0" applyFont="1" applyFill="1" applyBorder="1" applyAlignment="1">
      <alignment horizontal="center" vertical="top" wrapText="1"/>
    </xf>
    <xf numFmtId="0" fontId="20" fillId="0" borderId="29" xfId="0" applyFont="1" applyFill="1" applyBorder="1" applyAlignment="1">
      <alignment horizontal="center" vertical="top" wrapText="1"/>
    </xf>
    <xf numFmtId="0" fontId="25" fillId="3" borderId="2" xfId="0" applyFont="1" applyFill="1" applyBorder="1" applyAlignment="1">
      <alignment horizontal="center" vertical="top" wrapText="1"/>
    </xf>
    <xf numFmtId="49" fontId="25" fillId="3" borderId="2" xfId="0" applyNumberFormat="1" applyFont="1" applyFill="1" applyBorder="1" applyAlignment="1">
      <alignment horizontal="center" vertical="top"/>
    </xf>
    <xf numFmtId="49" fontId="25" fillId="3" borderId="8" xfId="0" applyNumberFormat="1" applyFont="1" applyFill="1" applyBorder="1" applyAlignment="1">
      <alignment horizontal="center" vertical="top" wrapText="1"/>
    </xf>
    <xf numFmtId="49" fontId="25" fillId="3" borderId="6" xfId="0" applyNumberFormat="1" applyFont="1" applyFill="1" applyBorder="1" applyAlignment="1">
      <alignment horizontal="center" vertical="top" wrapText="1"/>
    </xf>
    <xf numFmtId="49" fontId="25" fillId="3" borderId="2" xfId="0" applyNumberFormat="1" applyFont="1" applyFill="1" applyBorder="1" applyAlignment="1">
      <alignment horizontal="center" vertical="top" wrapText="1"/>
    </xf>
    <xf numFmtId="0" fontId="25" fillId="3" borderId="10" xfId="0" applyFont="1" applyFill="1" applyBorder="1" applyAlignment="1">
      <alignment horizontal="center" vertical="top" wrapText="1"/>
    </xf>
    <xf numFmtId="49" fontId="25" fillId="3" borderId="10" xfId="0" applyNumberFormat="1" applyFont="1" applyFill="1" applyBorder="1" applyAlignment="1">
      <alignment horizontal="center" vertical="top"/>
    </xf>
    <xf numFmtId="49" fontId="25" fillId="3" borderId="10" xfId="0" applyNumberFormat="1" applyFont="1" applyFill="1" applyBorder="1" applyAlignment="1">
      <alignment horizontal="center" vertical="top" wrapText="1"/>
    </xf>
    <xf numFmtId="49" fontId="25" fillId="3" borderId="15" xfId="0" applyNumberFormat="1" applyFont="1" applyFill="1" applyBorder="1" applyAlignment="1">
      <alignment horizontal="center" vertical="top" wrapText="1"/>
    </xf>
    <xf numFmtId="164" fontId="26" fillId="4" borderId="6" xfId="1" applyNumberFormat="1" applyFont="1" applyFill="1" applyBorder="1" applyAlignment="1">
      <alignment horizontal="right" vertical="center" wrapText="1"/>
    </xf>
    <xf numFmtId="164" fontId="26" fillId="4" borderId="15" xfId="1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</cellXfs>
  <cellStyles count="6">
    <cellStyle name="Currency" xfId="1" builtinId="4"/>
    <cellStyle name="Currency 2" xfId="5"/>
    <cellStyle name="Heading 3" xfId="2" builtinId="18"/>
    <cellStyle name="Normal" xfId="0" builtinId="0"/>
    <cellStyle name="Normal 2" xfId="3"/>
    <cellStyle name="Percent" xfId="4" builtinId="5"/>
  </cellStyles>
  <dxfs count="54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164" formatCode="&quot;$&quot;#,##0.00"/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0.0%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#,##0.00"/>
      <fill>
        <patternFill patternType="solid">
          <fgColor indexed="64"/>
          <bgColor rgb="FFFFFF00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9" formatCode="m/d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9" formatCode="m/d/yyyy"/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9" formatCode="m/d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9" formatCode="m/d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9" formatCode="m/d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9" formatCode="m/d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9" formatCode="m/d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106853</xdr:colOff>
      <xdr:row>44</xdr:row>
      <xdr:rowOff>7936</xdr:rowOff>
    </xdr:from>
    <xdr:to>
      <xdr:col>9</xdr:col>
      <xdr:colOff>214314</xdr:colOff>
      <xdr:row>54</xdr:row>
      <xdr:rowOff>23813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06853" y="4849811"/>
          <a:ext cx="8957774" cy="192087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9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n-US" sz="9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Positions allocations are indicated for staff positions.  Consultant services do not represent a position and show as N/A in this column.</a:t>
          </a:r>
        </a:p>
        <a:p>
          <a:r>
            <a:rPr lang="en-US" sz="900" baseline="30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US" sz="9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M</a:t>
          </a:r>
          <a:r>
            <a:rPr 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inimum Rate reflects</a:t>
          </a:r>
          <a:r>
            <a:rPr lang="en-US" sz="9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the lowest monthly rate for salary and benefits based on position and step</a:t>
          </a:r>
        </a:p>
        <a:p>
          <a:r>
            <a:rPr lang="en-US" sz="900" baseline="30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Maximum Rate reflects the highest monthly rate for salary and benefits</a:t>
          </a:r>
          <a:r>
            <a:rPr lang="en-US" sz="9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based on position and step</a:t>
          </a:r>
          <a:endParaRPr lang="en-US" sz="900" baseline="300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900" baseline="30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Travel will be invoiced to CalSAWS for actual expenditures in accordance with the procedures describe in Exhibit A, “Terms of Payment” section.</a:t>
          </a:r>
        </a:p>
        <a:p>
          <a:r>
            <a:rPr lang="en-US" sz="900" baseline="30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5</a:t>
          </a:r>
          <a:r>
            <a:rPr 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The Monthly Travel Rate for the C-IV Director is intended to assist with the cost of weekly travel between CalSAWS Norwalk location and CalSAWS Rancho Cordova.  The Monthly Travel Rate will be invoiced to C-IV at the monthly travel rate as listed in this table. The C-IV Director may claim reimbursement for travel expenses to and from CalSAWS</a:t>
          </a:r>
          <a:r>
            <a:rPr lang="en-US" sz="9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related meetings throughout the United States.   Business Travel for the C-IV Director will be invoiced for actual expenditures in accordance with the procedures in Exhibit A, “Terms of Payment” section.   </a:t>
          </a:r>
        </a:p>
        <a:p>
          <a:r>
            <a:rPr lang="en-US" sz="900" baseline="30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Travel of the Technical Manager is included in the Monthly rate.  Both parties agree that should a change in CalACES</a:t>
          </a:r>
          <a:r>
            <a:rPr lang="en-US" sz="9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North</a:t>
          </a:r>
          <a:r>
            <a:rPr 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strategy or organization result in significant change in Travel Expense for this position either party may request a modification in writing.</a:t>
          </a:r>
        </a:p>
        <a:p>
          <a:endParaRPr lang="en-US" sz="8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146538</xdr:colOff>
      <xdr:row>19</xdr:row>
      <xdr:rowOff>47625</xdr:rowOff>
    </xdr:from>
    <xdr:to>
      <xdr:col>9</xdr:col>
      <xdr:colOff>0</xdr:colOff>
      <xdr:row>26</xdr:row>
      <xdr:rowOff>95250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46538" y="5330337"/>
          <a:ext cx="9755066" cy="1381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9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Minimum Rate reflects</a:t>
          </a:r>
          <a:r>
            <a:rPr lang="en-US" sz="9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lowest monthly rate for salary and benefits based on position and step</a:t>
          </a:r>
        </a:p>
        <a:p>
          <a:r>
            <a:rPr lang="en-US" sz="9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Maximum Rate reflects the highest monthly rate for salary and benefits</a:t>
          </a:r>
          <a:r>
            <a:rPr lang="en-US" sz="9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based on position and step</a:t>
          </a:r>
          <a:endParaRPr lang="en-US" sz="900" baseline="30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9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Travel will be invoiced to C-IV for actual expenditures in accordance with the procedures describe in Exhibit A, “Terms of Payment” section.</a:t>
          </a:r>
        </a:p>
        <a:p>
          <a:r>
            <a:rPr lang="en-US" sz="9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Monthly Travel Rate for the C-IV Project Director is intended to assist with the cost of weekly travel between Southern California and the C-IV Project.  The Monthly Travel Rate will be invoiced to C-IV at the monthly travel rate as listed in this table. The C-IV Project Director may claim reimbursement for travel expenses to and from C-IV related meetings throughout the United States.   Business Travel for the C-IV Project Director will be invoiced for actual expenditures in accordance with the procedures in Exhibit A, “Terms of Payment” section.   </a:t>
          </a:r>
        </a:p>
        <a:p>
          <a:r>
            <a:rPr lang="en-US" sz="9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</a:t>
          </a:r>
          <a:r>
            <a:rPr 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Travel of the Technical Manager is included in the Monthly rate.  Both parties agree that should a change in C-IV strategy or organization result in significant change in Travel Expense for this position either party may request a modification in writing.</a:t>
          </a:r>
        </a:p>
        <a:p>
          <a:endParaRPr lang="en-US" sz="800"/>
        </a:p>
      </xdr:txBody>
    </xdr:sp>
    <xdr:clientData/>
  </xdr:twoCellAnchor>
  <xdr:twoCellAnchor>
    <xdr:from>
      <xdr:col>9</xdr:col>
      <xdr:colOff>169334</xdr:colOff>
      <xdr:row>1</xdr:row>
      <xdr:rowOff>41276</xdr:rowOff>
    </xdr:from>
    <xdr:to>
      <xdr:col>19</xdr:col>
      <xdr:colOff>397934</xdr:colOff>
      <xdr:row>4</xdr:row>
      <xdr:rowOff>193676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10001251" y="231776"/>
          <a:ext cx="6366933" cy="9355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600"/>
            <a:t>****To</a:t>
          </a:r>
          <a:r>
            <a:rPr lang="en-US" sz="1600" baseline="0"/>
            <a:t> be copied into the Microsoft Word Document template located: </a:t>
          </a:r>
        </a:p>
        <a:p>
          <a:pPr algn="ctr"/>
          <a:r>
            <a:rPr lang="en-US" sz="1600" baseline="0"/>
            <a:t>X:\Contract Management\Contracts and Amendments\RGS\Exhibit A Template.docx</a:t>
          </a:r>
          <a:endParaRPr lang="en-US" sz="16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134216</xdr:colOff>
      <xdr:row>25</xdr:row>
      <xdr:rowOff>33770</xdr:rowOff>
    </xdr:from>
    <xdr:to>
      <xdr:col>11</xdr:col>
      <xdr:colOff>379503</xdr:colOff>
      <xdr:row>32</xdr:row>
      <xdr:rowOff>81395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277091" y="6463145"/>
          <a:ext cx="10246537" cy="1381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9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Monthly Travel Rate for the C-IV Project Director is intended to assist with the cost of weekly travel between Southern California and the C-IV Project.  The Monthly Travel Rate will be invoiced to C-IV at the monthly travel rate as listed in this table. The C-IV Project Director may claim reimbursement for travel expenses to and from C-IV related meetings throughout the United States.   Business Travel for the C-IV Project Director will be invoiced for actual expenditures in accordance with the procedures in Exhibit A, “Terms of Payment” section.   </a:t>
          </a:r>
        </a:p>
        <a:p>
          <a:r>
            <a:rPr lang="en-US" sz="9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Travel of the Technical Manager is included in the Monthly rate.  Both parties agree that should a change in C-IV strategy or organization result in significant change in Travel Expense for this position either party may request a modification in writing.</a:t>
          </a:r>
        </a:p>
        <a:p>
          <a:endParaRPr lang="en-US" sz="800"/>
        </a:p>
      </xdr:txBody>
    </xdr:sp>
    <xdr:clientData/>
  </xdr:twoCellAnchor>
</xdr:wsDr>
</file>

<file path=xl/tables/table1.xml><?xml version="1.0" encoding="utf-8"?>
<table xmlns="http://schemas.openxmlformats.org/spreadsheetml/2006/main" id="4" name="Table135" displayName="Table135" ref="B3:K44" totalsRowShown="0" headerRowDxfId="53" dataDxfId="52">
  <sortState ref="B4:I44">
    <sortCondition ref="B3:B44"/>
  </sortState>
  <tableColumns count="10">
    <tableColumn id="1" name="Title" dataDxfId="51"/>
    <tableColumn id="8" name="Current  Step" dataDxfId="50"/>
    <tableColumn id="2" name="# of Positions 1" dataDxfId="49"/>
    <tableColumn id="3" name="Effective Date(s)" dataDxfId="48"/>
    <tableColumn id="9" name="Rate Frequency" dataDxfId="47"/>
    <tableColumn id="4" name="Min Rate 2" dataDxfId="46" dataCellStyle="Currency"/>
    <tableColumn id="5" name="Max Rate 3" dataDxfId="45" dataCellStyle="Currency"/>
    <tableColumn id="7" name="Travel" dataDxfId="44"/>
    <tableColumn id="6" name="Column1" dataDxfId="43"/>
    <tableColumn id="10" name="Column2" dataDxfId="42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B4:I19" totalsRowShown="0" headerRowDxfId="41" dataDxfId="40">
  <autoFilter ref="B4:I19"/>
  <sortState ref="B5:I18">
    <sortCondition descending="1" ref="E6:E20"/>
  </sortState>
  <tableColumns count="8">
    <tableColumn id="1" name="C-IV Title" dataDxfId="39"/>
    <tableColumn id="2" name="Staff Name" dataDxfId="38"/>
    <tableColumn id="3" name="Effective Date(s)" dataDxfId="37"/>
    <tableColumn id="9" name="Rate Frequency" dataDxfId="36"/>
    <tableColumn id="4" name="Min. Rate 1" dataDxfId="35"/>
    <tableColumn id="5" name="Max Rate 2" dataDxfId="34"/>
    <tableColumn id="8" name="Current Step" dataDxfId="33"/>
    <tableColumn id="7" name="Travel" dataDxfId="32"/>
  </tableColumns>
  <tableStyleInfo name="TableStyleMedium16" showFirstColumn="0" showLastColumn="0" showRowStripes="1" showColumnStripes="0"/>
</table>
</file>

<file path=xl/tables/table3.xml><?xml version="1.0" encoding="utf-8"?>
<table xmlns="http://schemas.openxmlformats.org/spreadsheetml/2006/main" id="3" name="Table134" displayName="Table134" ref="B4:P23" totalsRowShown="0" headerRowDxfId="31" dataDxfId="30">
  <autoFilter ref="B4:P23"/>
  <sortState ref="B5:P23">
    <sortCondition ref="B4:B23"/>
  </sortState>
  <tableColumns count="15">
    <tableColumn id="1" name="CalACES Title" dataDxfId="29"/>
    <tableColumn id="2" name="Staff Name" dataDxfId="28"/>
    <tableColumn id="11" name="RGS Start Date" dataDxfId="27"/>
    <tableColumn id="12" name="C-IV Project Start Date_x000a_(Use for Vacation Accrual)" dataDxfId="26"/>
    <tableColumn id="14" name="Months on Project" dataDxfId="25"/>
    <tableColumn id="15" name="Vacation Accrual Rate per hour" dataDxfId="24">
      <calculatedColumnFormula>IF(F5&gt;120,T12,"")</calculatedColumnFormula>
    </tableColumn>
    <tableColumn id="3" name="Salary &amp; Benefit Effective Date" dataDxfId="23"/>
    <tableColumn id="9" name="Rate Frequency" dataDxfId="22"/>
    <tableColumn id="4" name="Salary as of 7/19/19" dataDxfId="21" dataCellStyle="Currency"/>
    <tableColumn id="5" name="Current Benefits_x000a_(Per Jeff on 4/24/19)" dataDxfId="20" dataCellStyle="Currency"/>
    <tableColumn id="10" name="RGS Fee" dataDxfId="19" dataCellStyle="Currency"/>
    <tableColumn id="6" name="Total Monthly Budget _x000a_(Salary + Benefits + Fees)" dataDxfId="18" dataCellStyle="Currency">
      <calculatedColumnFormula>ROUND(SUM(Table134[[#This Row],[Salary as of 7/19/19]:[RGS Fee]]),0)</calculatedColumnFormula>
    </tableColumn>
    <tableColumn id="8" name="Step as of 7/19/19" dataDxfId="17"/>
    <tableColumn id="7" name="Annual Travel Budget" dataDxfId="16" dataCellStyle="Currency"/>
    <tableColumn id="13" name="Monthly Travel Budget" dataDxfId="15" dataCellStyle="Currency">
      <calculatedColumnFormula>Table134[[#This Row],[Annual Travel Budget]]/12</calculatedColumnFormula>
    </tableColumn>
  </tableColumns>
  <tableStyleInfo name="TableStyleMedium16" showFirstColumn="0" showLastColumn="0" showRowStripes="1" showColumnStripes="0"/>
</table>
</file>

<file path=xl/tables/table4.xml><?xml version="1.0" encoding="utf-8"?>
<table xmlns="http://schemas.openxmlformats.org/spreadsheetml/2006/main" id="1" name="Table1" displayName="Table1" ref="A3:E18" totalsRowCount="1" headerRowDxfId="14">
  <autoFilter ref="A3:E17"/>
  <tableColumns count="5">
    <tableColumn id="1" name="Employee" totalsRowLabel="Total"/>
    <tableColumn id="2" name="1/1/2019" totalsRowFunction="sum" dataDxfId="13" totalsRowDxfId="12"/>
    <tableColumn id="3" name="3/1/2019" totalsRowFunction="sum" dataDxfId="11" totalsRowDxfId="10"/>
    <tableColumn id="4" name="Total Increase / (Decrease)" totalsRowFunction="sum" dataDxfId="9" totalsRowDxfId="8">
      <calculatedColumnFormula>C4-B4</calculatedColumnFormula>
    </tableColumn>
    <tableColumn id="5" name="%" totalsRowFunction="average" dataDxfId="7" totalsRowDxfId="6" dataCellStyle="Percent">
      <calculatedColumnFormula>D4/B4</calculatedColumnFormula>
    </tableColumn>
  </tableColumns>
  <tableStyleInfo name="TableStyleLight16" showFirstColumn="0" showLastColumn="0" showRowStripes="1" showColumnStripes="0"/>
</table>
</file>

<file path=xl/tables/table5.xml><?xml version="1.0" encoding="utf-8"?>
<table xmlns="http://schemas.openxmlformats.org/spreadsheetml/2006/main" id="6" name="Table6" displayName="Table6" ref="G3:H18" totalsRowCount="1" headerRowDxfId="5" totalsRowDxfId="4">
  <autoFilter ref="G3:H17"/>
  <tableColumns count="2">
    <tableColumn id="1" name="Salary Increase" totalsRowFunction="custom" dataDxfId="3" totalsRowDxfId="2">
      <totalsRowFormula>SUBTOTAL(9,Table6[Salary Increase])</totalsRowFormula>
    </tableColumn>
    <tableColumn id="2" name="Benefit Increase" totalsRowFunction="custom" dataDxfId="1" totalsRowDxfId="0">
      <calculatedColumnFormula>Table1[[#This Row],[Total Increase / (Decrease)]]-Table6[[#This Row],[Salary Increase]]</calculatedColumnFormula>
      <totalsRowFormula>SUBTOTAL(9,Table6[Benefit Increase])</totalsRow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showGridLines="0" workbookViewId="0">
      <selection activeCell="F2" sqref="F2"/>
    </sheetView>
  </sheetViews>
  <sheetFormatPr defaultRowHeight="15"/>
  <cols>
    <col min="2" max="2" width="13.85546875" customWidth="1"/>
    <col min="3" max="3" width="4.7109375" hidden="1" customWidth="1"/>
    <col min="4" max="4" width="11.28515625" hidden="1" customWidth="1"/>
    <col min="5" max="5" width="4.7109375" customWidth="1"/>
    <col min="6" max="20" width="10.7109375" customWidth="1"/>
  </cols>
  <sheetData>
    <row r="1" spans="1:20" ht="23.25">
      <c r="A1" s="1" t="s">
        <v>0</v>
      </c>
      <c r="B1" s="1" t="s">
        <v>1</v>
      </c>
      <c r="C1" s="2" t="s">
        <v>2</v>
      </c>
      <c r="D1" s="2" t="s">
        <v>3</v>
      </c>
      <c r="E1" s="3" t="s">
        <v>4</v>
      </c>
      <c r="F1" s="4"/>
      <c r="G1" s="5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</row>
    <row r="2" spans="1:20" s="13" customFormat="1">
      <c r="A2" s="184" t="s">
        <v>19</v>
      </c>
      <c r="B2" s="185" t="s">
        <v>20</v>
      </c>
      <c r="C2" s="185" t="s">
        <v>21</v>
      </c>
      <c r="D2" s="185">
        <v>170</v>
      </c>
      <c r="E2" s="186"/>
      <c r="F2" s="6" t="s">
        <v>22</v>
      </c>
      <c r="G2" s="7"/>
      <c r="H2" s="7"/>
      <c r="I2" s="7"/>
      <c r="J2" s="7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spans="1:20" s="13" customFormat="1">
      <c r="A3" s="184"/>
      <c r="B3" s="185"/>
      <c r="C3" s="185"/>
      <c r="D3" s="185"/>
      <c r="E3" s="187"/>
      <c r="F3" s="6" t="s">
        <v>23</v>
      </c>
      <c r="G3" s="7"/>
      <c r="H3" s="7"/>
      <c r="I3" s="7"/>
      <c r="J3" s="7"/>
      <c r="K3" s="14"/>
      <c r="L3" s="14"/>
      <c r="M3" s="14"/>
      <c r="N3" s="14"/>
      <c r="O3" s="14"/>
      <c r="P3" s="14"/>
      <c r="Q3" s="14"/>
      <c r="R3" s="14"/>
      <c r="S3" s="14"/>
      <c r="T3" s="14"/>
    </row>
    <row r="4" spans="1:20" s="13" customFormat="1" ht="22.5">
      <c r="A4" s="184"/>
      <c r="B4" s="185"/>
      <c r="C4" s="185"/>
      <c r="D4" s="185"/>
      <c r="E4" s="187"/>
      <c r="F4" s="6" t="s">
        <v>24</v>
      </c>
      <c r="G4" s="177" t="s">
        <v>25</v>
      </c>
      <c r="H4" s="7"/>
      <c r="I4" s="7"/>
      <c r="J4" s="7"/>
      <c r="K4" s="14"/>
      <c r="L4" s="14"/>
      <c r="M4" s="14"/>
      <c r="N4" s="14"/>
      <c r="O4" s="14"/>
      <c r="P4" s="14"/>
      <c r="Q4" s="14"/>
      <c r="R4" s="14"/>
      <c r="S4" s="14"/>
      <c r="T4" s="14"/>
    </row>
    <row r="5" spans="1:20" s="13" customFormat="1" ht="22.5">
      <c r="A5" s="184"/>
      <c r="B5" s="185"/>
      <c r="C5" s="185"/>
      <c r="D5" s="185"/>
      <c r="E5" s="188"/>
      <c r="F5" s="6" t="s">
        <v>26</v>
      </c>
      <c r="G5" s="178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s="13" customFormat="1">
      <c r="A6" s="179" t="s">
        <v>27</v>
      </c>
      <c r="B6" s="180" t="s">
        <v>28</v>
      </c>
      <c r="C6" s="180" t="s">
        <v>29</v>
      </c>
      <c r="D6" s="180">
        <v>723</v>
      </c>
      <c r="E6" s="181">
        <v>84</v>
      </c>
      <c r="F6" s="9" t="s">
        <v>22</v>
      </c>
      <c r="G6" s="8">
        <v>49.31</v>
      </c>
      <c r="H6" s="8">
        <v>50.54</v>
      </c>
      <c r="I6" s="8">
        <v>51.8</v>
      </c>
      <c r="J6" s="8">
        <v>53.1</v>
      </c>
      <c r="K6" s="8">
        <v>54.41</v>
      </c>
      <c r="L6" s="8">
        <v>55.82</v>
      </c>
      <c r="M6" s="8">
        <v>57.19</v>
      </c>
      <c r="N6" s="8">
        <v>58.64</v>
      </c>
      <c r="O6" s="8">
        <v>60.11</v>
      </c>
      <c r="P6" s="8">
        <v>61.59</v>
      </c>
      <c r="Q6" s="8">
        <v>63.14</v>
      </c>
      <c r="R6" s="8">
        <v>64.73</v>
      </c>
      <c r="S6" s="8">
        <v>66.34</v>
      </c>
      <c r="T6" s="8">
        <v>68</v>
      </c>
    </row>
    <row r="7" spans="1:20" s="13" customFormat="1">
      <c r="A7" s="179"/>
      <c r="B7" s="180"/>
      <c r="C7" s="180"/>
      <c r="D7" s="180"/>
      <c r="E7" s="182"/>
      <c r="F7" s="9" t="s">
        <v>23</v>
      </c>
      <c r="G7" s="8">
        <f>G6*80</f>
        <v>3944.8</v>
      </c>
      <c r="H7" s="8">
        <f t="shared" ref="H7:P7" si="0">H6*80</f>
        <v>4043.2</v>
      </c>
      <c r="I7" s="8">
        <f t="shared" si="0"/>
        <v>4144</v>
      </c>
      <c r="J7" s="8">
        <f t="shared" si="0"/>
        <v>4248</v>
      </c>
      <c r="K7" s="8">
        <f t="shared" si="0"/>
        <v>4352.7999999999993</v>
      </c>
      <c r="L7" s="8">
        <f t="shared" si="0"/>
        <v>4465.6000000000004</v>
      </c>
      <c r="M7" s="8">
        <f t="shared" si="0"/>
        <v>4575.2</v>
      </c>
      <c r="N7" s="8">
        <f t="shared" si="0"/>
        <v>4691.2</v>
      </c>
      <c r="O7" s="8">
        <f t="shared" si="0"/>
        <v>4808.8</v>
      </c>
      <c r="P7" s="8">
        <f t="shared" si="0"/>
        <v>4927.2000000000007</v>
      </c>
      <c r="Q7" s="8">
        <f>Q6*80</f>
        <v>5051.2</v>
      </c>
      <c r="R7" s="8">
        <f>R6*80</f>
        <v>5178.4000000000005</v>
      </c>
      <c r="S7" s="8">
        <f>S6*80</f>
        <v>5307.2000000000007</v>
      </c>
      <c r="T7" s="8">
        <f>T6*80</f>
        <v>5440</v>
      </c>
    </row>
    <row r="8" spans="1:20" s="13" customFormat="1" ht="22.5">
      <c r="A8" s="179"/>
      <c r="B8" s="180"/>
      <c r="C8" s="180"/>
      <c r="D8" s="180"/>
      <c r="E8" s="182"/>
      <c r="F8" s="9" t="s">
        <v>24</v>
      </c>
      <c r="G8" s="8">
        <f>G7*2.167</f>
        <v>8548.3815999999988</v>
      </c>
      <c r="H8" s="8">
        <f t="shared" ref="H8:P8" si="1">H7*2.167</f>
        <v>8761.6143999999986</v>
      </c>
      <c r="I8" s="8">
        <f t="shared" si="1"/>
        <v>8980.0479999999989</v>
      </c>
      <c r="J8" s="8">
        <f>J7*2.167</f>
        <v>9205.4159999999993</v>
      </c>
      <c r="K8" s="8">
        <f t="shared" si="1"/>
        <v>9432.5175999999974</v>
      </c>
      <c r="L8" s="8">
        <f t="shared" si="1"/>
        <v>9676.9552000000003</v>
      </c>
      <c r="M8" s="8">
        <f t="shared" si="1"/>
        <v>9914.4583999999995</v>
      </c>
      <c r="N8" s="8">
        <f t="shared" si="1"/>
        <v>10165.830399999999</v>
      </c>
      <c r="O8" s="8">
        <f t="shared" si="1"/>
        <v>10420.669599999999</v>
      </c>
      <c r="P8" s="8">
        <f t="shared" si="1"/>
        <v>10677.242400000001</v>
      </c>
      <c r="Q8" s="8">
        <f>Q7*2.167</f>
        <v>10945.950399999998</v>
      </c>
      <c r="R8" s="8">
        <f>R7*2.167</f>
        <v>11221.5928</v>
      </c>
      <c r="S8" s="8">
        <f>S7*2.167</f>
        <v>11500.7024</v>
      </c>
      <c r="T8" s="8">
        <f>T7*2.167</f>
        <v>11788.48</v>
      </c>
    </row>
    <row r="9" spans="1:20" s="13" customFormat="1" ht="16.5" customHeight="1">
      <c r="A9" s="179"/>
      <c r="B9" s="180"/>
      <c r="C9" s="180"/>
      <c r="D9" s="180"/>
      <c r="E9" s="183"/>
      <c r="F9" s="9" t="s">
        <v>26</v>
      </c>
      <c r="G9" s="8">
        <f>G8*12</f>
        <v>102580.57919999998</v>
      </c>
      <c r="H9" s="8">
        <f t="shared" ref="H9:P9" si="2">H8*12</f>
        <v>105139.37279999998</v>
      </c>
      <c r="I9" s="8">
        <f t="shared" si="2"/>
        <v>107760.57599999999</v>
      </c>
      <c r="J9" s="8">
        <f t="shared" si="2"/>
        <v>110464.992</v>
      </c>
      <c r="K9" s="8">
        <f t="shared" si="2"/>
        <v>113190.21119999996</v>
      </c>
      <c r="L9" s="8">
        <f t="shared" si="2"/>
        <v>116123.4624</v>
      </c>
      <c r="M9" s="8">
        <f t="shared" si="2"/>
        <v>118973.50079999999</v>
      </c>
      <c r="N9" s="8">
        <f t="shared" si="2"/>
        <v>121989.96479999999</v>
      </c>
      <c r="O9" s="8">
        <f t="shared" si="2"/>
        <v>125048.03519999998</v>
      </c>
      <c r="P9" s="8">
        <f t="shared" si="2"/>
        <v>128126.9088</v>
      </c>
      <c r="Q9" s="8">
        <f>Q8*12</f>
        <v>131351.40479999996</v>
      </c>
      <c r="R9" s="8">
        <f>R8*12</f>
        <v>134659.11360000001</v>
      </c>
      <c r="S9" s="8">
        <f>S8*12</f>
        <v>138008.42879999999</v>
      </c>
      <c r="T9" s="8">
        <f>T8*12</f>
        <v>141461.76000000001</v>
      </c>
    </row>
    <row r="10" spans="1:20" s="13" customFormat="1">
      <c r="A10" s="184" t="s">
        <v>30</v>
      </c>
      <c r="B10" s="185" t="s">
        <v>31</v>
      </c>
      <c r="C10" s="194" t="s">
        <v>29</v>
      </c>
      <c r="D10" s="195" t="s">
        <v>32</v>
      </c>
      <c r="E10" s="196" t="s">
        <v>33</v>
      </c>
      <c r="F10" s="6" t="s">
        <v>22</v>
      </c>
      <c r="G10" s="7">
        <v>37.6</v>
      </c>
      <c r="H10" s="7">
        <v>38.54</v>
      </c>
      <c r="I10" s="7">
        <v>39.5</v>
      </c>
      <c r="J10" s="7">
        <v>40.46</v>
      </c>
      <c r="K10" s="7">
        <v>41.5</v>
      </c>
      <c r="L10" s="7">
        <v>42.54</v>
      </c>
      <c r="M10" s="7">
        <v>43.59</v>
      </c>
      <c r="N10" s="7">
        <v>44.69</v>
      </c>
      <c r="O10" s="7">
        <v>45.82</v>
      </c>
      <c r="P10" s="7">
        <v>46.98</v>
      </c>
      <c r="Q10" s="7">
        <v>48.13</v>
      </c>
      <c r="R10" s="7">
        <v>49.33</v>
      </c>
      <c r="S10" s="7">
        <v>50.55</v>
      </c>
      <c r="T10" s="7">
        <v>51.81</v>
      </c>
    </row>
    <row r="11" spans="1:20" s="13" customFormat="1">
      <c r="A11" s="184"/>
      <c r="B11" s="185"/>
      <c r="C11" s="194"/>
      <c r="D11" s="195"/>
      <c r="E11" s="197"/>
      <c r="F11" s="6" t="s">
        <v>23</v>
      </c>
      <c r="G11" s="7">
        <f>G10*80</f>
        <v>3008</v>
      </c>
      <c r="H11" s="7">
        <f t="shared" ref="H11:P11" si="3">H10*80</f>
        <v>3083.2</v>
      </c>
      <c r="I11" s="7">
        <f t="shared" si="3"/>
        <v>3160</v>
      </c>
      <c r="J11" s="7">
        <f t="shared" si="3"/>
        <v>3236.8</v>
      </c>
      <c r="K11" s="7">
        <f t="shared" si="3"/>
        <v>3320</v>
      </c>
      <c r="L11" s="7">
        <f t="shared" si="3"/>
        <v>3403.2</v>
      </c>
      <c r="M11" s="7">
        <f t="shared" si="3"/>
        <v>3487.2000000000003</v>
      </c>
      <c r="N11" s="7">
        <f t="shared" si="3"/>
        <v>3575.2</v>
      </c>
      <c r="O11" s="7">
        <f t="shared" si="3"/>
        <v>3665.6</v>
      </c>
      <c r="P11" s="7">
        <f t="shared" si="3"/>
        <v>3758.3999999999996</v>
      </c>
      <c r="Q11" s="7">
        <f>Q10*80</f>
        <v>3850.4</v>
      </c>
      <c r="R11" s="7">
        <f>R10*80</f>
        <v>3946.3999999999996</v>
      </c>
      <c r="S11" s="7">
        <f>S10*80</f>
        <v>4044</v>
      </c>
      <c r="T11" s="7">
        <f>T10*80</f>
        <v>4144.8</v>
      </c>
    </row>
    <row r="12" spans="1:20" s="13" customFormat="1" ht="22.5">
      <c r="A12" s="184"/>
      <c r="B12" s="185"/>
      <c r="C12" s="194"/>
      <c r="D12" s="195"/>
      <c r="E12" s="197"/>
      <c r="F12" s="6" t="s">
        <v>24</v>
      </c>
      <c r="G12" s="7">
        <f>G11*2.167</f>
        <v>6518.3359999999993</v>
      </c>
      <c r="H12" s="7">
        <f t="shared" ref="H12:P12" si="4">H11*2.167</f>
        <v>6681.2943999999989</v>
      </c>
      <c r="I12" s="7">
        <f t="shared" si="4"/>
        <v>6847.7199999999993</v>
      </c>
      <c r="J12" s="7">
        <f t="shared" si="4"/>
        <v>7014.1455999999998</v>
      </c>
      <c r="K12" s="7">
        <f>K11*2.167</f>
        <v>7194.44</v>
      </c>
      <c r="L12" s="7">
        <f t="shared" si="4"/>
        <v>7374.7343999999994</v>
      </c>
      <c r="M12" s="7">
        <f t="shared" si="4"/>
        <v>7556.7623999999996</v>
      </c>
      <c r="N12" s="7">
        <f t="shared" si="4"/>
        <v>7747.4583999999986</v>
      </c>
      <c r="O12" s="7">
        <f t="shared" si="4"/>
        <v>7943.3551999999991</v>
      </c>
      <c r="P12" s="7">
        <f t="shared" si="4"/>
        <v>8144.4527999999982</v>
      </c>
      <c r="Q12" s="7">
        <f>Q11*2.167</f>
        <v>8343.8167999999987</v>
      </c>
      <c r="R12" s="7">
        <f>R11*2.167</f>
        <v>8551.8487999999979</v>
      </c>
      <c r="S12" s="7">
        <f>S11*2.167</f>
        <v>8763.348</v>
      </c>
      <c r="T12" s="7">
        <f>T11*2.167</f>
        <v>8981.7816000000003</v>
      </c>
    </row>
    <row r="13" spans="1:20" s="13" customFormat="1" ht="15" customHeight="1">
      <c r="A13" s="184"/>
      <c r="B13" s="185"/>
      <c r="C13" s="194"/>
      <c r="D13" s="195"/>
      <c r="E13" s="198"/>
      <c r="F13" s="6" t="s">
        <v>26</v>
      </c>
      <c r="G13" s="7">
        <f>G12*12</f>
        <v>78220.031999999992</v>
      </c>
      <c r="H13" s="7">
        <f t="shared" ref="H13:P13" si="5">H12*12</f>
        <v>80175.532799999986</v>
      </c>
      <c r="I13" s="7">
        <f t="shared" si="5"/>
        <v>82172.639999999985</v>
      </c>
      <c r="J13" s="7">
        <f t="shared" si="5"/>
        <v>84169.747199999998</v>
      </c>
      <c r="K13" s="7">
        <f t="shared" si="5"/>
        <v>86333.28</v>
      </c>
      <c r="L13" s="7">
        <f t="shared" si="5"/>
        <v>88496.812799999985</v>
      </c>
      <c r="M13" s="7">
        <f t="shared" si="5"/>
        <v>90681.148799999995</v>
      </c>
      <c r="N13" s="7">
        <f t="shared" si="5"/>
        <v>92969.50079999998</v>
      </c>
      <c r="O13" s="7">
        <f t="shared" si="5"/>
        <v>95320.262399999992</v>
      </c>
      <c r="P13" s="7">
        <f t="shared" si="5"/>
        <v>97733.433599999975</v>
      </c>
      <c r="Q13" s="7">
        <f>Q12*12</f>
        <v>100125.80159999998</v>
      </c>
      <c r="R13" s="7">
        <f>R12*12</f>
        <v>102622.18559999997</v>
      </c>
      <c r="S13" s="7">
        <f>S12*12</f>
        <v>105160.17600000001</v>
      </c>
      <c r="T13" s="7">
        <f>T12*12</f>
        <v>107781.3792</v>
      </c>
    </row>
    <row r="14" spans="1:20" s="13" customFormat="1">
      <c r="A14" s="179" t="s">
        <v>34</v>
      </c>
      <c r="B14" s="180" t="s">
        <v>35</v>
      </c>
      <c r="C14" s="189" t="s">
        <v>29</v>
      </c>
      <c r="D14" s="190" t="s">
        <v>32</v>
      </c>
      <c r="E14" s="191" t="s">
        <v>36</v>
      </c>
      <c r="F14" s="9" t="s">
        <v>22</v>
      </c>
      <c r="G14" s="8">
        <v>32.46</v>
      </c>
      <c r="H14" s="8">
        <v>33.270000000000003</v>
      </c>
      <c r="I14" s="8">
        <v>34.1</v>
      </c>
      <c r="J14" s="8">
        <v>34.97</v>
      </c>
      <c r="K14" s="8">
        <v>35.82</v>
      </c>
      <c r="L14" s="8">
        <v>36.74</v>
      </c>
      <c r="M14" s="8">
        <v>37.61</v>
      </c>
      <c r="N14" s="8">
        <v>38.58</v>
      </c>
      <c r="O14" s="8">
        <v>39.5</v>
      </c>
      <c r="P14" s="8">
        <v>40.46</v>
      </c>
      <c r="Q14" s="8">
        <v>41.5</v>
      </c>
      <c r="R14" s="8">
        <v>42.54</v>
      </c>
      <c r="S14" s="8">
        <v>43.59</v>
      </c>
      <c r="T14" s="8">
        <v>44.68</v>
      </c>
    </row>
    <row r="15" spans="1:20" s="13" customFormat="1">
      <c r="A15" s="179"/>
      <c r="B15" s="180"/>
      <c r="C15" s="189"/>
      <c r="D15" s="190"/>
      <c r="E15" s="192"/>
      <c r="F15" s="9" t="s">
        <v>23</v>
      </c>
      <c r="G15" s="8">
        <f>G14*80</f>
        <v>2596.8000000000002</v>
      </c>
      <c r="H15" s="8">
        <f t="shared" ref="H15:P15" si="6">H14*80</f>
        <v>2661.6000000000004</v>
      </c>
      <c r="I15" s="8">
        <f t="shared" si="6"/>
        <v>2728</v>
      </c>
      <c r="J15" s="8">
        <f t="shared" si="6"/>
        <v>2797.6</v>
      </c>
      <c r="K15" s="8">
        <f t="shared" si="6"/>
        <v>2865.6</v>
      </c>
      <c r="L15" s="8">
        <f t="shared" si="6"/>
        <v>2939.2000000000003</v>
      </c>
      <c r="M15" s="8">
        <f t="shared" si="6"/>
        <v>3008.8</v>
      </c>
      <c r="N15" s="8">
        <f t="shared" si="6"/>
        <v>3086.3999999999996</v>
      </c>
      <c r="O15" s="8">
        <f t="shared" si="6"/>
        <v>3160</v>
      </c>
      <c r="P15" s="8">
        <f t="shared" si="6"/>
        <v>3236.8</v>
      </c>
      <c r="Q15" s="8">
        <f>Q14*80</f>
        <v>3320</v>
      </c>
      <c r="R15" s="8">
        <f>R14*80</f>
        <v>3403.2</v>
      </c>
      <c r="S15" s="8">
        <f>S14*80</f>
        <v>3487.2000000000003</v>
      </c>
      <c r="T15" s="8">
        <f>T14*80</f>
        <v>3574.4</v>
      </c>
    </row>
    <row r="16" spans="1:20" s="13" customFormat="1" ht="22.5">
      <c r="A16" s="179"/>
      <c r="B16" s="180"/>
      <c r="C16" s="189"/>
      <c r="D16" s="190"/>
      <c r="E16" s="192"/>
      <c r="F16" s="9" t="s">
        <v>24</v>
      </c>
      <c r="G16" s="8">
        <f>G15*2.167</f>
        <v>5627.2655999999997</v>
      </c>
      <c r="H16" s="8">
        <f t="shared" ref="H16:P16" si="7">H15*2.167</f>
        <v>5767.6872000000003</v>
      </c>
      <c r="I16" s="8">
        <f t="shared" si="7"/>
        <v>5911.5759999999991</v>
      </c>
      <c r="J16" s="8">
        <f t="shared" si="7"/>
        <v>6062.3991999999989</v>
      </c>
      <c r="K16" s="8">
        <f t="shared" si="7"/>
        <v>6209.7551999999996</v>
      </c>
      <c r="L16" s="8">
        <f t="shared" si="7"/>
        <v>6369.2464</v>
      </c>
      <c r="M16" s="8">
        <f t="shared" si="7"/>
        <v>6520.0695999999998</v>
      </c>
      <c r="N16" s="8">
        <f t="shared" si="7"/>
        <v>6688.228799999999</v>
      </c>
      <c r="O16" s="8">
        <f t="shared" si="7"/>
        <v>6847.7199999999993</v>
      </c>
      <c r="P16" s="8">
        <f t="shared" si="7"/>
        <v>7014.1455999999998</v>
      </c>
      <c r="Q16" s="8">
        <f>Q15*2.167</f>
        <v>7194.44</v>
      </c>
      <c r="R16" s="8">
        <f>R15*2.167</f>
        <v>7374.7343999999994</v>
      </c>
      <c r="S16" s="8">
        <f>S15*2.167</f>
        <v>7556.7623999999996</v>
      </c>
      <c r="T16" s="8">
        <f>T15*2.167</f>
        <v>7745.7248</v>
      </c>
    </row>
    <row r="17" spans="1:20" s="13" customFormat="1" ht="17.25" customHeight="1">
      <c r="A17" s="179"/>
      <c r="B17" s="180"/>
      <c r="C17" s="189"/>
      <c r="D17" s="190"/>
      <c r="E17" s="193"/>
      <c r="F17" s="9" t="s">
        <v>26</v>
      </c>
      <c r="G17" s="8">
        <f>G16*12</f>
        <v>67527.1872</v>
      </c>
      <c r="H17" s="8">
        <f t="shared" ref="H17:P17" si="8">H16*12</f>
        <v>69212.246400000004</v>
      </c>
      <c r="I17" s="8">
        <f t="shared" si="8"/>
        <v>70938.911999999982</v>
      </c>
      <c r="J17" s="8">
        <f t="shared" si="8"/>
        <v>72748.790399999983</v>
      </c>
      <c r="K17" s="8">
        <f t="shared" si="8"/>
        <v>74517.062399999995</v>
      </c>
      <c r="L17" s="8">
        <f t="shared" si="8"/>
        <v>76430.9568</v>
      </c>
      <c r="M17" s="8">
        <f t="shared" si="8"/>
        <v>78240.835200000001</v>
      </c>
      <c r="N17" s="8">
        <f t="shared" si="8"/>
        <v>80258.745599999995</v>
      </c>
      <c r="O17" s="8">
        <f t="shared" si="8"/>
        <v>82172.639999999985</v>
      </c>
      <c r="P17" s="8">
        <f t="shared" si="8"/>
        <v>84169.747199999998</v>
      </c>
      <c r="Q17" s="8">
        <f>Q16*12</f>
        <v>86333.28</v>
      </c>
      <c r="R17" s="8">
        <f>R16*12</f>
        <v>88496.812799999985</v>
      </c>
      <c r="S17" s="8">
        <f>S16*12</f>
        <v>90681.148799999995</v>
      </c>
      <c r="T17" s="8">
        <f>T16*12</f>
        <v>92948.6976</v>
      </c>
    </row>
    <row r="18" spans="1:20" s="13" customFormat="1">
      <c r="A18" s="184" t="s">
        <v>37</v>
      </c>
      <c r="B18" s="185" t="s">
        <v>38</v>
      </c>
      <c r="C18" s="194" t="s">
        <v>39</v>
      </c>
      <c r="D18" s="195" t="s">
        <v>40</v>
      </c>
      <c r="E18" s="196" t="s">
        <v>41</v>
      </c>
      <c r="F18" s="6" t="s">
        <v>22</v>
      </c>
      <c r="G18" s="7">
        <v>44.71</v>
      </c>
      <c r="H18" s="7">
        <v>45.83</v>
      </c>
      <c r="I18" s="7">
        <v>46.98</v>
      </c>
      <c r="J18" s="7">
        <v>48.13</v>
      </c>
      <c r="K18" s="12">
        <v>49.33</v>
      </c>
      <c r="L18" s="12">
        <v>50.55</v>
      </c>
      <c r="M18" s="12">
        <v>51.8</v>
      </c>
      <c r="N18" s="12">
        <v>53.1</v>
      </c>
      <c r="O18" s="12">
        <v>54.1</v>
      </c>
      <c r="P18" s="12">
        <v>55.82</v>
      </c>
      <c r="Q18" s="12">
        <v>57.19</v>
      </c>
      <c r="R18" s="12">
        <v>58.64</v>
      </c>
      <c r="S18" s="12">
        <v>60.11</v>
      </c>
      <c r="T18" s="12">
        <v>61.61</v>
      </c>
    </row>
    <row r="19" spans="1:20" s="13" customFormat="1">
      <c r="A19" s="184"/>
      <c r="B19" s="185"/>
      <c r="C19" s="194"/>
      <c r="D19" s="195"/>
      <c r="E19" s="197"/>
      <c r="F19" s="6" t="s">
        <v>23</v>
      </c>
      <c r="G19" s="7">
        <f t="shared" ref="G19:T19" si="9">G18*80</f>
        <v>3576.8</v>
      </c>
      <c r="H19" s="7">
        <f t="shared" si="9"/>
        <v>3666.3999999999996</v>
      </c>
      <c r="I19" s="7">
        <f t="shared" si="9"/>
        <v>3758.3999999999996</v>
      </c>
      <c r="J19" s="7">
        <f t="shared" si="9"/>
        <v>3850.4</v>
      </c>
      <c r="K19" s="14">
        <f t="shared" si="9"/>
        <v>3946.3999999999996</v>
      </c>
      <c r="L19" s="14">
        <f t="shared" si="9"/>
        <v>4044</v>
      </c>
      <c r="M19" s="14">
        <f t="shared" si="9"/>
        <v>4144</v>
      </c>
      <c r="N19" s="14">
        <f t="shared" si="9"/>
        <v>4248</v>
      </c>
      <c r="O19" s="14">
        <f t="shared" si="9"/>
        <v>4328</v>
      </c>
      <c r="P19" s="14">
        <f t="shared" si="9"/>
        <v>4465.6000000000004</v>
      </c>
      <c r="Q19" s="14">
        <f t="shared" si="9"/>
        <v>4575.2</v>
      </c>
      <c r="R19" s="14">
        <f t="shared" si="9"/>
        <v>4691.2</v>
      </c>
      <c r="S19" s="14">
        <f t="shared" si="9"/>
        <v>4808.8</v>
      </c>
      <c r="T19" s="14">
        <f t="shared" si="9"/>
        <v>4928.8</v>
      </c>
    </row>
    <row r="20" spans="1:20" s="13" customFormat="1" ht="22.5">
      <c r="A20" s="184"/>
      <c r="B20" s="185"/>
      <c r="C20" s="194"/>
      <c r="D20" s="195"/>
      <c r="E20" s="197"/>
      <c r="F20" s="6" t="s">
        <v>24</v>
      </c>
      <c r="G20" s="7">
        <f t="shared" ref="G20:T20" si="10">G19*2.167</f>
        <v>7750.9255999999996</v>
      </c>
      <c r="H20" s="7">
        <f t="shared" si="10"/>
        <v>7945.0887999999986</v>
      </c>
      <c r="I20" s="7">
        <f t="shared" si="10"/>
        <v>8144.4527999999982</v>
      </c>
      <c r="J20" s="7">
        <f t="shared" si="10"/>
        <v>8343.8167999999987</v>
      </c>
      <c r="K20" s="14">
        <f t="shared" si="10"/>
        <v>8551.8487999999979</v>
      </c>
      <c r="L20" s="14">
        <f t="shared" si="10"/>
        <v>8763.348</v>
      </c>
      <c r="M20" s="14">
        <f t="shared" si="10"/>
        <v>8980.0479999999989</v>
      </c>
      <c r="N20" s="14">
        <f t="shared" si="10"/>
        <v>9205.4159999999993</v>
      </c>
      <c r="O20" s="14">
        <f t="shared" si="10"/>
        <v>9378.7759999999998</v>
      </c>
      <c r="P20" s="14">
        <f t="shared" si="10"/>
        <v>9676.9552000000003</v>
      </c>
      <c r="Q20" s="14">
        <f t="shared" si="10"/>
        <v>9914.4583999999995</v>
      </c>
      <c r="R20" s="14">
        <f t="shared" si="10"/>
        <v>10165.830399999999</v>
      </c>
      <c r="S20" s="14">
        <f t="shared" si="10"/>
        <v>10420.669599999999</v>
      </c>
      <c r="T20" s="14">
        <f t="shared" si="10"/>
        <v>10680.7096</v>
      </c>
    </row>
    <row r="21" spans="1:20" s="13" customFormat="1" ht="16.5" customHeight="1">
      <c r="A21" s="184"/>
      <c r="B21" s="185"/>
      <c r="C21" s="194"/>
      <c r="D21" s="195"/>
      <c r="E21" s="198"/>
      <c r="F21" s="6" t="s">
        <v>26</v>
      </c>
      <c r="G21" s="7">
        <f t="shared" ref="G21:T21" si="11">G20*12</f>
        <v>93011.107199999999</v>
      </c>
      <c r="H21" s="7">
        <f t="shared" si="11"/>
        <v>95341.065599999987</v>
      </c>
      <c r="I21" s="7">
        <f t="shared" si="11"/>
        <v>97733.433599999975</v>
      </c>
      <c r="J21" s="7">
        <f t="shared" si="11"/>
        <v>100125.80159999998</v>
      </c>
      <c r="K21" s="7">
        <f t="shared" si="11"/>
        <v>102622.18559999997</v>
      </c>
      <c r="L21" s="7">
        <f t="shared" si="11"/>
        <v>105160.17600000001</v>
      </c>
      <c r="M21" s="7">
        <f t="shared" si="11"/>
        <v>107760.57599999999</v>
      </c>
      <c r="N21" s="7">
        <f t="shared" si="11"/>
        <v>110464.992</v>
      </c>
      <c r="O21" s="7">
        <f t="shared" si="11"/>
        <v>112545.31200000001</v>
      </c>
      <c r="P21" s="7">
        <f t="shared" si="11"/>
        <v>116123.4624</v>
      </c>
      <c r="Q21" s="7">
        <f t="shared" si="11"/>
        <v>118973.50079999999</v>
      </c>
      <c r="R21" s="7">
        <f t="shared" si="11"/>
        <v>121989.96479999999</v>
      </c>
      <c r="S21" s="7">
        <f t="shared" si="11"/>
        <v>125048.03519999998</v>
      </c>
      <c r="T21" s="7">
        <f t="shared" si="11"/>
        <v>128168.51519999999</v>
      </c>
    </row>
    <row r="22" spans="1:20" s="13" customFormat="1">
      <c r="A22" s="179" t="s">
        <v>42</v>
      </c>
      <c r="B22" s="180" t="s">
        <v>35</v>
      </c>
      <c r="C22" s="189" t="s">
        <v>43</v>
      </c>
      <c r="D22" s="190" t="s">
        <v>44</v>
      </c>
      <c r="E22" s="191" t="s">
        <v>36</v>
      </c>
      <c r="F22" s="9" t="s">
        <v>22</v>
      </c>
      <c r="G22" s="8">
        <v>32.46</v>
      </c>
      <c r="H22" s="8">
        <v>33.270000000000003</v>
      </c>
      <c r="I22" s="8">
        <v>34.1</v>
      </c>
      <c r="J22" s="8">
        <v>34.97</v>
      </c>
      <c r="K22" s="8">
        <v>35.82</v>
      </c>
      <c r="L22" s="8">
        <v>36.74</v>
      </c>
      <c r="M22" s="8">
        <v>37.61</v>
      </c>
      <c r="N22" s="8">
        <v>38.58</v>
      </c>
      <c r="O22" s="8">
        <v>39.5</v>
      </c>
      <c r="P22" s="8">
        <v>40.49</v>
      </c>
      <c r="Q22" s="8">
        <v>41.5</v>
      </c>
      <c r="R22" s="8">
        <v>42.54</v>
      </c>
      <c r="S22" s="8">
        <v>43.59</v>
      </c>
      <c r="T22" s="8">
        <v>44.68</v>
      </c>
    </row>
    <row r="23" spans="1:20" s="13" customFormat="1">
      <c r="A23" s="179"/>
      <c r="B23" s="180"/>
      <c r="C23" s="189"/>
      <c r="D23" s="190"/>
      <c r="E23" s="192"/>
      <c r="F23" s="9" t="s">
        <v>23</v>
      </c>
      <c r="G23" s="8">
        <f>G22*80</f>
        <v>2596.8000000000002</v>
      </c>
      <c r="H23" s="8">
        <f t="shared" ref="H23:P23" si="12">H22*80</f>
        <v>2661.6000000000004</v>
      </c>
      <c r="I23" s="8">
        <f t="shared" si="12"/>
        <v>2728</v>
      </c>
      <c r="J23" s="8">
        <f t="shared" si="12"/>
        <v>2797.6</v>
      </c>
      <c r="K23" s="8">
        <f t="shared" si="12"/>
        <v>2865.6</v>
      </c>
      <c r="L23" s="8">
        <f t="shared" si="12"/>
        <v>2939.2000000000003</v>
      </c>
      <c r="M23" s="8">
        <f t="shared" si="12"/>
        <v>3008.8</v>
      </c>
      <c r="N23" s="8">
        <f t="shared" si="12"/>
        <v>3086.3999999999996</v>
      </c>
      <c r="O23" s="8">
        <f t="shared" si="12"/>
        <v>3160</v>
      </c>
      <c r="P23" s="8">
        <f t="shared" si="12"/>
        <v>3239.2000000000003</v>
      </c>
      <c r="Q23" s="8">
        <f>Q22*80</f>
        <v>3320</v>
      </c>
      <c r="R23" s="8">
        <f>R22*80</f>
        <v>3403.2</v>
      </c>
      <c r="S23" s="8">
        <f>S22*80</f>
        <v>3487.2000000000003</v>
      </c>
      <c r="T23" s="8">
        <f>T22*80</f>
        <v>3574.4</v>
      </c>
    </row>
    <row r="24" spans="1:20" s="13" customFormat="1" ht="22.5">
      <c r="A24" s="179"/>
      <c r="B24" s="180"/>
      <c r="C24" s="189"/>
      <c r="D24" s="190"/>
      <c r="E24" s="192"/>
      <c r="F24" s="9" t="s">
        <v>24</v>
      </c>
      <c r="G24" s="8">
        <f>G23*2.167</f>
        <v>5627.2655999999997</v>
      </c>
      <c r="H24" s="8">
        <f t="shared" ref="H24:P24" si="13">H23*2.167</f>
        <v>5767.6872000000003</v>
      </c>
      <c r="I24" s="8">
        <f t="shared" si="13"/>
        <v>5911.5759999999991</v>
      </c>
      <c r="J24" s="8">
        <f t="shared" si="13"/>
        <v>6062.3991999999989</v>
      </c>
      <c r="K24" s="8">
        <f t="shared" si="13"/>
        <v>6209.7551999999996</v>
      </c>
      <c r="L24" s="8">
        <f t="shared" si="13"/>
        <v>6369.2464</v>
      </c>
      <c r="M24" s="8">
        <f t="shared" si="13"/>
        <v>6520.0695999999998</v>
      </c>
      <c r="N24" s="8">
        <f t="shared" si="13"/>
        <v>6688.228799999999</v>
      </c>
      <c r="O24" s="8">
        <f t="shared" si="13"/>
        <v>6847.7199999999993</v>
      </c>
      <c r="P24" s="8">
        <f t="shared" si="13"/>
        <v>7019.3464000000004</v>
      </c>
      <c r="Q24" s="8">
        <f>Q23*2.167</f>
        <v>7194.44</v>
      </c>
      <c r="R24" s="8">
        <f>R23*2.167</f>
        <v>7374.7343999999994</v>
      </c>
      <c r="S24" s="8">
        <f>S23*2.167</f>
        <v>7556.7623999999996</v>
      </c>
      <c r="T24" s="8">
        <f>T23*2.167</f>
        <v>7745.7248</v>
      </c>
    </row>
    <row r="25" spans="1:20" s="13" customFormat="1" ht="18" customHeight="1">
      <c r="A25" s="179"/>
      <c r="B25" s="180"/>
      <c r="C25" s="189"/>
      <c r="D25" s="190"/>
      <c r="E25" s="193"/>
      <c r="F25" s="9" t="s">
        <v>26</v>
      </c>
      <c r="G25" s="8">
        <f>G24*12</f>
        <v>67527.1872</v>
      </c>
      <c r="H25" s="8">
        <f t="shared" ref="H25:P25" si="14">H24*12</f>
        <v>69212.246400000004</v>
      </c>
      <c r="I25" s="8">
        <f t="shared" si="14"/>
        <v>70938.911999999982</v>
      </c>
      <c r="J25" s="8">
        <f t="shared" si="14"/>
        <v>72748.790399999983</v>
      </c>
      <c r="K25" s="8">
        <f t="shared" si="14"/>
        <v>74517.062399999995</v>
      </c>
      <c r="L25" s="8">
        <f t="shared" si="14"/>
        <v>76430.9568</v>
      </c>
      <c r="M25" s="8">
        <f t="shared" si="14"/>
        <v>78240.835200000001</v>
      </c>
      <c r="N25" s="8">
        <f t="shared" si="14"/>
        <v>80258.745599999995</v>
      </c>
      <c r="O25" s="8">
        <f t="shared" si="14"/>
        <v>82172.639999999985</v>
      </c>
      <c r="P25" s="8">
        <f t="shared" si="14"/>
        <v>84232.156799999997</v>
      </c>
      <c r="Q25" s="8">
        <f>Q24*12</f>
        <v>86333.28</v>
      </c>
      <c r="R25" s="8">
        <f>R24*12</f>
        <v>88496.812799999985</v>
      </c>
      <c r="S25" s="8">
        <f>S24*12</f>
        <v>90681.148799999995</v>
      </c>
      <c r="T25" s="8">
        <f>T24*12</f>
        <v>92948.6976</v>
      </c>
    </row>
    <row r="26" spans="1:20" s="13" customFormat="1">
      <c r="A26" s="184" t="s">
        <v>45</v>
      </c>
      <c r="B26" s="185" t="s">
        <v>46</v>
      </c>
      <c r="C26" s="194" t="s">
        <v>43</v>
      </c>
      <c r="D26" s="195" t="s">
        <v>47</v>
      </c>
      <c r="E26" s="196" t="s">
        <v>48</v>
      </c>
      <c r="F26" s="6" t="s">
        <v>22</v>
      </c>
      <c r="G26" s="7">
        <v>29.43</v>
      </c>
      <c r="H26" s="7">
        <v>30.17</v>
      </c>
      <c r="I26" s="7">
        <v>30.92</v>
      </c>
      <c r="J26" s="7">
        <v>31.69</v>
      </c>
      <c r="K26" s="7">
        <v>32.46</v>
      </c>
      <c r="L26" s="7">
        <v>33.270000000000003</v>
      </c>
      <c r="M26" s="7">
        <v>34.1</v>
      </c>
      <c r="N26" s="7">
        <v>34.97</v>
      </c>
      <c r="O26" s="7">
        <v>35.82</v>
      </c>
      <c r="P26" s="7">
        <v>36.74</v>
      </c>
      <c r="Q26" s="7">
        <v>37.61</v>
      </c>
      <c r="R26" s="7">
        <v>38.58</v>
      </c>
      <c r="S26" s="7">
        <v>39.5</v>
      </c>
      <c r="T26" s="7">
        <v>40.49</v>
      </c>
    </row>
    <row r="27" spans="1:20" s="13" customFormat="1">
      <c r="A27" s="184"/>
      <c r="B27" s="185"/>
      <c r="C27" s="194"/>
      <c r="D27" s="195"/>
      <c r="E27" s="197"/>
      <c r="F27" s="6" t="s">
        <v>23</v>
      </c>
      <c r="G27" s="7">
        <f t="shared" ref="G27:J27" si="15">G26*80</f>
        <v>2354.4</v>
      </c>
      <c r="H27" s="7">
        <f>H26*80</f>
        <v>2413.6000000000004</v>
      </c>
      <c r="I27" s="7">
        <f t="shared" si="15"/>
        <v>2473.6000000000004</v>
      </c>
      <c r="J27" s="7">
        <f t="shared" si="15"/>
        <v>2535.2000000000003</v>
      </c>
      <c r="K27" s="7">
        <f>K26*80</f>
        <v>2596.8000000000002</v>
      </c>
      <c r="L27" s="7">
        <f t="shared" ref="L27:T27" si="16">L26*80</f>
        <v>2661.6000000000004</v>
      </c>
      <c r="M27" s="7">
        <f t="shared" si="16"/>
        <v>2728</v>
      </c>
      <c r="N27" s="7">
        <f t="shared" si="16"/>
        <v>2797.6</v>
      </c>
      <c r="O27" s="7">
        <f t="shared" si="16"/>
        <v>2865.6</v>
      </c>
      <c r="P27" s="7">
        <f t="shared" si="16"/>
        <v>2939.2000000000003</v>
      </c>
      <c r="Q27" s="7">
        <f t="shared" si="16"/>
        <v>3008.8</v>
      </c>
      <c r="R27" s="7">
        <f t="shared" si="16"/>
        <v>3086.3999999999996</v>
      </c>
      <c r="S27" s="7">
        <f t="shared" si="16"/>
        <v>3160</v>
      </c>
      <c r="T27" s="7">
        <f t="shared" si="16"/>
        <v>3239.2000000000003</v>
      </c>
    </row>
    <row r="28" spans="1:20" s="13" customFormat="1" ht="22.5">
      <c r="A28" s="184"/>
      <c r="B28" s="185"/>
      <c r="C28" s="194"/>
      <c r="D28" s="195"/>
      <c r="E28" s="197"/>
      <c r="F28" s="6" t="s">
        <v>24</v>
      </c>
      <c r="G28" s="7">
        <f t="shared" ref="G28:J28" si="17">G27*2.167</f>
        <v>5101.9848000000002</v>
      </c>
      <c r="H28" s="7">
        <f t="shared" si="17"/>
        <v>5230.2712000000001</v>
      </c>
      <c r="I28" s="7">
        <f t="shared" si="17"/>
        <v>5360.2912000000006</v>
      </c>
      <c r="J28" s="7">
        <f t="shared" si="17"/>
        <v>5493.7784000000001</v>
      </c>
      <c r="K28" s="7">
        <f>K27*2.167</f>
        <v>5627.2655999999997</v>
      </c>
      <c r="L28" s="7">
        <f t="shared" ref="L28:T28" si="18">L27*2.167</f>
        <v>5767.6872000000003</v>
      </c>
      <c r="M28" s="7">
        <f t="shared" si="18"/>
        <v>5911.5759999999991</v>
      </c>
      <c r="N28" s="7">
        <f t="shared" si="18"/>
        <v>6062.3991999999989</v>
      </c>
      <c r="O28" s="7">
        <f t="shared" si="18"/>
        <v>6209.7551999999996</v>
      </c>
      <c r="P28" s="7">
        <f t="shared" si="18"/>
        <v>6369.2464</v>
      </c>
      <c r="Q28" s="7">
        <f t="shared" si="18"/>
        <v>6520.0695999999998</v>
      </c>
      <c r="R28" s="7">
        <f t="shared" si="18"/>
        <v>6688.228799999999</v>
      </c>
      <c r="S28" s="7">
        <f t="shared" si="18"/>
        <v>6847.7199999999993</v>
      </c>
      <c r="T28" s="7">
        <f t="shared" si="18"/>
        <v>7019.3464000000004</v>
      </c>
    </row>
    <row r="29" spans="1:20" s="13" customFormat="1" ht="16.5" customHeight="1">
      <c r="A29" s="184"/>
      <c r="B29" s="185"/>
      <c r="C29" s="194"/>
      <c r="D29" s="195"/>
      <c r="E29" s="198"/>
      <c r="F29" s="6" t="s">
        <v>26</v>
      </c>
      <c r="G29" s="7">
        <f t="shared" ref="G29:J29" si="19">G28*12</f>
        <v>61223.817600000002</v>
      </c>
      <c r="H29" s="7">
        <f t="shared" si="19"/>
        <v>62763.254400000005</v>
      </c>
      <c r="I29" s="7">
        <f t="shared" si="19"/>
        <v>64323.494400000011</v>
      </c>
      <c r="J29" s="7">
        <f t="shared" si="19"/>
        <v>65925.340800000005</v>
      </c>
      <c r="K29" s="7">
        <f>K28*12</f>
        <v>67527.1872</v>
      </c>
      <c r="L29" s="7">
        <f t="shared" ref="L29:T29" si="20">L28*12</f>
        <v>69212.246400000004</v>
      </c>
      <c r="M29" s="7">
        <f t="shared" si="20"/>
        <v>70938.911999999982</v>
      </c>
      <c r="N29" s="7">
        <f t="shared" si="20"/>
        <v>72748.790399999983</v>
      </c>
      <c r="O29" s="7">
        <f t="shared" si="20"/>
        <v>74517.062399999995</v>
      </c>
      <c r="P29" s="7">
        <f t="shared" si="20"/>
        <v>76430.9568</v>
      </c>
      <c r="Q29" s="7">
        <f t="shared" si="20"/>
        <v>78240.835200000001</v>
      </c>
      <c r="R29" s="7">
        <f t="shared" si="20"/>
        <v>80258.745599999995</v>
      </c>
      <c r="S29" s="7">
        <f t="shared" si="20"/>
        <v>82172.639999999985</v>
      </c>
      <c r="T29" s="7">
        <f t="shared" si="20"/>
        <v>84232.156799999997</v>
      </c>
    </row>
    <row r="30" spans="1:20" s="13" customFormat="1">
      <c r="A30" s="179" t="s">
        <v>49</v>
      </c>
      <c r="B30" s="180" t="s">
        <v>50</v>
      </c>
      <c r="C30" s="189" t="s">
        <v>43</v>
      </c>
      <c r="D30" s="190" t="s">
        <v>51</v>
      </c>
      <c r="E30" s="199" t="s">
        <v>52</v>
      </c>
      <c r="F30" s="9" t="s">
        <v>22</v>
      </c>
      <c r="G30" s="8">
        <v>25.41</v>
      </c>
      <c r="H30" s="8">
        <v>26.05</v>
      </c>
      <c r="I30" s="8">
        <v>26.7</v>
      </c>
      <c r="J30" s="8">
        <v>27.39</v>
      </c>
      <c r="K30" s="10">
        <v>28.04</v>
      </c>
      <c r="L30" s="10">
        <v>28.73</v>
      </c>
      <c r="M30" s="10">
        <v>29.43</v>
      </c>
      <c r="N30" s="10">
        <v>30.17</v>
      </c>
      <c r="O30" s="10">
        <v>30.92</v>
      </c>
      <c r="P30" s="10">
        <v>31.69</v>
      </c>
      <c r="Q30" s="10">
        <v>32.479999999999997</v>
      </c>
      <c r="R30" s="10">
        <v>33.28</v>
      </c>
      <c r="S30" s="10">
        <v>34.1</v>
      </c>
      <c r="T30" s="10">
        <v>34.950000000000003</v>
      </c>
    </row>
    <row r="31" spans="1:20" s="13" customFormat="1">
      <c r="A31" s="179"/>
      <c r="B31" s="180"/>
      <c r="C31" s="189"/>
      <c r="D31" s="190"/>
      <c r="E31" s="200"/>
      <c r="F31" s="9" t="s">
        <v>23</v>
      </c>
      <c r="G31" s="8">
        <f t="shared" ref="G31:T31" si="21">G30*80</f>
        <v>2032.8</v>
      </c>
      <c r="H31" s="8">
        <f t="shared" si="21"/>
        <v>2084</v>
      </c>
      <c r="I31" s="8">
        <f t="shared" si="21"/>
        <v>2136</v>
      </c>
      <c r="J31" s="8">
        <f t="shared" si="21"/>
        <v>2191.1999999999998</v>
      </c>
      <c r="K31" s="11">
        <f t="shared" si="21"/>
        <v>2243.1999999999998</v>
      </c>
      <c r="L31" s="11">
        <f t="shared" si="21"/>
        <v>2298.4</v>
      </c>
      <c r="M31" s="11">
        <f t="shared" si="21"/>
        <v>2354.4</v>
      </c>
      <c r="N31" s="11">
        <f t="shared" si="21"/>
        <v>2413.6000000000004</v>
      </c>
      <c r="O31" s="11">
        <f t="shared" si="21"/>
        <v>2473.6000000000004</v>
      </c>
      <c r="P31" s="11">
        <f t="shared" si="21"/>
        <v>2535.2000000000003</v>
      </c>
      <c r="Q31" s="11">
        <f t="shared" si="21"/>
        <v>2598.3999999999996</v>
      </c>
      <c r="R31" s="11">
        <f t="shared" si="21"/>
        <v>2662.4</v>
      </c>
      <c r="S31" s="11">
        <f t="shared" si="21"/>
        <v>2728</v>
      </c>
      <c r="T31" s="11">
        <f t="shared" si="21"/>
        <v>2796</v>
      </c>
    </row>
    <row r="32" spans="1:20" s="13" customFormat="1" ht="22.5">
      <c r="A32" s="179"/>
      <c r="B32" s="180"/>
      <c r="C32" s="189"/>
      <c r="D32" s="190"/>
      <c r="E32" s="200"/>
      <c r="F32" s="9" t="s">
        <v>24</v>
      </c>
      <c r="G32" s="8">
        <f t="shared" ref="G32:T32" si="22">G31*2.167</f>
        <v>4405.0775999999996</v>
      </c>
      <c r="H32" s="8">
        <f t="shared" si="22"/>
        <v>4516.0279999999993</v>
      </c>
      <c r="I32" s="8">
        <f t="shared" si="22"/>
        <v>4628.7119999999995</v>
      </c>
      <c r="J32" s="8">
        <f t="shared" si="22"/>
        <v>4748.3303999999989</v>
      </c>
      <c r="K32" s="11">
        <f t="shared" si="22"/>
        <v>4861.0143999999991</v>
      </c>
      <c r="L32" s="11">
        <f t="shared" si="22"/>
        <v>4980.6327999999994</v>
      </c>
      <c r="M32" s="11">
        <f t="shared" si="22"/>
        <v>5101.9848000000002</v>
      </c>
      <c r="N32" s="11">
        <f t="shared" si="22"/>
        <v>5230.2712000000001</v>
      </c>
      <c r="O32" s="11">
        <f t="shared" si="22"/>
        <v>5360.2912000000006</v>
      </c>
      <c r="P32" s="11">
        <f t="shared" si="22"/>
        <v>5493.7784000000001</v>
      </c>
      <c r="Q32" s="11">
        <f t="shared" si="22"/>
        <v>5630.7327999999989</v>
      </c>
      <c r="R32" s="11">
        <f t="shared" si="22"/>
        <v>5769.4207999999999</v>
      </c>
      <c r="S32" s="11">
        <f t="shared" si="22"/>
        <v>5911.5759999999991</v>
      </c>
      <c r="T32" s="11">
        <f t="shared" si="22"/>
        <v>6058.9319999999998</v>
      </c>
    </row>
    <row r="33" spans="1:20" s="13" customFormat="1" ht="17.25" customHeight="1">
      <c r="A33" s="179"/>
      <c r="B33" s="180"/>
      <c r="C33" s="189"/>
      <c r="D33" s="190"/>
      <c r="E33" s="201"/>
      <c r="F33" s="9" t="s">
        <v>26</v>
      </c>
      <c r="G33" s="8">
        <f t="shared" ref="G33:T33" si="23">G32*12</f>
        <v>52860.931199999992</v>
      </c>
      <c r="H33" s="8">
        <f t="shared" si="23"/>
        <v>54192.335999999996</v>
      </c>
      <c r="I33" s="8">
        <f t="shared" si="23"/>
        <v>55544.543999999994</v>
      </c>
      <c r="J33" s="8">
        <f t="shared" si="23"/>
        <v>56979.964799999987</v>
      </c>
      <c r="K33" s="8">
        <f t="shared" si="23"/>
        <v>58332.172799999986</v>
      </c>
      <c r="L33" s="8">
        <f t="shared" si="23"/>
        <v>59767.593599999993</v>
      </c>
      <c r="M33" s="8">
        <f t="shared" si="23"/>
        <v>61223.817600000002</v>
      </c>
      <c r="N33" s="8">
        <f t="shared" si="23"/>
        <v>62763.254400000005</v>
      </c>
      <c r="O33" s="8">
        <f t="shared" si="23"/>
        <v>64323.494400000011</v>
      </c>
      <c r="P33" s="8">
        <f t="shared" si="23"/>
        <v>65925.340800000005</v>
      </c>
      <c r="Q33" s="8">
        <f t="shared" si="23"/>
        <v>67568.79359999999</v>
      </c>
      <c r="R33" s="8">
        <f t="shared" si="23"/>
        <v>69233.049599999998</v>
      </c>
      <c r="S33" s="8">
        <f t="shared" si="23"/>
        <v>70938.911999999982</v>
      </c>
      <c r="T33" s="8">
        <f t="shared" si="23"/>
        <v>72707.183999999994</v>
      </c>
    </row>
    <row r="34" spans="1:20" s="13" customFormat="1">
      <c r="A34" s="184" t="s">
        <v>53</v>
      </c>
      <c r="B34" s="185" t="s">
        <v>54</v>
      </c>
      <c r="C34" s="194" t="s">
        <v>39</v>
      </c>
      <c r="D34" s="195" t="s">
        <v>55</v>
      </c>
      <c r="E34" s="196" t="s">
        <v>48</v>
      </c>
      <c r="F34" s="6" t="s">
        <v>22</v>
      </c>
      <c r="G34" s="7">
        <v>29.43</v>
      </c>
      <c r="H34" s="7">
        <v>30.17</v>
      </c>
      <c r="I34" s="7">
        <v>30.92</v>
      </c>
      <c r="J34" s="7">
        <v>31.69</v>
      </c>
      <c r="K34" s="7">
        <v>32.46</v>
      </c>
      <c r="L34" s="7">
        <v>33.270000000000003</v>
      </c>
      <c r="M34" s="7">
        <v>34.1</v>
      </c>
      <c r="N34" s="7">
        <v>34.97</v>
      </c>
      <c r="O34" s="7">
        <v>35.82</v>
      </c>
      <c r="P34" s="7">
        <v>36.74</v>
      </c>
      <c r="Q34" s="7">
        <v>37.61</v>
      </c>
      <c r="R34" s="7">
        <v>38.58</v>
      </c>
      <c r="S34" s="7">
        <v>39.5</v>
      </c>
      <c r="T34" s="7">
        <v>40.49</v>
      </c>
    </row>
    <row r="35" spans="1:20" s="13" customFormat="1">
      <c r="A35" s="184"/>
      <c r="B35" s="185"/>
      <c r="C35" s="194"/>
      <c r="D35" s="195"/>
      <c r="E35" s="197"/>
      <c r="F35" s="6" t="s">
        <v>23</v>
      </c>
      <c r="G35" s="7">
        <f t="shared" ref="G35" si="24">G34*80</f>
        <v>2354.4</v>
      </c>
      <c r="H35" s="7">
        <f>H34*80</f>
        <v>2413.6000000000004</v>
      </c>
      <c r="I35" s="7">
        <f t="shared" ref="I35:J35" si="25">I34*80</f>
        <v>2473.6000000000004</v>
      </c>
      <c r="J35" s="7">
        <f t="shared" si="25"/>
        <v>2535.2000000000003</v>
      </c>
      <c r="K35" s="7">
        <f>K34*80</f>
        <v>2596.8000000000002</v>
      </c>
      <c r="L35" s="7">
        <f t="shared" ref="L35:T35" si="26">L34*80</f>
        <v>2661.6000000000004</v>
      </c>
      <c r="M35" s="7">
        <f t="shared" si="26"/>
        <v>2728</v>
      </c>
      <c r="N35" s="7">
        <f t="shared" si="26"/>
        <v>2797.6</v>
      </c>
      <c r="O35" s="7">
        <f t="shared" si="26"/>
        <v>2865.6</v>
      </c>
      <c r="P35" s="7">
        <f t="shared" si="26"/>
        <v>2939.2000000000003</v>
      </c>
      <c r="Q35" s="7">
        <f t="shared" si="26"/>
        <v>3008.8</v>
      </c>
      <c r="R35" s="7">
        <f t="shared" si="26"/>
        <v>3086.3999999999996</v>
      </c>
      <c r="S35" s="7">
        <f t="shared" si="26"/>
        <v>3160</v>
      </c>
      <c r="T35" s="7">
        <f t="shared" si="26"/>
        <v>3239.2000000000003</v>
      </c>
    </row>
    <row r="36" spans="1:20" s="13" customFormat="1" ht="22.5">
      <c r="A36" s="184"/>
      <c r="B36" s="185"/>
      <c r="C36" s="194"/>
      <c r="D36" s="195"/>
      <c r="E36" s="197"/>
      <c r="F36" s="6" t="s">
        <v>24</v>
      </c>
      <c r="G36" s="7">
        <f t="shared" ref="G36:J36" si="27">G35*2.167</f>
        <v>5101.9848000000002</v>
      </c>
      <c r="H36" s="7">
        <f t="shared" si="27"/>
        <v>5230.2712000000001</v>
      </c>
      <c r="I36" s="7">
        <f t="shared" si="27"/>
        <v>5360.2912000000006</v>
      </c>
      <c r="J36" s="7">
        <f t="shared" si="27"/>
        <v>5493.7784000000001</v>
      </c>
      <c r="K36" s="7">
        <f>K35*2.167</f>
        <v>5627.2655999999997</v>
      </c>
      <c r="L36" s="7">
        <f t="shared" ref="L36:T36" si="28">L35*2.167</f>
        <v>5767.6872000000003</v>
      </c>
      <c r="M36" s="7">
        <f t="shared" si="28"/>
        <v>5911.5759999999991</v>
      </c>
      <c r="N36" s="7">
        <f t="shared" si="28"/>
        <v>6062.3991999999989</v>
      </c>
      <c r="O36" s="7">
        <f t="shared" si="28"/>
        <v>6209.7551999999996</v>
      </c>
      <c r="P36" s="7">
        <f t="shared" si="28"/>
        <v>6369.2464</v>
      </c>
      <c r="Q36" s="7">
        <f t="shared" si="28"/>
        <v>6520.0695999999998</v>
      </c>
      <c r="R36" s="7">
        <f t="shared" si="28"/>
        <v>6688.228799999999</v>
      </c>
      <c r="S36" s="7">
        <f t="shared" si="28"/>
        <v>6847.7199999999993</v>
      </c>
      <c r="T36" s="7">
        <f t="shared" si="28"/>
        <v>7019.3464000000004</v>
      </c>
    </row>
    <row r="37" spans="1:20" s="13" customFormat="1" ht="17.25" customHeight="1">
      <c r="A37" s="184"/>
      <c r="B37" s="185"/>
      <c r="C37" s="194"/>
      <c r="D37" s="195"/>
      <c r="E37" s="198"/>
      <c r="F37" s="6" t="s">
        <v>26</v>
      </c>
      <c r="G37" s="7">
        <f t="shared" ref="G37:J37" si="29">G36*12</f>
        <v>61223.817600000002</v>
      </c>
      <c r="H37" s="7">
        <f t="shared" si="29"/>
        <v>62763.254400000005</v>
      </c>
      <c r="I37" s="7">
        <f t="shared" si="29"/>
        <v>64323.494400000011</v>
      </c>
      <c r="J37" s="7">
        <f t="shared" si="29"/>
        <v>65925.340800000005</v>
      </c>
      <c r="K37" s="7">
        <f>K36*12</f>
        <v>67527.1872</v>
      </c>
      <c r="L37" s="7">
        <f t="shared" ref="L37:T37" si="30">L36*12</f>
        <v>69212.246400000004</v>
      </c>
      <c r="M37" s="7">
        <f t="shared" si="30"/>
        <v>70938.911999999982</v>
      </c>
      <c r="N37" s="7">
        <f t="shared" si="30"/>
        <v>72748.790399999983</v>
      </c>
      <c r="O37" s="7">
        <f t="shared" si="30"/>
        <v>74517.062399999995</v>
      </c>
      <c r="P37" s="7">
        <f t="shared" si="30"/>
        <v>76430.9568</v>
      </c>
      <c r="Q37" s="7">
        <f t="shared" si="30"/>
        <v>78240.835200000001</v>
      </c>
      <c r="R37" s="7">
        <f t="shared" si="30"/>
        <v>80258.745599999995</v>
      </c>
      <c r="S37" s="7">
        <f t="shared" si="30"/>
        <v>82172.639999999985</v>
      </c>
      <c r="T37" s="7">
        <f t="shared" si="30"/>
        <v>84232.156799999997</v>
      </c>
    </row>
    <row r="38" spans="1:20" s="13" customFormat="1">
      <c r="A38" s="179" t="s">
        <v>56</v>
      </c>
      <c r="B38" s="180" t="s">
        <v>57</v>
      </c>
      <c r="C38" s="189" t="s">
        <v>58</v>
      </c>
      <c r="D38" s="180">
        <v>149</v>
      </c>
      <c r="E38" s="181">
        <v>45</v>
      </c>
      <c r="F38" s="9" t="s">
        <v>22</v>
      </c>
      <c r="G38" s="8">
        <v>18.736699999999999</v>
      </c>
      <c r="H38" s="8">
        <v>19.2318</v>
      </c>
      <c r="I38" s="8">
        <v>19.740400000000001</v>
      </c>
      <c r="J38" s="8">
        <v>20.262899999999998</v>
      </c>
      <c r="K38" s="10">
        <v>20.7986</v>
      </c>
      <c r="L38" s="10">
        <v>21.3508</v>
      </c>
      <c r="M38" s="10">
        <v>21.916899999999998</v>
      </c>
      <c r="N38" s="10">
        <v>22.4984</v>
      </c>
      <c r="O38" s="10">
        <v>23.0959</v>
      </c>
      <c r="P38" s="10">
        <v>23.708300000000001</v>
      </c>
      <c r="Q38" s="10">
        <v>24.351800000000001</v>
      </c>
      <c r="R38" s="10">
        <v>25.011700000000001</v>
      </c>
      <c r="S38" s="10">
        <v>25.689499999999999</v>
      </c>
      <c r="T38" s="10">
        <v>26.3857</v>
      </c>
    </row>
    <row r="39" spans="1:20" s="13" customFormat="1">
      <c r="A39" s="179"/>
      <c r="B39" s="180"/>
      <c r="C39" s="189"/>
      <c r="D39" s="180"/>
      <c r="E39" s="182"/>
      <c r="F39" s="9" t="s">
        <v>23</v>
      </c>
      <c r="G39" s="8">
        <f t="shared" ref="G39:T39" si="31">G38*80</f>
        <v>1498.9359999999999</v>
      </c>
      <c r="H39" s="8">
        <f t="shared" si="31"/>
        <v>1538.5439999999999</v>
      </c>
      <c r="I39" s="8">
        <f t="shared" si="31"/>
        <v>1579.232</v>
      </c>
      <c r="J39" s="8">
        <f t="shared" si="31"/>
        <v>1621.0319999999999</v>
      </c>
      <c r="K39" s="11">
        <f t="shared" si="31"/>
        <v>1663.8879999999999</v>
      </c>
      <c r="L39" s="11">
        <f t="shared" si="31"/>
        <v>1708.0639999999999</v>
      </c>
      <c r="M39" s="11">
        <f t="shared" si="31"/>
        <v>1753.3519999999999</v>
      </c>
      <c r="N39" s="11">
        <f t="shared" si="31"/>
        <v>1799.8720000000001</v>
      </c>
      <c r="O39" s="11">
        <f t="shared" si="31"/>
        <v>1847.672</v>
      </c>
      <c r="P39" s="11">
        <f t="shared" si="31"/>
        <v>1896.6640000000002</v>
      </c>
      <c r="Q39" s="11">
        <f t="shared" si="31"/>
        <v>1948.144</v>
      </c>
      <c r="R39" s="11">
        <f t="shared" si="31"/>
        <v>2000.9360000000001</v>
      </c>
      <c r="S39" s="11">
        <f t="shared" si="31"/>
        <v>2055.16</v>
      </c>
      <c r="T39" s="11">
        <f t="shared" si="31"/>
        <v>2110.8559999999998</v>
      </c>
    </row>
    <row r="40" spans="1:20" s="13" customFormat="1" ht="22.5">
      <c r="A40" s="179"/>
      <c r="B40" s="180"/>
      <c r="C40" s="189"/>
      <c r="D40" s="180"/>
      <c r="E40" s="182"/>
      <c r="F40" s="9" t="s">
        <v>24</v>
      </c>
      <c r="G40" s="8">
        <f t="shared" ref="G40:T40" si="32">G39*2.167</f>
        <v>3248.1943119999996</v>
      </c>
      <c r="H40" s="8">
        <f t="shared" si="32"/>
        <v>3334.0248479999996</v>
      </c>
      <c r="I40" s="8">
        <f t="shared" si="32"/>
        <v>3422.1957439999996</v>
      </c>
      <c r="J40" s="8">
        <f t="shared" si="32"/>
        <v>3512.7763439999994</v>
      </c>
      <c r="K40" s="11">
        <f t="shared" si="32"/>
        <v>3605.6452959999997</v>
      </c>
      <c r="L40" s="11">
        <f t="shared" si="32"/>
        <v>3701.3746879999994</v>
      </c>
      <c r="M40" s="11">
        <f t="shared" si="32"/>
        <v>3799.5137839999993</v>
      </c>
      <c r="N40" s="11">
        <f t="shared" si="32"/>
        <v>3900.3226239999999</v>
      </c>
      <c r="O40" s="11">
        <f t="shared" si="32"/>
        <v>4003.9052239999996</v>
      </c>
      <c r="P40" s="11">
        <f t="shared" si="32"/>
        <v>4110.0708880000002</v>
      </c>
      <c r="Q40" s="11">
        <f t="shared" si="32"/>
        <v>4221.6280479999996</v>
      </c>
      <c r="R40" s="11">
        <f t="shared" si="32"/>
        <v>4336.0283120000004</v>
      </c>
      <c r="S40" s="11">
        <f t="shared" si="32"/>
        <v>4453.531719999999</v>
      </c>
      <c r="T40" s="11">
        <f t="shared" si="32"/>
        <v>4574.2249519999987</v>
      </c>
    </row>
    <row r="41" spans="1:20" s="13" customFormat="1" ht="16.5" customHeight="1">
      <c r="A41" s="179"/>
      <c r="B41" s="180"/>
      <c r="C41" s="189"/>
      <c r="D41" s="180"/>
      <c r="E41" s="183"/>
      <c r="F41" s="9" t="s">
        <v>26</v>
      </c>
      <c r="G41" s="8">
        <f t="shared" ref="G41:T41" si="33">G40*12</f>
        <v>38978.331743999996</v>
      </c>
      <c r="H41" s="8">
        <f t="shared" si="33"/>
        <v>40008.298175999997</v>
      </c>
      <c r="I41" s="8">
        <f t="shared" si="33"/>
        <v>41066.348927999992</v>
      </c>
      <c r="J41" s="8">
        <f t="shared" si="33"/>
        <v>42153.316127999991</v>
      </c>
      <c r="K41" s="8">
        <f t="shared" si="33"/>
        <v>43267.743552</v>
      </c>
      <c r="L41" s="8">
        <f t="shared" si="33"/>
        <v>44416.496255999991</v>
      </c>
      <c r="M41" s="8">
        <f t="shared" si="33"/>
        <v>45594.165407999993</v>
      </c>
      <c r="N41" s="8">
        <f t="shared" si="33"/>
        <v>46803.871487999997</v>
      </c>
      <c r="O41" s="8">
        <f t="shared" si="33"/>
        <v>48046.862687999994</v>
      </c>
      <c r="P41" s="8">
        <f t="shared" si="33"/>
        <v>49320.850656000002</v>
      </c>
      <c r="Q41" s="8">
        <f t="shared" si="33"/>
        <v>50659.536575999999</v>
      </c>
      <c r="R41" s="8">
        <f t="shared" si="33"/>
        <v>52032.339744000004</v>
      </c>
      <c r="S41" s="8">
        <f t="shared" si="33"/>
        <v>53442.380639999988</v>
      </c>
      <c r="T41" s="8">
        <f t="shared" si="33"/>
        <v>54890.699423999984</v>
      </c>
    </row>
    <row r="42" spans="1:20" s="13" customFormat="1">
      <c r="A42" s="184" t="s">
        <v>59</v>
      </c>
      <c r="B42" s="185" t="s">
        <v>60</v>
      </c>
      <c r="C42" s="195" t="s">
        <v>61</v>
      </c>
      <c r="D42" s="185" t="s">
        <v>62</v>
      </c>
      <c r="E42" s="186">
        <v>75</v>
      </c>
      <c r="F42" s="6" t="s">
        <v>22</v>
      </c>
      <c r="G42" s="7">
        <v>41.0852</v>
      </c>
      <c r="H42" s="7">
        <v>42.198300000000003</v>
      </c>
      <c r="I42" s="7">
        <v>43.330500000000001</v>
      </c>
      <c r="J42" s="7">
        <v>44.494300000000003</v>
      </c>
      <c r="K42" s="12">
        <v>45.589300000000001</v>
      </c>
      <c r="L42" s="12">
        <v>46.916400000000003</v>
      </c>
      <c r="M42" s="12">
        <v>48.177900000000001</v>
      </c>
      <c r="N42" s="12">
        <v>49.472200000000001</v>
      </c>
      <c r="O42" s="12">
        <v>50.812899999999999</v>
      </c>
      <c r="P42" s="12">
        <v>52.1798</v>
      </c>
      <c r="Q42" s="12">
        <v>53.5839</v>
      </c>
      <c r="R42" s="12">
        <v>55.025700000000001</v>
      </c>
      <c r="S42" s="12">
        <v>56.506999999999998</v>
      </c>
      <c r="T42" s="12">
        <v>58.028199999999998</v>
      </c>
    </row>
    <row r="43" spans="1:20" s="13" customFormat="1">
      <c r="A43" s="184"/>
      <c r="B43" s="185"/>
      <c r="C43" s="195"/>
      <c r="D43" s="185"/>
      <c r="E43" s="187"/>
      <c r="F43" s="6" t="s">
        <v>23</v>
      </c>
      <c r="G43" s="7">
        <f t="shared" ref="G43:T43" si="34">G42*80</f>
        <v>3286.8159999999998</v>
      </c>
      <c r="H43" s="7">
        <f t="shared" si="34"/>
        <v>3375.8640000000005</v>
      </c>
      <c r="I43" s="7">
        <f t="shared" si="34"/>
        <v>3466.44</v>
      </c>
      <c r="J43" s="7">
        <f t="shared" si="34"/>
        <v>3559.5440000000003</v>
      </c>
      <c r="K43" s="14">
        <f t="shared" si="34"/>
        <v>3647.1440000000002</v>
      </c>
      <c r="L43" s="14">
        <f t="shared" si="34"/>
        <v>3753.3120000000004</v>
      </c>
      <c r="M43" s="14">
        <f t="shared" si="34"/>
        <v>3854.232</v>
      </c>
      <c r="N43" s="14">
        <f t="shared" si="34"/>
        <v>3957.7759999999998</v>
      </c>
      <c r="O43" s="14">
        <f t="shared" si="34"/>
        <v>4065.0320000000002</v>
      </c>
      <c r="P43" s="14">
        <f t="shared" si="34"/>
        <v>4174.384</v>
      </c>
      <c r="Q43" s="14">
        <f t="shared" si="34"/>
        <v>4286.7119999999995</v>
      </c>
      <c r="R43" s="14">
        <f t="shared" si="34"/>
        <v>4402.0560000000005</v>
      </c>
      <c r="S43" s="14">
        <f t="shared" si="34"/>
        <v>4520.5599999999995</v>
      </c>
      <c r="T43" s="14">
        <f t="shared" si="34"/>
        <v>4642.2559999999994</v>
      </c>
    </row>
    <row r="44" spans="1:20" s="13" customFormat="1" ht="22.5">
      <c r="A44" s="184"/>
      <c r="B44" s="185"/>
      <c r="C44" s="195"/>
      <c r="D44" s="185"/>
      <c r="E44" s="187"/>
      <c r="F44" s="6" t="s">
        <v>24</v>
      </c>
      <c r="G44" s="7">
        <f t="shared" ref="G44:T44" si="35">G43*2.167</f>
        <v>7122.5302719999991</v>
      </c>
      <c r="H44" s="7">
        <f t="shared" si="35"/>
        <v>7315.4972880000005</v>
      </c>
      <c r="I44" s="7">
        <f t="shared" si="35"/>
        <v>7511.7754799999993</v>
      </c>
      <c r="J44" s="7">
        <f t="shared" si="35"/>
        <v>7713.5318479999996</v>
      </c>
      <c r="K44" s="14">
        <f t="shared" si="35"/>
        <v>7903.3610479999998</v>
      </c>
      <c r="L44" s="14">
        <f t="shared" si="35"/>
        <v>8133.4271040000003</v>
      </c>
      <c r="M44" s="14">
        <f t="shared" si="35"/>
        <v>8352.1207439999998</v>
      </c>
      <c r="N44" s="14">
        <f t="shared" si="35"/>
        <v>8576.5005919999985</v>
      </c>
      <c r="O44" s="14">
        <f t="shared" si="35"/>
        <v>8808.9243439999991</v>
      </c>
      <c r="P44" s="14">
        <f t="shared" si="35"/>
        <v>9045.8901279999991</v>
      </c>
      <c r="Q44" s="14">
        <f t="shared" si="35"/>
        <v>9289.3049039999987</v>
      </c>
      <c r="R44" s="14">
        <f t="shared" si="35"/>
        <v>9539.2553520000001</v>
      </c>
      <c r="S44" s="14">
        <f t="shared" si="35"/>
        <v>9796.0535199999977</v>
      </c>
      <c r="T44" s="14">
        <f t="shared" si="35"/>
        <v>10059.768751999998</v>
      </c>
    </row>
    <row r="45" spans="1:20" s="13" customFormat="1" ht="17.25" customHeight="1">
      <c r="A45" s="184"/>
      <c r="B45" s="185"/>
      <c r="C45" s="195"/>
      <c r="D45" s="185"/>
      <c r="E45" s="188"/>
      <c r="F45" s="6" t="s">
        <v>26</v>
      </c>
      <c r="G45" s="7">
        <f t="shared" ref="G45:T45" si="36">G44*12</f>
        <v>85470.363263999985</v>
      </c>
      <c r="H45" s="7">
        <f t="shared" si="36"/>
        <v>87785.967456000013</v>
      </c>
      <c r="I45" s="7">
        <f t="shared" si="36"/>
        <v>90141.305759999988</v>
      </c>
      <c r="J45" s="7">
        <f t="shared" si="36"/>
        <v>92562.382175999999</v>
      </c>
      <c r="K45" s="7">
        <f t="shared" si="36"/>
        <v>94840.332576000001</v>
      </c>
      <c r="L45" s="7">
        <f t="shared" si="36"/>
        <v>97601.125247999997</v>
      </c>
      <c r="M45" s="7">
        <f t="shared" si="36"/>
        <v>100225.448928</v>
      </c>
      <c r="N45" s="7">
        <f t="shared" si="36"/>
        <v>102918.00710399999</v>
      </c>
      <c r="O45" s="7">
        <f t="shared" si="36"/>
        <v>105707.09212799999</v>
      </c>
      <c r="P45" s="7">
        <f t="shared" si="36"/>
        <v>108550.68153599999</v>
      </c>
      <c r="Q45" s="7">
        <f t="shared" si="36"/>
        <v>111471.65884799999</v>
      </c>
      <c r="R45" s="7">
        <f t="shared" si="36"/>
        <v>114471.064224</v>
      </c>
      <c r="S45" s="7">
        <f t="shared" si="36"/>
        <v>117552.64223999997</v>
      </c>
      <c r="T45" s="7">
        <f t="shared" si="36"/>
        <v>120717.22502399998</v>
      </c>
    </row>
  </sheetData>
  <mergeCells count="56">
    <mergeCell ref="A42:A45"/>
    <mergeCell ref="B42:B45"/>
    <mergeCell ref="C42:C45"/>
    <mergeCell ref="D42:D45"/>
    <mergeCell ref="E42:E45"/>
    <mergeCell ref="A34:A37"/>
    <mergeCell ref="B34:B37"/>
    <mergeCell ref="C34:C37"/>
    <mergeCell ref="D34:D37"/>
    <mergeCell ref="E34:E37"/>
    <mergeCell ref="A38:A41"/>
    <mergeCell ref="B38:B41"/>
    <mergeCell ref="C38:C41"/>
    <mergeCell ref="D38:D41"/>
    <mergeCell ref="E38:E41"/>
    <mergeCell ref="A26:A29"/>
    <mergeCell ref="B26:B29"/>
    <mergeCell ref="C26:C29"/>
    <mergeCell ref="D26:D29"/>
    <mergeCell ref="E26:E29"/>
    <mergeCell ref="A30:A33"/>
    <mergeCell ref="B30:B33"/>
    <mergeCell ref="C30:C33"/>
    <mergeCell ref="D30:D33"/>
    <mergeCell ref="E30:E33"/>
    <mergeCell ref="A18:A21"/>
    <mergeCell ref="B18:B21"/>
    <mergeCell ref="C18:C21"/>
    <mergeCell ref="D18:D21"/>
    <mergeCell ref="E18:E21"/>
    <mergeCell ref="A22:A25"/>
    <mergeCell ref="B22:B25"/>
    <mergeCell ref="C22:C25"/>
    <mergeCell ref="D22:D25"/>
    <mergeCell ref="E22:E25"/>
    <mergeCell ref="A10:A13"/>
    <mergeCell ref="B10:B13"/>
    <mergeCell ref="C10:C13"/>
    <mergeCell ref="D10:D13"/>
    <mergeCell ref="E10:E13"/>
    <mergeCell ref="A14:A17"/>
    <mergeCell ref="B14:B17"/>
    <mergeCell ref="C14:C17"/>
    <mergeCell ref="D14:D17"/>
    <mergeCell ref="E14:E17"/>
    <mergeCell ref="G4:G5"/>
    <mergeCell ref="A6:A9"/>
    <mergeCell ref="B6:B9"/>
    <mergeCell ref="C6:C9"/>
    <mergeCell ref="D6:D9"/>
    <mergeCell ref="E6:E9"/>
    <mergeCell ref="A2:A5"/>
    <mergeCell ref="B2:B5"/>
    <mergeCell ref="C2:C5"/>
    <mergeCell ref="D2:D5"/>
    <mergeCell ref="E2:E5"/>
  </mergeCells>
  <pageMargins left="0.25" right="0.25" top="0.75" bottom="0.75" header="0.3" footer="0.3"/>
  <pageSetup paperSize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5"/>
  <sheetViews>
    <sheetView showGridLines="0" tabSelected="1" zoomScaleNormal="100" workbookViewId="0">
      <selection activeCell="F61" sqref="F61"/>
    </sheetView>
  </sheetViews>
  <sheetFormatPr defaultColWidth="9.140625" defaultRowHeight="15"/>
  <cols>
    <col min="1" max="1" width="2.140625" style="87" customWidth="1"/>
    <col min="2" max="2" width="59.85546875" style="87" customWidth="1"/>
    <col min="3" max="3" width="10.42578125" style="87" customWidth="1"/>
    <col min="4" max="4" width="10.42578125" style="95" customWidth="1"/>
    <col min="5" max="5" width="11.28515625" style="87" bestFit="1" customWidth="1"/>
    <col min="6" max="6" width="11.140625" style="87" customWidth="1"/>
    <col min="7" max="7" width="12.7109375" style="87" customWidth="1"/>
    <col min="8" max="8" width="15" style="87" customWidth="1"/>
    <col min="9" max="9" width="22.140625" style="87" bestFit="1" customWidth="1"/>
    <col min="10" max="10" width="22.140625" style="87" hidden="1" customWidth="1"/>
    <col min="11" max="11" width="15.42578125" style="87" hidden="1" customWidth="1"/>
    <col min="12" max="16384" width="9.140625" style="87"/>
  </cols>
  <sheetData>
    <row r="1" spans="2:11">
      <c r="B1" s="202" t="s">
        <v>63</v>
      </c>
      <c r="C1" s="202"/>
      <c r="D1" s="202"/>
      <c r="E1" s="202"/>
      <c r="F1" s="202"/>
      <c r="G1" s="202"/>
      <c r="H1" s="202"/>
      <c r="I1" s="202"/>
      <c r="J1" s="90"/>
      <c r="K1" s="91"/>
    </row>
    <row r="2" spans="2:11" ht="15.75" thickBot="1">
      <c r="B2" s="202" t="s">
        <v>229</v>
      </c>
      <c r="C2" s="202"/>
      <c r="D2" s="202"/>
      <c r="E2" s="202"/>
      <c r="F2" s="202"/>
      <c r="G2" s="202"/>
      <c r="H2" s="202"/>
      <c r="I2" s="202"/>
      <c r="J2" s="90"/>
    </row>
    <row r="3" spans="2:11" s="92" customFormat="1" ht="31.5" customHeight="1">
      <c r="B3" s="80" t="s">
        <v>64</v>
      </c>
      <c r="C3" s="64" t="s">
        <v>65</v>
      </c>
      <c r="D3" s="64" t="s">
        <v>66</v>
      </c>
      <c r="E3" s="64" t="s">
        <v>67</v>
      </c>
      <c r="F3" s="64" t="s">
        <v>68</v>
      </c>
      <c r="G3" s="81" t="s">
        <v>69</v>
      </c>
      <c r="H3" s="81" t="s">
        <v>70</v>
      </c>
      <c r="I3" s="82" t="s">
        <v>71</v>
      </c>
      <c r="J3" s="84" t="s">
        <v>72</v>
      </c>
      <c r="K3" s="84" t="s">
        <v>73</v>
      </c>
    </row>
    <row r="4" spans="2:11" ht="15" customHeight="1">
      <c r="B4" s="67" t="s">
        <v>46</v>
      </c>
      <c r="C4" s="42">
        <v>4</v>
      </c>
      <c r="D4" s="40">
        <v>6</v>
      </c>
      <c r="E4" s="31">
        <v>43525</v>
      </c>
      <c r="F4" s="40" t="s">
        <v>74</v>
      </c>
      <c r="G4" s="32">
        <f>'Exhibit A Table 2 Salary Sched'!J114</f>
        <v>9164.0433333333331</v>
      </c>
      <c r="H4" s="32">
        <f>'Exhibit A Table 2 Salary Sched'!J115</f>
        <v>11103.813333333334</v>
      </c>
      <c r="I4" s="83" t="s">
        <v>75</v>
      </c>
      <c r="J4" s="57"/>
      <c r="K4" s="57"/>
    </row>
    <row r="5" spans="2:11" ht="15" customHeight="1">
      <c r="B5" s="67" t="s">
        <v>76</v>
      </c>
      <c r="C5" s="42">
        <v>14</v>
      </c>
      <c r="D5" s="40">
        <v>1</v>
      </c>
      <c r="E5" s="31">
        <v>43466</v>
      </c>
      <c r="F5" s="40" t="s">
        <v>74</v>
      </c>
      <c r="G5" s="32">
        <f>'Exhibit A Table 2 Salary Sched'!$T$107</f>
        <v>11686.543333333333</v>
      </c>
      <c r="H5" s="32">
        <f>'Exhibit A Table 2 Salary Sched'!$T$108</f>
        <v>13626.313333333332</v>
      </c>
      <c r="I5" s="83" t="s">
        <v>75</v>
      </c>
      <c r="J5" s="57" t="s">
        <v>77</v>
      </c>
      <c r="K5" s="57" t="s">
        <v>78</v>
      </c>
    </row>
    <row r="6" spans="2:11" ht="15" customHeight="1">
      <c r="B6" s="67" t="s">
        <v>76</v>
      </c>
      <c r="C6" s="42">
        <v>12</v>
      </c>
      <c r="D6" s="40">
        <v>1</v>
      </c>
      <c r="E6" s="31">
        <v>43525</v>
      </c>
      <c r="F6" s="40" t="s">
        <v>74</v>
      </c>
      <c r="G6" s="32">
        <f>'Exhibit A Table 2 Salary Sched'!R107</f>
        <v>11271.05</v>
      </c>
      <c r="H6" s="32">
        <f>'Exhibit A Table 2 Salary Sched'!R108</f>
        <v>13210.82</v>
      </c>
      <c r="I6" s="83" t="s">
        <v>79</v>
      </c>
      <c r="J6" s="57"/>
      <c r="K6" s="57" t="s">
        <v>80</v>
      </c>
    </row>
    <row r="7" spans="2:11" ht="15" customHeight="1">
      <c r="B7" s="67" t="s">
        <v>76</v>
      </c>
      <c r="C7" s="42">
        <v>10</v>
      </c>
      <c r="D7" s="40">
        <v>1</v>
      </c>
      <c r="E7" s="31">
        <v>43525</v>
      </c>
      <c r="F7" s="41" t="s">
        <v>74</v>
      </c>
      <c r="G7" s="32">
        <f>'Exhibit A Table 2 Salary Sched'!P107</f>
        <v>10873.006666666666</v>
      </c>
      <c r="H7" s="32">
        <f>'Exhibit A Table 2 Salary Sched'!P108</f>
        <v>12812.776666666667</v>
      </c>
      <c r="I7" s="83" t="s">
        <v>79</v>
      </c>
      <c r="J7" s="57"/>
      <c r="K7" s="57" t="s">
        <v>81</v>
      </c>
    </row>
    <row r="8" spans="2:11" ht="15" customHeight="1">
      <c r="B8" s="67" t="s">
        <v>122</v>
      </c>
      <c r="C8" s="26">
        <v>12</v>
      </c>
      <c r="D8" s="40">
        <v>1</v>
      </c>
      <c r="E8" s="31">
        <v>43525</v>
      </c>
      <c r="F8" s="41" t="s">
        <v>74</v>
      </c>
      <c r="G8" s="32">
        <f>'Exhibit A Table 2 Salary Sched'!R16</f>
        <v>16932.466666666667</v>
      </c>
      <c r="H8" s="32">
        <f>'Exhibit A Table 2 Salary Sched'!R17</f>
        <v>18872.236666666668</v>
      </c>
      <c r="I8" s="83" t="s">
        <v>79</v>
      </c>
      <c r="J8" s="57"/>
      <c r="K8" s="57" t="s">
        <v>82</v>
      </c>
    </row>
    <row r="9" spans="2:11" ht="15" customHeight="1">
      <c r="B9" s="67" t="s">
        <v>56</v>
      </c>
      <c r="C9" s="51" t="s">
        <v>88</v>
      </c>
      <c r="D9" s="40">
        <v>1</v>
      </c>
      <c r="E9" s="31">
        <v>43466</v>
      </c>
      <c r="F9" s="40" t="s">
        <v>74</v>
      </c>
      <c r="G9" s="32">
        <f>'Exhibit A Table 2 Salary Sched'!G191</f>
        <v>6648.7246666666661</v>
      </c>
      <c r="H9" s="32">
        <f>'Exhibit A Table 2 Salary Sched'!T192</f>
        <v>10073.871333333333</v>
      </c>
      <c r="I9" s="83" t="s">
        <v>75</v>
      </c>
      <c r="J9" s="57" t="s">
        <v>89</v>
      </c>
      <c r="K9" s="57" t="s">
        <v>90</v>
      </c>
    </row>
    <row r="10" spans="2:11" ht="15" customHeight="1">
      <c r="B10" s="67" t="s">
        <v>92</v>
      </c>
      <c r="C10" s="51">
        <v>1</v>
      </c>
      <c r="D10" s="40">
        <v>1</v>
      </c>
      <c r="E10" s="41">
        <v>43466</v>
      </c>
      <c r="F10" s="41" t="s">
        <v>74</v>
      </c>
      <c r="G10" s="32">
        <f>'Exhibit A Table 2 Salary Sched'!G198</f>
        <v>6138.65</v>
      </c>
      <c r="H10" s="32">
        <f>'Exhibit A Table 2 Salary Sched'!G199</f>
        <v>8078.42</v>
      </c>
      <c r="I10" s="83" t="s">
        <v>75</v>
      </c>
      <c r="J10" s="57" t="s">
        <v>77</v>
      </c>
      <c r="K10" s="93" t="s">
        <v>93</v>
      </c>
    </row>
    <row r="11" spans="2:11" ht="15" customHeight="1">
      <c r="B11" s="67" t="s">
        <v>95</v>
      </c>
      <c r="C11" s="42">
        <v>13</v>
      </c>
      <c r="D11" s="40">
        <v>1</v>
      </c>
      <c r="E11" s="31">
        <v>43525</v>
      </c>
      <c r="F11" s="40" t="s">
        <v>74</v>
      </c>
      <c r="G11" s="32">
        <f>'Exhibit A Table 2 Salary Sched'!S37</f>
        <v>11474.920000000002</v>
      </c>
      <c r="H11" s="32">
        <f>'Exhibit A Table 2 Salary Sched'!S38</f>
        <v>13414.690000000002</v>
      </c>
      <c r="I11" s="83" t="s">
        <v>79</v>
      </c>
      <c r="J11" s="57"/>
      <c r="K11" s="57" t="s">
        <v>96</v>
      </c>
    </row>
    <row r="12" spans="2:11" ht="17.25">
      <c r="B12" s="67" t="s">
        <v>53</v>
      </c>
      <c r="C12" s="42">
        <v>14</v>
      </c>
      <c r="D12" s="40">
        <v>1</v>
      </c>
      <c r="E12" s="41">
        <v>43525</v>
      </c>
      <c r="F12" s="41" t="s">
        <v>74</v>
      </c>
      <c r="G12" s="32">
        <f>'Exhibit A Table 2 Salary Sched'!T128</f>
        <v>10873.006666666666</v>
      </c>
      <c r="H12" s="32">
        <f>'Exhibit A Table 2 Salary Sched'!T129</f>
        <v>12812.776666666667</v>
      </c>
      <c r="I12" s="83" t="s">
        <v>75</v>
      </c>
      <c r="J12" s="57"/>
      <c r="K12" s="57"/>
    </row>
    <row r="13" spans="2:11" ht="17.25">
      <c r="B13" s="67" t="s">
        <v>37</v>
      </c>
      <c r="C13" s="42">
        <v>13</v>
      </c>
      <c r="D13" s="40">
        <v>1</v>
      </c>
      <c r="E13" s="41">
        <v>43525</v>
      </c>
      <c r="F13" s="41" t="s">
        <v>74</v>
      </c>
      <c r="G13" s="32">
        <f>'Exhibit A Table 2 Salary Sched'!S44</f>
        <v>14682.136666666667</v>
      </c>
      <c r="H13" s="32">
        <f>'Exhibit A Table 2 Salary Sched'!S45</f>
        <v>16621.906666666669</v>
      </c>
      <c r="I13" s="83" t="s">
        <v>105</v>
      </c>
      <c r="J13" s="57"/>
      <c r="K13" s="57"/>
    </row>
    <row r="14" spans="2:11" ht="17.25">
      <c r="B14" s="67" t="s">
        <v>209</v>
      </c>
      <c r="C14" s="51" t="s">
        <v>88</v>
      </c>
      <c r="D14" s="40">
        <v>1</v>
      </c>
      <c r="E14" s="41">
        <v>43709</v>
      </c>
      <c r="F14" s="41" t="s">
        <v>74</v>
      </c>
      <c r="G14" s="32">
        <f>'Exhibit A Table 2 Salary Sched'!G51</f>
        <v>13337.029999999999</v>
      </c>
      <c r="H14" s="32">
        <f>'Exhibit A Table 2 Salary Sched'!T52</f>
        <v>20553.214224254003</v>
      </c>
      <c r="I14" s="83" t="s">
        <v>75</v>
      </c>
      <c r="J14" s="57"/>
      <c r="K14" s="57"/>
    </row>
    <row r="15" spans="2:11" ht="17.25">
      <c r="B15" s="67" t="s">
        <v>210</v>
      </c>
      <c r="C15" s="51" t="s">
        <v>88</v>
      </c>
      <c r="D15" s="40">
        <v>1</v>
      </c>
      <c r="E15" s="41">
        <v>43709</v>
      </c>
      <c r="F15" s="41" t="s">
        <v>74</v>
      </c>
      <c r="G15" s="32">
        <f>'Exhibit A Table 2 Salary Sched'!G58</f>
        <v>13337.029999999999</v>
      </c>
      <c r="H15" s="32">
        <f>'Exhibit A Table 2 Salary Sched'!T59</f>
        <v>20553.214224254003</v>
      </c>
      <c r="I15" s="83" t="s">
        <v>75</v>
      </c>
      <c r="J15" s="57"/>
      <c r="K15" s="57"/>
    </row>
    <row r="16" spans="2:11" ht="17.25">
      <c r="B16" s="67" t="s">
        <v>211</v>
      </c>
      <c r="C16" s="51" t="s">
        <v>88</v>
      </c>
      <c r="D16" s="40">
        <v>1</v>
      </c>
      <c r="E16" s="41">
        <v>43709</v>
      </c>
      <c r="F16" s="41" t="s">
        <v>74</v>
      </c>
      <c r="G16" s="32">
        <f>'Exhibit A Table 2 Salary Sched'!G65</f>
        <v>14111.32</v>
      </c>
      <c r="H16" s="32">
        <f>'Exhibit A Table 2 Salary Sched'!T66</f>
        <v>21721.517855058479</v>
      </c>
      <c r="I16" s="83" t="s">
        <v>75</v>
      </c>
      <c r="J16" s="57"/>
      <c r="K16" s="57"/>
    </row>
    <row r="17" spans="2:11" ht="17.25">
      <c r="B17" s="67" t="s">
        <v>129</v>
      </c>
      <c r="C17" s="51" t="s">
        <v>88</v>
      </c>
      <c r="D17" s="40">
        <v>1</v>
      </c>
      <c r="E17" s="41">
        <v>43709</v>
      </c>
      <c r="F17" s="41" t="s">
        <v>74</v>
      </c>
      <c r="G17" s="32">
        <f>'Exhibit A Table 2 Salary Sched'!G72</f>
        <v>13337.029999999999</v>
      </c>
      <c r="H17" s="32">
        <f>'Exhibit A Table 2 Salary Sched'!T73</f>
        <v>20553.214224254003</v>
      </c>
      <c r="I17" s="83" t="s">
        <v>75</v>
      </c>
      <c r="J17" s="57"/>
      <c r="K17" s="57"/>
    </row>
    <row r="18" spans="2:11" ht="17.25">
      <c r="B18" s="67" t="s">
        <v>216</v>
      </c>
      <c r="C18" s="51" t="s">
        <v>88</v>
      </c>
      <c r="D18" s="40">
        <v>1</v>
      </c>
      <c r="E18" s="41">
        <v>43709</v>
      </c>
      <c r="F18" s="41" t="s">
        <v>74</v>
      </c>
      <c r="G18" s="32">
        <f>'Exhibit A Table 2 Salary Sched'!G79</f>
        <v>13336</v>
      </c>
      <c r="H18" s="32">
        <f>'Exhibit A Table 2 Salary Sched'!T80</f>
        <v>20553.214224254003</v>
      </c>
      <c r="I18" s="83" t="s">
        <v>75</v>
      </c>
      <c r="J18" s="57"/>
      <c r="K18" s="57"/>
    </row>
    <row r="19" spans="2:11" ht="17.25">
      <c r="B19" s="67" t="s">
        <v>217</v>
      </c>
      <c r="C19" s="51" t="s">
        <v>88</v>
      </c>
      <c r="D19" s="94" t="s">
        <v>221</v>
      </c>
      <c r="E19" s="41">
        <v>43709</v>
      </c>
      <c r="F19" s="41" t="s">
        <v>74</v>
      </c>
      <c r="G19" s="32">
        <f>'Exhibit A Table 2 Salary Sched'!G86</f>
        <v>10617.27</v>
      </c>
      <c r="H19" s="32">
        <f>'Exhibit A Table 2 Salary Sched'!T87</f>
        <v>14927.08</v>
      </c>
      <c r="I19" s="83" t="s">
        <v>75</v>
      </c>
      <c r="J19" s="57"/>
      <c r="K19" s="57"/>
    </row>
    <row r="20" spans="2:11" ht="17.25">
      <c r="B20" s="67" t="s">
        <v>218</v>
      </c>
      <c r="C20" s="51" t="s">
        <v>88</v>
      </c>
      <c r="D20" s="94" t="s">
        <v>221</v>
      </c>
      <c r="E20" s="41">
        <v>43709</v>
      </c>
      <c r="F20" s="41" t="s">
        <v>74</v>
      </c>
      <c r="G20" s="32">
        <f>'Exhibit A Table 2 Salary Sched'!G93</f>
        <v>12321.52</v>
      </c>
      <c r="H20" s="32">
        <f>'Exhibit A Table 2 Salary Sched'!T94</f>
        <v>17160.89</v>
      </c>
      <c r="I20" s="83" t="s">
        <v>75</v>
      </c>
      <c r="J20" s="57"/>
      <c r="K20" s="57"/>
    </row>
    <row r="21" spans="2:11" ht="17.25">
      <c r="B21" s="67" t="s">
        <v>219</v>
      </c>
      <c r="C21" s="51" t="s">
        <v>88</v>
      </c>
      <c r="D21" s="40">
        <v>1</v>
      </c>
      <c r="E21" s="41">
        <v>43709</v>
      </c>
      <c r="F21" s="41" t="s">
        <v>74</v>
      </c>
      <c r="G21" s="32">
        <v>12321.52</v>
      </c>
      <c r="H21" s="32">
        <v>17160.89</v>
      </c>
      <c r="I21" s="83" t="s">
        <v>75</v>
      </c>
      <c r="J21" s="57"/>
      <c r="K21" s="57"/>
    </row>
    <row r="22" spans="2:11" ht="17.25">
      <c r="B22" s="67" t="s">
        <v>108</v>
      </c>
      <c r="C22" s="51" t="s">
        <v>88</v>
      </c>
      <c r="D22" s="94" t="s">
        <v>222</v>
      </c>
      <c r="E22" s="41">
        <v>43709</v>
      </c>
      <c r="F22" s="41" t="s">
        <v>74</v>
      </c>
      <c r="G22" s="32">
        <f>'Exhibit A Table 2 Salary Sched'!G135</f>
        <v>11302.66</v>
      </c>
      <c r="H22" s="32">
        <f>'Exhibit A Table 2 Salary Sched'!T136</f>
        <v>15825.29</v>
      </c>
      <c r="I22" s="83" t="s">
        <v>75</v>
      </c>
      <c r="J22" s="57"/>
      <c r="K22" s="57"/>
    </row>
    <row r="23" spans="2:11" ht="17.25">
      <c r="B23" s="67" t="s">
        <v>212</v>
      </c>
      <c r="C23" s="51" t="s">
        <v>88</v>
      </c>
      <c r="D23" s="94" t="s">
        <v>220</v>
      </c>
      <c r="E23" s="41">
        <v>43709</v>
      </c>
      <c r="F23" s="41" t="s">
        <v>74</v>
      </c>
      <c r="G23" s="32">
        <f>'Exhibit A Table 2 Salary Sched'!G142</f>
        <v>11302.66</v>
      </c>
      <c r="H23" s="32">
        <f>'Exhibit A Table 2 Salary Sched'!T143</f>
        <v>15825.29</v>
      </c>
      <c r="I23" s="83" t="s">
        <v>75</v>
      </c>
      <c r="J23" s="57"/>
      <c r="K23" s="57"/>
    </row>
    <row r="24" spans="2:11" ht="17.25">
      <c r="B24" s="67" t="s">
        <v>213</v>
      </c>
      <c r="C24" s="51" t="s">
        <v>88</v>
      </c>
      <c r="D24" s="94" t="s">
        <v>220</v>
      </c>
      <c r="E24" s="41">
        <v>43709</v>
      </c>
      <c r="F24" s="41" t="s">
        <v>74</v>
      </c>
      <c r="G24" s="32">
        <f>'Exhibit A Table 2 Salary Sched'!G149</f>
        <v>12321.52</v>
      </c>
      <c r="H24" s="32">
        <f>'Exhibit A Table 2 Salary Sched'!T150</f>
        <v>17160.89</v>
      </c>
      <c r="I24" s="83" t="s">
        <v>75</v>
      </c>
      <c r="J24" s="57"/>
      <c r="K24" s="57"/>
    </row>
    <row r="25" spans="2:11" ht="17.25">
      <c r="B25" s="67" t="s">
        <v>214</v>
      </c>
      <c r="C25" s="51" t="s">
        <v>88</v>
      </c>
      <c r="D25" s="94" t="s">
        <v>220</v>
      </c>
      <c r="E25" s="41">
        <v>43709</v>
      </c>
      <c r="F25" s="41" t="s">
        <v>74</v>
      </c>
      <c r="G25" s="32">
        <f>'Exhibit A Table 2 Salary Sched'!G156</f>
        <v>12321.52</v>
      </c>
      <c r="H25" s="32">
        <f>'Exhibit A Table 2 Salary Sched'!T157</f>
        <v>17160.89</v>
      </c>
      <c r="I25" s="83" t="s">
        <v>75</v>
      </c>
      <c r="J25" s="57"/>
      <c r="K25" s="57"/>
    </row>
    <row r="26" spans="2:11" s="144" customFormat="1" ht="17.25">
      <c r="B26" s="67" t="s">
        <v>223</v>
      </c>
      <c r="C26" s="163" t="s">
        <v>88</v>
      </c>
      <c r="D26" s="94">
        <v>1</v>
      </c>
      <c r="E26" s="41">
        <v>43709</v>
      </c>
      <c r="F26" s="41" t="s">
        <v>74</v>
      </c>
      <c r="G26" s="32">
        <f>'Exhibit A Table 2 Salary Sched'!G163</f>
        <v>12321.52</v>
      </c>
      <c r="H26" s="32">
        <f>'Exhibit A Table 2 Salary Sched'!T164</f>
        <v>17160.89</v>
      </c>
      <c r="I26" s="83" t="s">
        <v>79</v>
      </c>
      <c r="J26" s="145"/>
      <c r="K26" s="145"/>
    </row>
    <row r="27" spans="2:11" s="144" customFormat="1" ht="17.25">
      <c r="B27" s="67" t="s">
        <v>224</v>
      </c>
      <c r="C27" s="163" t="s">
        <v>88</v>
      </c>
      <c r="D27" s="94">
        <v>1</v>
      </c>
      <c r="E27" s="41">
        <v>43709</v>
      </c>
      <c r="F27" s="41" t="s">
        <v>74</v>
      </c>
      <c r="G27" s="32">
        <f>'Exhibit A Table 2 Salary Sched'!G170</f>
        <v>12321.52</v>
      </c>
      <c r="H27" s="32">
        <f>'Exhibit A Table 2 Salary Sched'!T171</f>
        <v>17160.89</v>
      </c>
      <c r="I27" s="83" t="s">
        <v>79</v>
      </c>
      <c r="J27" s="145"/>
      <c r="K27" s="145"/>
    </row>
    <row r="28" spans="2:11" s="144" customFormat="1" ht="17.25">
      <c r="B28" s="67" t="s">
        <v>225</v>
      </c>
      <c r="C28" s="163" t="s">
        <v>88</v>
      </c>
      <c r="D28" s="164" t="s">
        <v>222</v>
      </c>
      <c r="E28" s="41">
        <v>43709</v>
      </c>
      <c r="F28" s="41" t="s">
        <v>74</v>
      </c>
      <c r="G28" s="32">
        <f>'Exhibit A Table 2 Salary Sched'!G177</f>
        <v>9818.9599999999991</v>
      </c>
      <c r="H28" s="32">
        <f>'Exhibit A Table 2 Salary Sched'!T178</f>
        <v>13879.959999999995</v>
      </c>
      <c r="I28" s="83" t="s">
        <v>79</v>
      </c>
      <c r="J28" s="145"/>
      <c r="K28" s="145"/>
    </row>
    <row r="29" spans="2:11" s="144" customFormat="1" ht="17.25">
      <c r="B29" s="67" t="s">
        <v>226</v>
      </c>
      <c r="C29" s="163" t="s">
        <v>88</v>
      </c>
      <c r="D29" s="94" t="s">
        <v>222</v>
      </c>
      <c r="E29" s="41">
        <v>43709</v>
      </c>
      <c r="F29" s="41" t="s">
        <v>74</v>
      </c>
      <c r="G29" s="32">
        <f>'Exhibit A Table 2 Salary Sched'!G184</f>
        <v>9685.73</v>
      </c>
      <c r="H29" s="32">
        <f>'Exhibit A Table 2 Salary Sched'!T185</f>
        <v>13705.279999999999</v>
      </c>
      <c r="I29" s="83" t="s">
        <v>79</v>
      </c>
      <c r="J29" s="145"/>
      <c r="K29" s="145"/>
    </row>
    <row r="30" spans="2:11" ht="15" customHeight="1">
      <c r="B30" s="67" t="s">
        <v>97</v>
      </c>
      <c r="C30" s="42" t="s">
        <v>83</v>
      </c>
      <c r="D30" s="40" t="s">
        <v>83</v>
      </c>
      <c r="E30" s="41">
        <v>43517</v>
      </c>
      <c r="F30" s="41" t="s">
        <v>87</v>
      </c>
      <c r="G30" s="32">
        <v>125</v>
      </c>
      <c r="H30" s="32">
        <v>215</v>
      </c>
      <c r="I30" s="83" t="s">
        <v>98</v>
      </c>
      <c r="J30" s="57"/>
      <c r="K30" s="57" t="s">
        <v>77</v>
      </c>
    </row>
    <row r="31" spans="2:11" ht="15" customHeight="1">
      <c r="B31" s="67" t="s">
        <v>99</v>
      </c>
      <c r="C31" s="42" t="s">
        <v>83</v>
      </c>
      <c r="D31" s="40" t="s">
        <v>83</v>
      </c>
      <c r="E31" s="41">
        <v>43517</v>
      </c>
      <c r="F31" s="41" t="s">
        <v>87</v>
      </c>
      <c r="G31" s="32">
        <v>120</v>
      </c>
      <c r="H31" s="32">
        <v>195</v>
      </c>
      <c r="I31" s="83" t="s">
        <v>98</v>
      </c>
      <c r="J31" s="57"/>
      <c r="K31" s="57" t="s">
        <v>77</v>
      </c>
    </row>
    <row r="32" spans="2:11" ht="15" customHeight="1">
      <c r="B32" s="67" t="s">
        <v>100</v>
      </c>
      <c r="C32" s="42" t="s">
        <v>83</v>
      </c>
      <c r="D32" s="40" t="s">
        <v>83</v>
      </c>
      <c r="E32" s="41">
        <v>43517</v>
      </c>
      <c r="F32" s="41" t="s">
        <v>87</v>
      </c>
      <c r="G32" s="32">
        <v>105</v>
      </c>
      <c r="H32" s="32">
        <v>160</v>
      </c>
      <c r="I32" s="83" t="s">
        <v>98</v>
      </c>
      <c r="J32" s="57"/>
      <c r="K32" s="57" t="s">
        <v>77</v>
      </c>
    </row>
    <row r="33" spans="2:11" ht="15" customHeight="1">
      <c r="B33" s="67" t="s">
        <v>101</v>
      </c>
      <c r="C33" s="42" t="s">
        <v>83</v>
      </c>
      <c r="D33" s="40" t="s">
        <v>83</v>
      </c>
      <c r="E33" s="41">
        <v>43517</v>
      </c>
      <c r="F33" s="41" t="s">
        <v>87</v>
      </c>
      <c r="G33" s="32">
        <v>95</v>
      </c>
      <c r="H33" s="32">
        <v>125</v>
      </c>
      <c r="I33" s="83" t="s">
        <v>98</v>
      </c>
      <c r="J33" s="57"/>
      <c r="K33" s="57" t="s">
        <v>77</v>
      </c>
    </row>
    <row r="34" spans="2:11" ht="15" customHeight="1">
      <c r="B34" s="67" t="s">
        <v>102</v>
      </c>
      <c r="C34" s="42" t="s">
        <v>83</v>
      </c>
      <c r="D34" s="40" t="s">
        <v>83</v>
      </c>
      <c r="E34" s="41">
        <v>43517</v>
      </c>
      <c r="F34" s="41" t="s">
        <v>87</v>
      </c>
      <c r="G34" s="32">
        <v>75</v>
      </c>
      <c r="H34" s="32">
        <v>120</v>
      </c>
      <c r="I34" s="83" t="s">
        <v>98</v>
      </c>
      <c r="J34" s="57"/>
      <c r="K34" s="57" t="s">
        <v>77</v>
      </c>
    </row>
    <row r="35" spans="2:11" ht="15" customHeight="1">
      <c r="B35" s="67" t="s">
        <v>103</v>
      </c>
      <c r="C35" s="42" t="s">
        <v>83</v>
      </c>
      <c r="D35" s="40" t="s">
        <v>83</v>
      </c>
      <c r="E35" s="41">
        <v>43517</v>
      </c>
      <c r="F35" s="41" t="s">
        <v>87</v>
      </c>
      <c r="G35" s="32">
        <v>115</v>
      </c>
      <c r="H35" s="32">
        <v>190</v>
      </c>
      <c r="I35" s="83" t="s">
        <v>98</v>
      </c>
      <c r="J35" s="57"/>
      <c r="K35" s="57" t="s">
        <v>77</v>
      </c>
    </row>
    <row r="36" spans="2:11">
      <c r="B36" s="67" t="s">
        <v>104</v>
      </c>
      <c r="C36" s="42" t="s">
        <v>83</v>
      </c>
      <c r="D36" s="40" t="s">
        <v>83</v>
      </c>
      <c r="E36" s="41">
        <v>43517</v>
      </c>
      <c r="F36" s="41" t="s">
        <v>87</v>
      </c>
      <c r="G36" s="32">
        <v>65</v>
      </c>
      <c r="H36" s="32">
        <v>115</v>
      </c>
      <c r="I36" s="83" t="s">
        <v>98</v>
      </c>
      <c r="J36" s="57"/>
      <c r="K36" s="57" t="s">
        <v>77</v>
      </c>
    </row>
    <row r="37" spans="2:11" ht="15" customHeight="1">
      <c r="B37" s="67" t="s">
        <v>150</v>
      </c>
      <c r="C37" s="22" t="s">
        <v>83</v>
      </c>
      <c r="D37" s="40">
        <v>1</v>
      </c>
      <c r="E37" s="41">
        <v>43525</v>
      </c>
      <c r="F37" s="40" t="s">
        <v>74</v>
      </c>
      <c r="G37" s="32">
        <v>14914</v>
      </c>
      <c r="H37" s="32">
        <v>21096</v>
      </c>
      <c r="I37" s="83" t="s">
        <v>84</v>
      </c>
      <c r="J37" s="57"/>
      <c r="K37" s="57" t="s">
        <v>85</v>
      </c>
    </row>
    <row r="38" spans="2:11" ht="15" customHeight="1">
      <c r="B38" s="67" t="s">
        <v>94</v>
      </c>
      <c r="C38" s="42" t="s">
        <v>83</v>
      </c>
      <c r="D38" s="40">
        <v>3</v>
      </c>
      <c r="E38" s="41">
        <v>43524</v>
      </c>
      <c r="F38" s="41" t="s">
        <v>87</v>
      </c>
      <c r="G38" s="32">
        <v>152</v>
      </c>
      <c r="H38" s="32">
        <v>185</v>
      </c>
      <c r="I38" s="83" t="s">
        <v>79</v>
      </c>
      <c r="J38" s="57"/>
      <c r="K38" s="57" t="s">
        <v>77</v>
      </c>
    </row>
    <row r="39" spans="2:11" ht="15" customHeight="1">
      <c r="B39" s="67" t="s">
        <v>91</v>
      </c>
      <c r="C39" s="42" t="s">
        <v>83</v>
      </c>
      <c r="D39" s="40">
        <v>1</v>
      </c>
      <c r="E39" s="41">
        <v>42795</v>
      </c>
      <c r="F39" s="40" t="s">
        <v>87</v>
      </c>
      <c r="G39" s="32">
        <v>185</v>
      </c>
      <c r="H39" s="32">
        <v>185</v>
      </c>
      <c r="I39" s="83" t="s">
        <v>75</v>
      </c>
      <c r="J39" s="57"/>
      <c r="K39" s="57" t="s">
        <v>77</v>
      </c>
    </row>
    <row r="40" spans="2:11" ht="15" customHeight="1">
      <c r="B40" s="67" t="s">
        <v>86</v>
      </c>
      <c r="C40" s="26" t="s">
        <v>83</v>
      </c>
      <c r="D40" s="40">
        <v>1</v>
      </c>
      <c r="E40" s="41">
        <v>43417</v>
      </c>
      <c r="F40" s="41" t="s">
        <v>87</v>
      </c>
      <c r="G40" s="32">
        <v>185</v>
      </c>
      <c r="H40" s="32">
        <v>185</v>
      </c>
      <c r="I40" s="83" t="s">
        <v>79</v>
      </c>
      <c r="J40" s="57"/>
      <c r="K40" s="57" t="s">
        <v>77</v>
      </c>
    </row>
    <row r="41" spans="2:11" ht="17.25">
      <c r="B41" s="67" t="s">
        <v>207</v>
      </c>
      <c r="C41" s="42" t="s">
        <v>83</v>
      </c>
      <c r="D41" s="40" t="s">
        <v>83</v>
      </c>
      <c r="E41" s="41">
        <v>43668</v>
      </c>
      <c r="F41" s="41" t="s">
        <v>87</v>
      </c>
      <c r="G41" s="32">
        <v>150</v>
      </c>
      <c r="H41" s="32">
        <v>150</v>
      </c>
      <c r="I41" s="83" t="s">
        <v>75</v>
      </c>
      <c r="J41" s="57"/>
      <c r="K41" s="57"/>
    </row>
    <row r="42" spans="2:11" ht="17.25">
      <c r="B42" s="67" t="s">
        <v>215</v>
      </c>
      <c r="C42" s="42" t="s">
        <v>83</v>
      </c>
      <c r="D42" s="40">
        <v>1</v>
      </c>
      <c r="E42" s="41">
        <v>43709</v>
      </c>
      <c r="F42" s="41" t="s">
        <v>87</v>
      </c>
      <c r="G42" s="32">
        <v>95</v>
      </c>
      <c r="H42" s="32">
        <v>95</v>
      </c>
      <c r="I42" s="83" t="s">
        <v>75</v>
      </c>
      <c r="J42" s="57"/>
      <c r="K42" s="57"/>
    </row>
    <row r="43" spans="2:11" ht="17.25">
      <c r="B43" s="169" t="s">
        <v>208</v>
      </c>
      <c r="C43" s="176" t="s">
        <v>83</v>
      </c>
      <c r="D43" s="170" t="s">
        <v>83</v>
      </c>
      <c r="E43" s="171">
        <v>43678</v>
      </c>
      <c r="F43" s="171" t="s">
        <v>87</v>
      </c>
      <c r="G43" s="172">
        <v>85</v>
      </c>
      <c r="H43" s="172">
        <v>135</v>
      </c>
      <c r="I43" s="173" t="s">
        <v>227</v>
      </c>
      <c r="J43" s="174" t="s">
        <v>77</v>
      </c>
      <c r="K43" s="174" t="s">
        <v>107</v>
      </c>
    </row>
    <row r="44" spans="2:11" ht="17.25">
      <c r="B44" s="67" t="s">
        <v>228</v>
      </c>
      <c r="C44" s="176" t="s">
        <v>83</v>
      </c>
      <c r="D44" s="170" t="s">
        <v>83</v>
      </c>
      <c r="E44" s="175">
        <v>43709</v>
      </c>
      <c r="F44" s="171" t="s">
        <v>87</v>
      </c>
      <c r="G44" s="172">
        <v>126</v>
      </c>
      <c r="H44" s="172">
        <v>126</v>
      </c>
      <c r="I44" s="83" t="s">
        <v>75</v>
      </c>
      <c r="J44" s="174"/>
      <c r="K44" s="174"/>
    </row>
    <row r="45" spans="2:11">
      <c r="C45" s="32"/>
    </row>
  </sheetData>
  <mergeCells count="2">
    <mergeCell ref="B1:I1"/>
    <mergeCell ref="B2:I2"/>
  </mergeCells>
  <pageMargins left="0.25" right="0.25" top="0.75" bottom="0.75" header="0.3" footer="0.3"/>
  <pageSetup scale="81" fitToHeight="0" orientation="landscape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211"/>
  <sheetViews>
    <sheetView showGridLines="0" zoomScale="130" zoomScaleNormal="130" workbookViewId="0">
      <pane xSplit="5" ySplit="3" topLeftCell="F18" activePane="bottomRight" state="frozen"/>
      <selection pane="topRight" activeCell="F1" sqref="F1"/>
      <selection pane="bottomLeft" activeCell="A2" sqref="A2"/>
      <selection pane="bottomRight" activeCell="T199" sqref="A3:T199"/>
    </sheetView>
  </sheetViews>
  <sheetFormatPr defaultColWidth="9.140625" defaultRowHeight="15"/>
  <cols>
    <col min="1" max="1" width="10.5703125" style="87" customWidth="1"/>
    <col min="2" max="2" width="13.85546875" style="87" hidden="1" customWidth="1"/>
    <col min="3" max="3" width="4.7109375" style="87" hidden="1" customWidth="1"/>
    <col min="4" max="4" width="11.28515625" style="87" hidden="1" customWidth="1"/>
    <col min="5" max="5" width="4.7109375" style="87" hidden="1" customWidth="1"/>
    <col min="6" max="6" width="15.5703125" style="91" customWidth="1"/>
    <col min="7" max="18" width="10.28515625" style="87" customWidth="1"/>
    <col min="19" max="20" width="11.28515625" style="87" bestFit="1" customWidth="1"/>
    <col min="21" max="21" width="18.42578125" style="87" hidden="1" customWidth="1"/>
    <col min="22" max="22" width="14.42578125" style="87" customWidth="1"/>
    <col min="23" max="24" width="12" style="87" bestFit="1" customWidth="1"/>
    <col min="25" max="25" width="13.5703125" style="87" customWidth="1"/>
    <col min="26" max="27" width="12" style="87" bestFit="1" customWidth="1"/>
    <col min="28" max="16384" width="9.140625" style="87"/>
  </cols>
  <sheetData>
    <row r="1" spans="1:24" ht="21">
      <c r="A1" s="96" t="s">
        <v>109</v>
      </c>
    </row>
    <row r="2" spans="1:24" s="97" customFormat="1" ht="15.75" thickBot="1">
      <c r="F2" s="98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</row>
    <row r="3" spans="1:24" ht="23.25">
      <c r="A3" s="86" t="s">
        <v>110</v>
      </c>
      <c r="B3" s="100" t="s">
        <v>1</v>
      </c>
      <c r="C3" s="101" t="s">
        <v>2</v>
      </c>
      <c r="D3" s="101" t="s">
        <v>3</v>
      </c>
      <c r="E3" s="101" t="s">
        <v>4</v>
      </c>
      <c r="F3" s="100" t="s">
        <v>111</v>
      </c>
      <c r="G3" s="100" t="s">
        <v>5</v>
      </c>
      <c r="H3" s="100" t="s">
        <v>6</v>
      </c>
      <c r="I3" s="100" t="s">
        <v>7</v>
      </c>
      <c r="J3" s="100" t="s">
        <v>8</v>
      </c>
      <c r="K3" s="100" t="s">
        <v>9</v>
      </c>
      <c r="L3" s="100" t="s">
        <v>10</v>
      </c>
      <c r="M3" s="100" t="s">
        <v>11</v>
      </c>
      <c r="N3" s="100" t="s">
        <v>12</v>
      </c>
      <c r="O3" s="100" t="s">
        <v>13</v>
      </c>
      <c r="P3" s="100" t="s">
        <v>14</v>
      </c>
      <c r="Q3" s="100" t="s">
        <v>15</v>
      </c>
      <c r="R3" s="100" t="s">
        <v>16</v>
      </c>
      <c r="S3" s="100" t="s">
        <v>17</v>
      </c>
      <c r="T3" s="102" t="s">
        <v>18</v>
      </c>
      <c r="W3" s="103"/>
    </row>
    <row r="4" spans="1:24" s="97" customFormat="1" hidden="1">
      <c r="A4" s="204" t="s">
        <v>150</v>
      </c>
      <c r="B4" s="209" t="s">
        <v>20</v>
      </c>
      <c r="C4" s="209" t="s">
        <v>21</v>
      </c>
      <c r="D4" s="209">
        <v>170</v>
      </c>
      <c r="E4" s="209"/>
      <c r="F4" s="104" t="s">
        <v>112</v>
      </c>
      <c r="G4" s="105"/>
      <c r="H4" s="105"/>
      <c r="I4" s="105"/>
      <c r="J4" s="105"/>
      <c r="K4" s="106"/>
      <c r="L4" s="106"/>
      <c r="M4" s="106"/>
      <c r="N4" s="106"/>
      <c r="O4" s="106"/>
      <c r="P4" s="106"/>
      <c r="Q4" s="106"/>
      <c r="R4" s="106"/>
      <c r="S4" s="106"/>
      <c r="T4" s="107"/>
      <c r="U4" s="97" t="s">
        <v>113</v>
      </c>
    </row>
    <row r="5" spans="1:24" s="97" customFormat="1" hidden="1">
      <c r="A5" s="204"/>
      <c r="B5" s="209"/>
      <c r="C5" s="209"/>
      <c r="D5" s="209"/>
      <c r="E5" s="209"/>
      <c r="F5" s="104" t="s">
        <v>114</v>
      </c>
      <c r="G5" s="105"/>
      <c r="H5" s="105"/>
      <c r="I5" s="105"/>
      <c r="J5" s="105"/>
      <c r="K5" s="106"/>
      <c r="L5" s="106"/>
      <c r="M5" s="106"/>
      <c r="N5" s="106"/>
      <c r="O5" s="106"/>
      <c r="P5" s="106"/>
      <c r="Q5" s="106"/>
      <c r="R5" s="106"/>
      <c r="S5" s="106"/>
      <c r="T5" s="107"/>
      <c r="U5" s="97" t="s">
        <v>112</v>
      </c>
      <c r="V5" s="108">
        <v>81.73</v>
      </c>
    </row>
    <row r="6" spans="1:24" s="97" customFormat="1" hidden="1">
      <c r="A6" s="204"/>
      <c r="B6" s="209"/>
      <c r="C6" s="209"/>
      <c r="D6" s="209"/>
      <c r="E6" s="209"/>
      <c r="F6" s="104" t="s">
        <v>115</v>
      </c>
      <c r="G6" s="105"/>
      <c r="H6" s="105"/>
      <c r="I6" s="105"/>
      <c r="J6" s="105"/>
      <c r="K6" s="106"/>
      <c r="L6" s="106"/>
      <c r="M6" s="106"/>
      <c r="N6" s="106"/>
      <c r="O6" s="106"/>
      <c r="P6" s="106"/>
      <c r="Q6" s="106"/>
      <c r="R6" s="106"/>
      <c r="S6" s="106"/>
      <c r="T6" s="107"/>
      <c r="U6" s="97" t="s">
        <v>116</v>
      </c>
      <c r="V6" s="108">
        <v>14167</v>
      </c>
    </row>
    <row r="7" spans="1:24" s="97" customFormat="1" hidden="1">
      <c r="A7" s="204"/>
      <c r="B7" s="209"/>
      <c r="C7" s="209"/>
      <c r="D7" s="209"/>
      <c r="E7" s="209"/>
      <c r="F7" s="104" t="s">
        <v>117</v>
      </c>
      <c r="G7" s="105"/>
      <c r="H7" s="105"/>
      <c r="I7" s="105"/>
      <c r="J7" s="105"/>
      <c r="K7" s="106"/>
      <c r="L7" s="106"/>
      <c r="M7" s="106"/>
      <c r="N7" s="106"/>
      <c r="O7" s="106"/>
      <c r="P7" s="106"/>
      <c r="Q7" s="106"/>
      <c r="R7" s="106"/>
      <c r="S7" s="106"/>
      <c r="T7" s="107"/>
      <c r="U7" s="109" t="s">
        <v>118</v>
      </c>
      <c r="V7" s="108">
        <v>21096</v>
      </c>
    </row>
    <row r="8" spans="1:24" s="97" customFormat="1" hidden="1">
      <c r="A8" s="204"/>
      <c r="B8" s="209"/>
      <c r="C8" s="209"/>
      <c r="D8" s="209"/>
      <c r="E8" s="209"/>
      <c r="F8" s="104" t="s">
        <v>119</v>
      </c>
      <c r="G8" s="105">
        <v>1770</v>
      </c>
      <c r="H8" s="105">
        <v>1770</v>
      </c>
      <c r="I8" s="105">
        <v>1770</v>
      </c>
      <c r="J8" s="105">
        <v>1770</v>
      </c>
      <c r="K8" s="105">
        <v>1770</v>
      </c>
      <c r="L8" s="105">
        <v>1770</v>
      </c>
      <c r="M8" s="105">
        <v>1770</v>
      </c>
      <c r="N8" s="105">
        <v>1770</v>
      </c>
      <c r="O8" s="105">
        <v>1770</v>
      </c>
      <c r="P8" s="105">
        <v>1770</v>
      </c>
      <c r="Q8" s="105">
        <v>1770</v>
      </c>
      <c r="R8" s="105">
        <v>1770</v>
      </c>
      <c r="S8" s="105">
        <v>1770</v>
      </c>
      <c r="T8" s="110">
        <v>1770</v>
      </c>
    </row>
    <row r="9" spans="1:24" s="97" customFormat="1">
      <c r="A9" s="204"/>
      <c r="B9" s="209"/>
      <c r="C9" s="209"/>
      <c r="D9" s="209"/>
      <c r="E9" s="209"/>
      <c r="F9" s="104" t="s">
        <v>120</v>
      </c>
      <c r="G9" s="239" t="s">
        <v>25</v>
      </c>
      <c r="H9" s="105"/>
      <c r="I9" s="105"/>
      <c r="J9" s="105"/>
      <c r="K9" s="106"/>
      <c r="L9" s="106"/>
      <c r="M9" s="106"/>
      <c r="N9" s="106"/>
      <c r="O9" s="106"/>
      <c r="P9" s="106"/>
      <c r="Q9" s="106"/>
      <c r="R9" s="106"/>
      <c r="S9" s="106"/>
      <c r="T9" s="107"/>
    </row>
    <row r="10" spans="1:24" s="97" customFormat="1" ht="21.75" customHeight="1" thickBot="1">
      <c r="A10" s="205"/>
      <c r="B10" s="210"/>
      <c r="C10" s="210"/>
      <c r="D10" s="210"/>
      <c r="E10" s="210"/>
      <c r="F10" s="111" t="s">
        <v>121</v>
      </c>
      <c r="G10" s="240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3"/>
    </row>
    <row r="11" spans="1:24" s="97" customFormat="1" ht="15" customHeight="1">
      <c r="A11" s="203" t="s">
        <v>122</v>
      </c>
      <c r="B11" s="160"/>
      <c r="C11" s="160"/>
      <c r="D11" s="160"/>
      <c r="E11" s="160"/>
      <c r="F11" s="114" t="s">
        <v>112</v>
      </c>
      <c r="G11" s="115">
        <v>55.14</v>
      </c>
      <c r="H11" s="115">
        <v>56.46</v>
      </c>
      <c r="I11" s="115">
        <v>57.82</v>
      </c>
      <c r="J11" s="115">
        <v>59.19</v>
      </c>
      <c r="K11" s="115">
        <v>60.63</v>
      </c>
      <c r="L11" s="115">
        <v>62.11</v>
      </c>
      <c r="M11" s="115">
        <v>63.63</v>
      </c>
      <c r="N11" s="115">
        <v>65.150000000000006</v>
      </c>
      <c r="O11" s="115">
        <v>66.75</v>
      </c>
      <c r="P11" s="115">
        <v>68.37</v>
      </c>
      <c r="Q11" s="115">
        <v>70.010000000000005</v>
      </c>
      <c r="R11" s="115">
        <v>71.72</v>
      </c>
      <c r="S11" s="115">
        <v>73.47</v>
      </c>
      <c r="T11" s="116">
        <v>75.25</v>
      </c>
      <c r="U11" s="97" t="s">
        <v>123</v>
      </c>
    </row>
    <row r="12" spans="1:24" s="97" customFormat="1" ht="15" customHeight="1">
      <c r="A12" s="204"/>
      <c r="B12" s="158"/>
      <c r="C12" s="158"/>
      <c r="D12" s="158"/>
      <c r="E12" s="158"/>
      <c r="F12" s="117" t="s">
        <v>114</v>
      </c>
      <c r="G12" s="118">
        <f>G11*2080/12</f>
        <v>9557.6</v>
      </c>
      <c r="H12" s="118">
        <f t="shared" ref="H12:T12" si="0">H11*2080/12</f>
        <v>9786.4</v>
      </c>
      <c r="I12" s="118">
        <f t="shared" si="0"/>
        <v>10022.133333333333</v>
      </c>
      <c r="J12" s="118">
        <f t="shared" si="0"/>
        <v>10259.6</v>
      </c>
      <c r="K12" s="118">
        <f t="shared" si="0"/>
        <v>10509.2</v>
      </c>
      <c r="L12" s="118">
        <f t="shared" si="0"/>
        <v>10765.733333333334</v>
      </c>
      <c r="M12" s="118">
        <f t="shared" si="0"/>
        <v>11029.199999999999</v>
      </c>
      <c r="N12" s="118">
        <f t="shared" si="0"/>
        <v>11292.666666666666</v>
      </c>
      <c r="O12" s="118">
        <f t="shared" si="0"/>
        <v>11570</v>
      </c>
      <c r="P12" s="118">
        <f t="shared" si="0"/>
        <v>11850.800000000001</v>
      </c>
      <c r="Q12" s="118">
        <f t="shared" si="0"/>
        <v>12135.066666666668</v>
      </c>
      <c r="R12" s="118">
        <f t="shared" si="0"/>
        <v>12431.466666666667</v>
      </c>
      <c r="S12" s="118">
        <f t="shared" si="0"/>
        <v>12734.800000000001</v>
      </c>
      <c r="T12" s="119">
        <f t="shared" si="0"/>
        <v>13043.333333333334</v>
      </c>
      <c r="V12" s="99"/>
    </row>
    <row r="13" spans="1:24" s="97" customFormat="1" ht="15" customHeight="1">
      <c r="A13" s="204"/>
      <c r="B13" s="158"/>
      <c r="C13" s="158"/>
      <c r="D13" s="158"/>
      <c r="E13" s="158"/>
      <c r="F13" s="117" t="s">
        <v>115</v>
      </c>
      <c r="G13" s="118">
        <v>2390.19</v>
      </c>
      <c r="H13" s="118">
        <v>2417.7600000000002</v>
      </c>
      <c r="I13" s="118">
        <v>2446.11</v>
      </c>
      <c r="J13" s="118">
        <v>2474.21</v>
      </c>
      <c r="K13" s="118">
        <v>2503.7199999999998</v>
      </c>
      <c r="L13" s="118">
        <v>2534.04</v>
      </c>
      <c r="M13" s="118">
        <v>2565.17</v>
      </c>
      <c r="N13" s="118">
        <v>2596.3000000000002</v>
      </c>
      <c r="O13" s="118">
        <v>2629.04</v>
      </c>
      <c r="P13" s="118">
        <v>2662.33</v>
      </c>
      <c r="Q13" s="118">
        <v>2695.89</v>
      </c>
      <c r="R13" s="118">
        <v>2731</v>
      </c>
      <c r="S13" s="118">
        <v>2766.77</v>
      </c>
      <c r="T13" s="119">
        <v>2903.3</v>
      </c>
    </row>
    <row r="14" spans="1:24" s="97" customFormat="1" ht="15" customHeight="1">
      <c r="A14" s="204"/>
      <c r="B14" s="158"/>
      <c r="C14" s="158"/>
      <c r="D14" s="158"/>
      <c r="E14" s="158"/>
      <c r="F14" s="117" t="s">
        <v>124</v>
      </c>
      <c r="G14" s="118">
        <v>4329.96</v>
      </c>
      <c r="H14" s="118">
        <v>4357.53</v>
      </c>
      <c r="I14" s="118">
        <v>3485.88</v>
      </c>
      <c r="J14" s="118">
        <v>4413.9799999999996</v>
      </c>
      <c r="K14" s="118">
        <v>4443.49</v>
      </c>
      <c r="L14" s="118">
        <v>4473.8100000000004</v>
      </c>
      <c r="M14" s="118">
        <v>4504.9399999999996</v>
      </c>
      <c r="N14" s="118">
        <v>4536.07</v>
      </c>
      <c r="O14" s="118">
        <v>4568.8100000000004</v>
      </c>
      <c r="P14" s="118">
        <v>4601.2</v>
      </c>
      <c r="Q14" s="118">
        <v>4635.66</v>
      </c>
      <c r="R14" s="118">
        <v>4670.7700000000004</v>
      </c>
      <c r="S14" s="118">
        <v>4706.54</v>
      </c>
      <c r="T14" s="119">
        <v>4743.07</v>
      </c>
    </row>
    <row r="15" spans="1:24" s="97" customFormat="1" ht="15" customHeight="1">
      <c r="A15" s="204"/>
      <c r="B15" s="158"/>
      <c r="C15" s="158"/>
      <c r="D15" s="158"/>
      <c r="E15" s="158"/>
      <c r="F15" s="117" t="s">
        <v>125</v>
      </c>
      <c r="G15" s="118">
        <v>1770</v>
      </c>
      <c r="H15" s="118">
        <v>1770</v>
      </c>
      <c r="I15" s="118">
        <v>1770</v>
      </c>
      <c r="J15" s="118">
        <v>1770</v>
      </c>
      <c r="K15" s="118">
        <v>1770</v>
      </c>
      <c r="L15" s="118">
        <v>1770</v>
      </c>
      <c r="M15" s="118">
        <v>1770</v>
      </c>
      <c r="N15" s="118">
        <v>1770</v>
      </c>
      <c r="O15" s="118">
        <v>1770</v>
      </c>
      <c r="P15" s="118">
        <v>1770</v>
      </c>
      <c r="Q15" s="118">
        <v>1770</v>
      </c>
      <c r="R15" s="118">
        <v>1770</v>
      </c>
      <c r="S15" s="118">
        <v>1770</v>
      </c>
      <c r="T15" s="119">
        <v>1770</v>
      </c>
      <c r="X15" s="99"/>
    </row>
    <row r="16" spans="1:24" s="97" customFormat="1" ht="15" customHeight="1">
      <c r="A16" s="204"/>
      <c r="B16" s="158"/>
      <c r="C16" s="158"/>
      <c r="D16" s="158"/>
      <c r="E16" s="158"/>
      <c r="F16" s="117" t="s">
        <v>120</v>
      </c>
      <c r="G16" s="118">
        <f>G12+G13+G15</f>
        <v>13717.79</v>
      </c>
      <c r="H16" s="118">
        <f t="shared" ref="H16:T16" si="1">H12+H13+H15</f>
        <v>13974.16</v>
      </c>
      <c r="I16" s="118">
        <f t="shared" si="1"/>
        <v>14238.243333333334</v>
      </c>
      <c r="J16" s="118">
        <f t="shared" si="1"/>
        <v>14503.810000000001</v>
      </c>
      <c r="K16" s="118">
        <f t="shared" si="1"/>
        <v>14782.92</v>
      </c>
      <c r="L16" s="118">
        <f t="shared" si="1"/>
        <v>15069.773333333334</v>
      </c>
      <c r="M16" s="118">
        <f t="shared" si="1"/>
        <v>15364.369999999999</v>
      </c>
      <c r="N16" s="118">
        <f t="shared" si="1"/>
        <v>15658.966666666667</v>
      </c>
      <c r="O16" s="118">
        <f t="shared" si="1"/>
        <v>15969.04</v>
      </c>
      <c r="P16" s="118">
        <f t="shared" si="1"/>
        <v>16283.130000000001</v>
      </c>
      <c r="Q16" s="118">
        <f t="shared" si="1"/>
        <v>16600.956666666665</v>
      </c>
      <c r="R16" s="118">
        <f t="shared" si="1"/>
        <v>16932.466666666667</v>
      </c>
      <c r="S16" s="118">
        <f t="shared" si="1"/>
        <v>17271.57</v>
      </c>
      <c r="T16" s="119">
        <f t="shared" si="1"/>
        <v>17716.633333333335</v>
      </c>
      <c r="X16" s="99"/>
    </row>
    <row r="17" spans="1:21" s="97" customFormat="1" ht="15" customHeight="1" thickBot="1">
      <c r="A17" s="205"/>
      <c r="B17" s="159"/>
      <c r="C17" s="159"/>
      <c r="D17" s="159"/>
      <c r="E17" s="159"/>
      <c r="F17" s="120" t="s">
        <v>121</v>
      </c>
      <c r="G17" s="121">
        <f>G12+G14+G15</f>
        <v>15657.560000000001</v>
      </c>
      <c r="H17" s="121">
        <f t="shared" ref="H17:T17" si="2">H12+H14+H15</f>
        <v>15913.93</v>
      </c>
      <c r="I17" s="121">
        <f t="shared" si="2"/>
        <v>15278.013333333332</v>
      </c>
      <c r="J17" s="121">
        <f t="shared" si="2"/>
        <v>16443.580000000002</v>
      </c>
      <c r="K17" s="121">
        <f t="shared" si="2"/>
        <v>16722.690000000002</v>
      </c>
      <c r="L17" s="121">
        <f t="shared" si="2"/>
        <v>17009.543333333335</v>
      </c>
      <c r="M17" s="121">
        <f t="shared" si="2"/>
        <v>17304.14</v>
      </c>
      <c r="N17" s="121">
        <f t="shared" si="2"/>
        <v>17598.736666666664</v>
      </c>
      <c r="O17" s="121">
        <f t="shared" si="2"/>
        <v>17908.810000000001</v>
      </c>
      <c r="P17" s="121">
        <f t="shared" si="2"/>
        <v>18222</v>
      </c>
      <c r="Q17" s="121">
        <f t="shared" si="2"/>
        <v>18540.726666666669</v>
      </c>
      <c r="R17" s="121">
        <f t="shared" si="2"/>
        <v>18872.236666666668</v>
      </c>
      <c r="S17" s="121">
        <f t="shared" si="2"/>
        <v>19211.34</v>
      </c>
      <c r="T17" s="122">
        <f t="shared" si="2"/>
        <v>19556.403333333335</v>
      </c>
    </row>
    <row r="18" spans="1:21" s="97" customFormat="1" ht="15" customHeight="1">
      <c r="A18" s="218" t="s">
        <v>106</v>
      </c>
      <c r="B18" s="131"/>
      <c r="C18" s="132"/>
      <c r="D18" s="133"/>
      <c r="E18" s="133"/>
      <c r="F18" s="125" t="s">
        <v>112</v>
      </c>
      <c r="G18" s="129">
        <f>G19*12/2080</f>
        <v>57.166269230769231</v>
      </c>
      <c r="H18" s="129">
        <f t="shared" ref="H18:T18" si="3">H19*12/2080</f>
        <v>59.408999999999999</v>
      </c>
      <c r="I18" s="129">
        <f t="shared" si="3"/>
        <v>61.651730769230767</v>
      </c>
      <c r="J18" s="129">
        <f t="shared" si="3"/>
        <v>63.894461538461542</v>
      </c>
      <c r="K18" s="129">
        <f t="shared" si="3"/>
        <v>66.13713461538461</v>
      </c>
      <c r="L18" s="129">
        <f t="shared" si="3"/>
        <v>68.379865384615385</v>
      </c>
      <c r="M18" s="129">
        <f t="shared" si="3"/>
        <v>70.62259615384616</v>
      </c>
      <c r="N18" s="129">
        <f t="shared" si="3"/>
        <v>72.865326923076921</v>
      </c>
      <c r="O18" s="129">
        <f t="shared" si="3"/>
        <v>75.108057692307696</v>
      </c>
      <c r="P18" s="129">
        <f t="shared" si="3"/>
        <v>77.350788461538457</v>
      </c>
      <c r="Q18" s="129">
        <f t="shared" si="3"/>
        <v>79.593461538461554</v>
      </c>
      <c r="R18" s="129">
        <f t="shared" si="3"/>
        <v>81.836192307692301</v>
      </c>
      <c r="S18" s="129">
        <f t="shared" si="3"/>
        <v>84.078923076923076</v>
      </c>
      <c r="T18" s="130">
        <f t="shared" si="3"/>
        <v>86.52553846153846</v>
      </c>
    </row>
    <row r="19" spans="1:21" s="97" customFormat="1" ht="15" customHeight="1">
      <c r="A19" s="206"/>
      <c r="B19" s="161"/>
      <c r="C19" s="123"/>
      <c r="D19" s="124"/>
      <c r="E19" s="124"/>
      <c r="F19" s="104" t="s">
        <v>114</v>
      </c>
      <c r="G19" s="105">
        <v>9908.82</v>
      </c>
      <c r="H19" s="105">
        <v>10297.56</v>
      </c>
      <c r="I19" s="105">
        <v>10686.3</v>
      </c>
      <c r="J19" s="105">
        <v>11075.04</v>
      </c>
      <c r="K19" s="105">
        <v>11463.77</v>
      </c>
      <c r="L19" s="105">
        <v>11852.51</v>
      </c>
      <c r="M19" s="105">
        <v>12241.25</v>
      </c>
      <c r="N19" s="105">
        <v>12629.99</v>
      </c>
      <c r="O19" s="105">
        <v>13018.73</v>
      </c>
      <c r="P19" s="105">
        <v>13407.47</v>
      </c>
      <c r="Q19" s="105">
        <v>13796.2</v>
      </c>
      <c r="R19" s="105">
        <v>14184.94</v>
      </c>
      <c r="S19" s="105">
        <v>14573.68</v>
      </c>
      <c r="T19" s="110">
        <v>14997.76</v>
      </c>
    </row>
    <row r="20" spans="1:21" s="97" customFormat="1" ht="15" customHeight="1">
      <c r="A20" s="206"/>
      <c r="B20" s="161"/>
      <c r="C20" s="123"/>
      <c r="D20" s="124"/>
      <c r="E20" s="124"/>
      <c r="F20" s="104" t="s">
        <v>115</v>
      </c>
      <c r="G20" s="105">
        <v>2432.5</v>
      </c>
      <c r="H20" s="105">
        <v>2478.65</v>
      </c>
      <c r="I20" s="105">
        <v>2524.61</v>
      </c>
      <c r="J20" s="105">
        <v>2570.42</v>
      </c>
      <c r="K20" s="105">
        <v>2616.58</v>
      </c>
      <c r="L20" s="105">
        <v>2662.54</v>
      </c>
      <c r="M20" s="105">
        <v>2708.35</v>
      </c>
      <c r="N20" s="105">
        <v>2754.51</v>
      </c>
      <c r="O20" s="105">
        <v>2800.47</v>
      </c>
      <c r="P20" s="105">
        <v>2846.28</v>
      </c>
      <c r="Q20" s="105">
        <v>2892.24</v>
      </c>
      <c r="R20" s="105">
        <v>2938.4</v>
      </c>
      <c r="S20" s="105">
        <v>2984.21</v>
      </c>
      <c r="T20" s="110">
        <v>3034.41</v>
      </c>
    </row>
    <row r="21" spans="1:21" s="97" customFormat="1" ht="15" customHeight="1">
      <c r="A21" s="206"/>
      <c r="B21" s="161"/>
      <c r="C21" s="123"/>
      <c r="D21" s="124"/>
      <c r="E21" s="124"/>
      <c r="F21" s="104" t="s">
        <v>124</v>
      </c>
      <c r="G21" s="105">
        <v>4372.2700000000004</v>
      </c>
      <c r="H21" s="105">
        <v>4418.42</v>
      </c>
      <c r="I21" s="105">
        <v>4464.38</v>
      </c>
      <c r="J21" s="105">
        <v>4510.1899999999996</v>
      </c>
      <c r="K21" s="105">
        <v>4556.3500000000004</v>
      </c>
      <c r="L21" s="105">
        <v>4602.3100000000004</v>
      </c>
      <c r="M21" s="105">
        <v>4648.12</v>
      </c>
      <c r="N21" s="105">
        <v>4694.28</v>
      </c>
      <c r="O21" s="105">
        <v>4740.24</v>
      </c>
      <c r="P21" s="105">
        <v>4786.05</v>
      </c>
      <c r="Q21" s="105">
        <v>4832.01</v>
      </c>
      <c r="R21" s="105">
        <v>4878.17</v>
      </c>
      <c r="S21" s="105">
        <v>4923.9799999999996</v>
      </c>
      <c r="T21" s="110">
        <v>4974.18</v>
      </c>
    </row>
    <row r="22" spans="1:21" s="97" customFormat="1" ht="15" customHeight="1">
      <c r="A22" s="206"/>
      <c r="B22" s="161"/>
      <c r="C22" s="123"/>
      <c r="D22" s="124"/>
      <c r="E22" s="124"/>
      <c r="F22" s="104" t="s">
        <v>119</v>
      </c>
      <c r="G22" s="105">
        <v>1770</v>
      </c>
      <c r="H22" s="105">
        <v>1770</v>
      </c>
      <c r="I22" s="105">
        <v>1770</v>
      </c>
      <c r="J22" s="105">
        <v>1770</v>
      </c>
      <c r="K22" s="105">
        <v>1770</v>
      </c>
      <c r="L22" s="105">
        <v>1770</v>
      </c>
      <c r="M22" s="105">
        <v>1770</v>
      </c>
      <c r="N22" s="105">
        <v>1770</v>
      </c>
      <c r="O22" s="105">
        <v>1770</v>
      </c>
      <c r="P22" s="105">
        <v>1770</v>
      </c>
      <c r="Q22" s="105">
        <v>1770</v>
      </c>
      <c r="R22" s="105">
        <v>1770</v>
      </c>
      <c r="S22" s="105">
        <v>1770</v>
      </c>
      <c r="T22" s="110">
        <v>1770</v>
      </c>
    </row>
    <row r="23" spans="1:21" s="97" customFormat="1" ht="15" customHeight="1">
      <c r="A23" s="206"/>
      <c r="B23" s="161"/>
      <c r="C23" s="123"/>
      <c r="D23" s="124"/>
      <c r="E23" s="124"/>
      <c r="F23" s="104" t="s">
        <v>126</v>
      </c>
      <c r="G23" s="105">
        <f>+G19+G20+G22</f>
        <v>14111.32</v>
      </c>
      <c r="H23" s="105">
        <f t="shared" ref="H23" si="4">+H19+H20+H22</f>
        <v>14546.21</v>
      </c>
      <c r="I23" s="105">
        <f t="shared" ref="I23" si="5">+I19+I20+I22</f>
        <v>14980.91</v>
      </c>
      <c r="J23" s="105">
        <f t="shared" ref="J23" si="6">+J19+J20+J22</f>
        <v>15415.460000000001</v>
      </c>
      <c r="K23" s="105">
        <f t="shared" ref="K23" si="7">+K19+K20+K22</f>
        <v>15850.35</v>
      </c>
      <c r="L23" s="105">
        <f t="shared" ref="L23" si="8">+L19+L20+L22</f>
        <v>16285.05</v>
      </c>
      <c r="M23" s="105">
        <f t="shared" ref="M23" si="9">+M19+M20+M22</f>
        <v>16719.599999999999</v>
      </c>
      <c r="N23" s="105">
        <f t="shared" ref="N23" si="10">+N19+N20+N22</f>
        <v>17154.5</v>
      </c>
      <c r="O23" s="105">
        <f t="shared" ref="O23" si="11">+O19+O20+O22</f>
        <v>17589.199999999997</v>
      </c>
      <c r="P23" s="105">
        <f t="shared" ref="P23" si="12">+P19+P20+P22</f>
        <v>18023.75</v>
      </c>
      <c r="Q23" s="105">
        <f t="shared" ref="Q23" si="13">+Q19+Q20+Q22</f>
        <v>18458.440000000002</v>
      </c>
      <c r="R23" s="105">
        <f t="shared" ref="R23" si="14">+R19+R20+R22</f>
        <v>18893.34</v>
      </c>
      <c r="S23" s="105">
        <f t="shared" ref="S23" si="15">+S19+S20+S22</f>
        <v>19327.89</v>
      </c>
      <c r="T23" s="110">
        <f t="shared" ref="T23" si="16">+T19+T20+T22</f>
        <v>19802.169999999998</v>
      </c>
    </row>
    <row r="24" spans="1:21" s="97" customFormat="1" ht="15" customHeight="1" thickBot="1">
      <c r="A24" s="207"/>
      <c r="B24" s="162"/>
      <c r="C24" s="134"/>
      <c r="D24" s="135"/>
      <c r="E24" s="135"/>
      <c r="F24" s="111" t="s">
        <v>121</v>
      </c>
      <c r="G24" s="112">
        <f>+G19+G21+G22</f>
        <v>16051.09</v>
      </c>
      <c r="H24" s="112">
        <f t="shared" ref="H24:T24" si="17">+H19+H21+H22</f>
        <v>16485.98</v>
      </c>
      <c r="I24" s="112">
        <f t="shared" si="17"/>
        <v>16920.68</v>
      </c>
      <c r="J24" s="112">
        <f t="shared" si="17"/>
        <v>17355.23</v>
      </c>
      <c r="K24" s="112">
        <f t="shared" si="17"/>
        <v>17790.120000000003</v>
      </c>
      <c r="L24" s="112">
        <f t="shared" si="17"/>
        <v>18224.82</v>
      </c>
      <c r="M24" s="112">
        <f t="shared" si="17"/>
        <v>18659.37</v>
      </c>
      <c r="N24" s="112">
        <f t="shared" si="17"/>
        <v>19094.27</v>
      </c>
      <c r="O24" s="112">
        <f t="shared" si="17"/>
        <v>19528.97</v>
      </c>
      <c r="P24" s="112">
        <f t="shared" si="17"/>
        <v>19963.52</v>
      </c>
      <c r="Q24" s="112">
        <f t="shared" si="17"/>
        <v>20398.21</v>
      </c>
      <c r="R24" s="112">
        <f t="shared" si="17"/>
        <v>20833.11</v>
      </c>
      <c r="S24" s="112">
        <f t="shared" si="17"/>
        <v>21267.66</v>
      </c>
      <c r="T24" s="113">
        <f t="shared" si="17"/>
        <v>21741.940000000002</v>
      </c>
    </row>
    <row r="25" spans="1:21" s="97" customFormat="1" ht="15" customHeight="1">
      <c r="A25" s="203" t="s">
        <v>30</v>
      </c>
      <c r="B25" s="214" t="s">
        <v>31</v>
      </c>
      <c r="C25" s="215" t="s">
        <v>29</v>
      </c>
      <c r="D25" s="221" t="s">
        <v>32</v>
      </c>
      <c r="E25" s="221" t="s">
        <v>33</v>
      </c>
      <c r="F25" s="114" t="s">
        <v>112</v>
      </c>
      <c r="G25" s="115">
        <v>37.6</v>
      </c>
      <c r="H25" s="115">
        <v>38.54</v>
      </c>
      <c r="I25" s="115">
        <v>39.5</v>
      </c>
      <c r="J25" s="115">
        <v>40.46</v>
      </c>
      <c r="K25" s="115">
        <v>41.5</v>
      </c>
      <c r="L25" s="115">
        <v>42.54</v>
      </c>
      <c r="M25" s="115">
        <v>43.59</v>
      </c>
      <c r="N25" s="115">
        <v>44.69</v>
      </c>
      <c r="O25" s="115">
        <v>45.82</v>
      </c>
      <c r="P25" s="115">
        <v>46.98</v>
      </c>
      <c r="Q25" s="115">
        <v>48.13</v>
      </c>
      <c r="R25" s="115">
        <v>49.33</v>
      </c>
      <c r="S25" s="115">
        <v>50.55</v>
      </c>
      <c r="T25" s="116">
        <v>51.81</v>
      </c>
    </row>
    <row r="26" spans="1:21" s="97" customFormat="1" ht="15" customHeight="1">
      <c r="A26" s="204"/>
      <c r="B26" s="209"/>
      <c r="C26" s="216"/>
      <c r="D26" s="212"/>
      <c r="E26" s="212"/>
      <c r="F26" s="117" t="s">
        <v>114</v>
      </c>
      <c r="G26" s="118">
        <f>G25*2080/12</f>
        <v>6517.333333333333</v>
      </c>
      <c r="H26" s="118">
        <f t="shared" ref="H26" si="18">H25*2080/12</f>
        <v>6680.2666666666664</v>
      </c>
      <c r="I26" s="118">
        <f t="shared" ref="I26" si="19">I25*2080/12</f>
        <v>6846.666666666667</v>
      </c>
      <c r="J26" s="118">
        <f t="shared" ref="J26" si="20">J25*2080/12</f>
        <v>7013.0666666666666</v>
      </c>
      <c r="K26" s="118">
        <f t="shared" ref="K26" si="21">K25*2080/12</f>
        <v>7193.333333333333</v>
      </c>
      <c r="L26" s="118">
        <f t="shared" ref="L26" si="22">L25*2080/12</f>
        <v>7373.5999999999995</v>
      </c>
      <c r="M26" s="118">
        <f t="shared" ref="M26" si="23">M25*2080/12</f>
        <v>7555.6000000000013</v>
      </c>
      <c r="N26" s="118">
        <f t="shared" ref="N26" si="24">N25*2080/12</f>
        <v>7746.2666666666664</v>
      </c>
      <c r="O26" s="118">
        <f t="shared" ref="O26" si="25">O25*2080/12</f>
        <v>7942.1333333333341</v>
      </c>
      <c r="P26" s="118">
        <f t="shared" ref="P26" si="26">P25*2080/12</f>
        <v>8143.2</v>
      </c>
      <c r="Q26" s="118">
        <f t="shared" ref="Q26" si="27">Q25*2080/12</f>
        <v>8342.5333333333347</v>
      </c>
      <c r="R26" s="118">
        <f t="shared" ref="R26" si="28">R25*2080/12</f>
        <v>8550.5333333333328</v>
      </c>
      <c r="S26" s="118">
        <f t="shared" ref="S26" si="29">S25*2080/12</f>
        <v>8762</v>
      </c>
      <c r="T26" s="119">
        <f t="shared" ref="T26" si="30">T25*2080/12</f>
        <v>8980.4</v>
      </c>
    </row>
    <row r="27" spans="1:21" s="97" customFormat="1" ht="15" customHeight="1">
      <c r="A27" s="204"/>
      <c r="B27" s="209"/>
      <c r="C27" s="216"/>
      <c r="D27" s="212"/>
      <c r="E27" s="212"/>
      <c r="F27" s="117" t="s">
        <v>115</v>
      </c>
      <c r="G27" s="118">
        <v>2024.47</v>
      </c>
      <c r="H27" s="118">
        <v>2044.08</v>
      </c>
      <c r="I27" s="118">
        <v>2064.1</v>
      </c>
      <c r="J27" s="118">
        <v>2084.12</v>
      </c>
      <c r="K27" s="118">
        <v>2105.79</v>
      </c>
      <c r="L27" s="118">
        <v>2127.4499999999998</v>
      </c>
      <c r="M27" s="118">
        <v>2149.3200000000002</v>
      </c>
      <c r="N27" s="118">
        <v>2172.2199999999998</v>
      </c>
      <c r="O27" s="118">
        <v>2195.88</v>
      </c>
      <c r="P27" s="118">
        <v>2220.0100000000002</v>
      </c>
      <c r="Q27" s="118">
        <v>2244.08</v>
      </c>
      <c r="R27" s="118">
        <v>2269.04</v>
      </c>
      <c r="S27" s="118">
        <v>2294.5500000000002</v>
      </c>
      <c r="T27" s="119">
        <v>2320.73</v>
      </c>
    </row>
    <row r="28" spans="1:21" s="97" customFormat="1" ht="15" customHeight="1">
      <c r="A28" s="204"/>
      <c r="B28" s="209"/>
      <c r="C28" s="216"/>
      <c r="D28" s="212"/>
      <c r="E28" s="212"/>
      <c r="F28" s="117" t="s">
        <v>124</v>
      </c>
      <c r="G28" s="118">
        <v>3964.24</v>
      </c>
      <c r="H28" s="118">
        <v>3983.85</v>
      </c>
      <c r="I28" s="118">
        <v>4003.87</v>
      </c>
      <c r="J28" s="118">
        <v>4023.89</v>
      </c>
      <c r="K28" s="118">
        <v>4045.56</v>
      </c>
      <c r="L28" s="118">
        <v>4067.22</v>
      </c>
      <c r="M28" s="118">
        <v>4089.09</v>
      </c>
      <c r="N28" s="118">
        <v>4111.99</v>
      </c>
      <c r="O28" s="118">
        <v>4135.6499999999996</v>
      </c>
      <c r="P28" s="118">
        <v>4159.78</v>
      </c>
      <c r="Q28" s="118">
        <v>4183.8500000000004</v>
      </c>
      <c r="R28" s="118">
        <v>4208.8100000000004</v>
      </c>
      <c r="S28" s="118">
        <v>4234.32</v>
      </c>
      <c r="T28" s="119">
        <v>4260.5</v>
      </c>
    </row>
    <row r="29" spans="1:21" s="97" customFormat="1" ht="15" customHeight="1">
      <c r="A29" s="204"/>
      <c r="B29" s="209"/>
      <c r="C29" s="216"/>
      <c r="D29" s="212"/>
      <c r="E29" s="212"/>
      <c r="F29" s="117" t="s">
        <v>119</v>
      </c>
      <c r="G29" s="118">
        <v>1770</v>
      </c>
      <c r="H29" s="118">
        <v>1770</v>
      </c>
      <c r="I29" s="118">
        <v>1770</v>
      </c>
      <c r="J29" s="118">
        <v>1770</v>
      </c>
      <c r="K29" s="118">
        <v>1770</v>
      </c>
      <c r="L29" s="118">
        <v>1770</v>
      </c>
      <c r="M29" s="118">
        <v>1770</v>
      </c>
      <c r="N29" s="118">
        <v>1770</v>
      </c>
      <c r="O29" s="118">
        <v>1770</v>
      </c>
      <c r="P29" s="118">
        <v>1770</v>
      </c>
      <c r="Q29" s="118">
        <v>1770</v>
      </c>
      <c r="R29" s="118">
        <v>1770</v>
      </c>
      <c r="S29" s="118">
        <v>1770</v>
      </c>
      <c r="T29" s="119">
        <v>1770</v>
      </c>
    </row>
    <row r="30" spans="1:21" s="97" customFormat="1" ht="15" customHeight="1">
      <c r="A30" s="204"/>
      <c r="B30" s="209"/>
      <c r="C30" s="216"/>
      <c r="D30" s="212"/>
      <c r="E30" s="212"/>
      <c r="F30" s="117" t="s">
        <v>120</v>
      </c>
      <c r="G30" s="118">
        <f>G26+G27+G29</f>
        <v>10311.803333333333</v>
      </c>
      <c r="H30" s="118">
        <f t="shared" ref="H30" si="31">H26+H27+H29</f>
        <v>10494.346666666666</v>
      </c>
      <c r="I30" s="118">
        <f t="shared" ref="I30" si="32">I26+I27+I29</f>
        <v>10680.766666666666</v>
      </c>
      <c r="J30" s="118">
        <f t="shared" ref="J30" si="33">J26+J27+J29</f>
        <v>10867.186666666666</v>
      </c>
      <c r="K30" s="118">
        <f t="shared" ref="K30" si="34">K26+K27+K29</f>
        <v>11069.123333333333</v>
      </c>
      <c r="L30" s="118">
        <f t="shared" ref="L30" si="35">L26+L27+L29</f>
        <v>11271.05</v>
      </c>
      <c r="M30" s="118">
        <f t="shared" ref="M30" si="36">M26+M27+M29</f>
        <v>11474.920000000002</v>
      </c>
      <c r="N30" s="118">
        <f t="shared" ref="N30" si="37">N26+N27+N29</f>
        <v>11688.486666666666</v>
      </c>
      <c r="O30" s="118">
        <f t="shared" ref="O30" si="38">O26+O27+O29</f>
        <v>11908.013333333334</v>
      </c>
      <c r="P30" s="118">
        <f t="shared" ref="P30" si="39">P26+P27+P29</f>
        <v>12133.21</v>
      </c>
      <c r="Q30" s="118">
        <f t="shared" ref="Q30" si="40">Q26+Q27+Q29</f>
        <v>12356.613333333335</v>
      </c>
      <c r="R30" s="118">
        <f t="shared" ref="R30" si="41">R26+R27+R29</f>
        <v>12589.573333333334</v>
      </c>
      <c r="S30" s="118">
        <f t="shared" ref="S30" si="42">S26+S27+S29</f>
        <v>12826.55</v>
      </c>
      <c r="T30" s="119">
        <f t="shared" ref="T30" si="43">T26+T27+T29</f>
        <v>13071.13</v>
      </c>
    </row>
    <row r="31" spans="1:21" s="97" customFormat="1" ht="15" customHeight="1" thickBot="1">
      <c r="A31" s="205"/>
      <c r="B31" s="210"/>
      <c r="C31" s="217"/>
      <c r="D31" s="213"/>
      <c r="E31" s="213"/>
      <c r="F31" s="120" t="s">
        <v>121</v>
      </c>
      <c r="G31" s="121">
        <f>G26+G28+G29</f>
        <v>12251.573333333334</v>
      </c>
      <c r="H31" s="121">
        <f t="shared" ref="H31:T31" si="44">H26+H28+H29</f>
        <v>12434.116666666667</v>
      </c>
      <c r="I31" s="121">
        <f t="shared" si="44"/>
        <v>12620.536666666667</v>
      </c>
      <c r="J31" s="121">
        <f t="shared" si="44"/>
        <v>12806.956666666667</v>
      </c>
      <c r="K31" s="121">
        <f t="shared" si="44"/>
        <v>13008.893333333333</v>
      </c>
      <c r="L31" s="121">
        <f t="shared" si="44"/>
        <v>13210.82</v>
      </c>
      <c r="M31" s="121">
        <f t="shared" si="44"/>
        <v>13414.690000000002</v>
      </c>
      <c r="N31" s="121">
        <f t="shared" si="44"/>
        <v>13628.256666666666</v>
      </c>
      <c r="O31" s="121">
        <f t="shared" si="44"/>
        <v>13847.783333333333</v>
      </c>
      <c r="P31" s="121">
        <f t="shared" si="44"/>
        <v>14072.98</v>
      </c>
      <c r="Q31" s="121">
        <f t="shared" si="44"/>
        <v>14296.383333333335</v>
      </c>
      <c r="R31" s="121">
        <f t="shared" si="44"/>
        <v>14529.343333333334</v>
      </c>
      <c r="S31" s="121">
        <f t="shared" si="44"/>
        <v>14766.32</v>
      </c>
      <c r="T31" s="122">
        <f t="shared" si="44"/>
        <v>15010.9</v>
      </c>
    </row>
    <row r="32" spans="1:21" s="97" customFormat="1" ht="15" customHeight="1">
      <c r="A32" s="203" t="s">
        <v>95</v>
      </c>
      <c r="B32" s="235" t="s">
        <v>35</v>
      </c>
      <c r="C32" s="236" t="s">
        <v>29</v>
      </c>
      <c r="D32" s="237" t="s">
        <v>32</v>
      </c>
      <c r="E32" s="237" t="s">
        <v>36</v>
      </c>
      <c r="F32" s="125" t="s">
        <v>112</v>
      </c>
      <c r="G32" s="129">
        <v>32.46</v>
      </c>
      <c r="H32" s="129">
        <v>33.270000000000003</v>
      </c>
      <c r="I32" s="129">
        <v>34.1</v>
      </c>
      <c r="J32" s="129">
        <v>34.97</v>
      </c>
      <c r="K32" s="129">
        <v>35.82</v>
      </c>
      <c r="L32" s="129">
        <v>36.74</v>
      </c>
      <c r="M32" s="129">
        <v>37.61</v>
      </c>
      <c r="N32" s="129">
        <v>38.58</v>
      </c>
      <c r="O32" s="129">
        <v>39.5</v>
      </c>
      <c r="P32" s="129">
        <v>40.46</v>
      </c>
      <c r="Q32" s="129">
        <v>41.5</v>
      </c>
      <c r="R32" s="129">
        <v>42.54</v>
      </c>
      <c r="S32" s="129">
        <v>43.59</v>
      </c>
      <c r="T32" s="130">
        <v>44.68</v>
      </c>
      <c r="U32" s="97" t="s">
        <v>127</v>
      </c>
    </row>
    <row r="33" spans="1:25" s="97" customFormat="1" ht="15" customHeight="1">
      <c r="A33" s="204"/>
      <c r="B33" s="223"/>
      <c r="C33" s="226"/>
      <c r="D33" s="233"/>
      <c r="E33" s="233"/>
      <c r="F33" s="104" t="s">
        <v>114</v>
      </c>
      <c r="G33" s="105">
        <f>G32*2080/12</f>
        <v>5626.4000000000005</v>
      </c>
      <c r="H33" s="105">
        <f t="shared" ref="H33:T33" si="45">H32*2080/12</f>
        <v>5766.8</v>
      </c>
      <c r="I33" s="105">
        <f t="shared" si="45"/>
        <v>5910.666666666667</v>
      </c>
      <c r="J33" s="105">
        <f t="shared" si="45"/>
        <v>6061.4666666666662</v>
      </c>
      <c r="K33" s="105">
        <f t="shared" si="45"/>
        <v>6208.8</v>
      </c>
      <c r="L33" s="105">
        <f t="shared" si="45"/>
        <v>6368.2666666666664</v>
      </c>
      <c r="M33" s="105">
        <f t="shared" si="45"/>
        <v>6519.0666666666666</v>
      </c>
      <c r="N33" s="105">
        <f t="shared" si="45"/>
        <v>6687.2</v>
      </c>
      <c r="O33" s="105">
        <f t="shared" si="45"/>
        <v>6846.666666666667</v>
      </c>
      <c r="P33" s="105">
        <f t="shared" si="45"/>
        <v>7013.0666666666666</v>
      </c>
      <c r="Q33" s="105">
        <f t="shared" si="45"/>
        <v>7193.333333333333</v>
      </c>
      <c r="R33" s="105">
        <f t="shared" si="45"/>
        <v>7373.5999999999995</v>
      </c>
      <c r="S33" s="105">
        <f t="shared" si="45"/>
        <v>7555.6000000000013</v>
      </c>
      <c r="T33" s="110">
        <f t="shared" si="45"/>
        <v>7744.5333333333328</v>
      </c>
      <c r="V33" s="99"/>
    </row>
    <row r="34" spans="1:25" s="97" customFormat="1" ht="15" customHeight="1">
      <c r="A34" s="204"/>
      <c r="B34" s="223"/>
      <c r="C34" s="226"/>
      <c r="D34" s="233"/>
      <c r="E34" s="233"/>
      <c r="F34" s="104" t="s">
        <v>115</v>
      </c>
      <c r="G34" s="105">
        <v>1917.23</v>
      </c>
      <c r="H34" s="105">
        <v>1934.17</v>
      </c>
      <c r="I34" s="105">
        <v>1951.37</v>
      </c>
      <c r="J34" s="105">
        <v>1969.54</v>
      </c>
      <c r="K34" s="105">
        <v>1987.3</v>
      </c>
      <c r="L34" s="105">
        <v>2006.5</v>
      </c>
      <c r="M34" s="105">
        <v>2024.67</v>
      </c>
      <c r="N34" s="105">
        <v>2044.9</v>
      </c>
      <c r="O34" s="105">
        <v>2064.1</v>
      </c>
      <c r="P34" s="105">
        <v>2084.12</v>
      </c>
      <c r="Q34" s="105">
        <v>2105.79</v>
      </c>
      <c r="R34" s="105">
        <v>2127.4499999999998</v>
      </c>
      <c r="S34" s="105">
        <v>2149.3200000000002</v>
      </c>
      <c r="T34" s="110">
        <v>2172.0100000000002</v>
      </c>
    </row>
    <row r="35" spans="1:25" s="97" customFormat="1" ht="15" customHeight="1">
      <c r="A35" s="204"/>
      <c r="B35" s="223"/>
      <c r="C35" s="226"/>
      <c r="D35" s="233"/>
      <c r="E35" s="233"/>
      <c r="F35" s="104" t="s">
        <v>124</v>
      </c>
      <c r="G35" s="105">
        <v>3857</v>
      </c>
      <c r="H35" s="105">
        <v>3873.94</v>
      </c>
      <c r="I35" s="105">
        <v>3891.14</v>
      </c>
      <c r="J35" s="105">
        <v>3909.31</v>
      </c>
      <c r="K35" s="105">
        <v>3927.07</v>
      </c>
      <c r="L35" s="105">
        <v>3946.27</v>
      </c>
      <c r="M35" s="105">
        <v>3964.44</v>
      </c>
      <c r="N35" s="105">
        <v>3984.67</v>
      </c>
      <c r="O35" s="105">
        <v>4003.87</v>
      </c>
      <c r="P35" s="105">
        <v>4023.89</v>
      </c>
      <c r="Q35" s="105">
        <v>4045.56</v>
      </c>
      <c r="R35" s="105">
        <v>4067.22</v>
      </c>
      <c r="S35" s="105">
        <v>4089.09</v>
      </c>
      <c r="T35" s="110">
        <v>4111.78</v>
      </c>
    </row>
    <row r="36" spans="1:25" s="97" customFormat="1" ht="15" customHeight="1">
      <c r="A36" s="204"/>
      <c r="B36" s="223"/>
      <c r="C36" s="226"/>
      <c r="D36" s="233"/>
      <c r="E36" s="233"/>
      <c r="F36" s="104" t="s">
        <v>119</v>
      </c>
      <c r="G36" s="105">
        <v>1770</v>
      </c>
      <c r="H36" s="105">
        <v>1770</v>
      </c>
      <c r="I36" s="105">
        <v>1770</v>
      </c>
      <c r="J36" s="105">
        <v>1770</v>
      </c>
      <c r="K36" s="105">
        <v>1770</v>
      </c>
      <c r="L36" s="105">
        <v>1770</v>
      </c>
      <c r="M36" s="105">
        <v>1770</v>
      </c>
      <c r="N36" s="105">
        <v>1770</v>
      </c>
      <c r="O36" s="105">
        <v>1770</v>
      </c>
      <c r="P36" s="105">
        <v>1770</v>
      </c>
      <c r="Q36" s="105">
        <v>1770</v>
      </c>
      <c r="R36" s="105">
        <v>1770</v>
      </c>
      <c r="S36" s="105">
        <v>1770</v>
      </c>
      <c r="T36" s="110">
        <v>1770</v>
      </c>
    </row>
    <row r="37" spans="1:25" s="97" customFormat="1" ht="15" customHeight="1">
      <c r="A37" s="204"/>
      <c r="B37" s="223"/>
      <c r="C37" s="226"/>
      <c r="D37" s="233"/>
      <c r="E37" s="233"/>
      <c r="F37" s="104" t="s">
        <v>120</v>
      </c>
      <c r="G37" s="105">
        <f>G33+G34+G36</f>
        <v>9313.630000000001</v>
      </c>
      <c r="H37" s="105">
        <f t="shared" ref="H37" si="46">H33+H34+H36</f>
        <v>9470.9700000000012</v>
      </c>
      <c r="I37" s="105">
        <f t="shared" ref="I37" si="47">I33+I34+I36</f>
        <v>9632.0366666666669</v>
      </c>
      <c r="J37" s="105">
        <f t="shared" ref="J37" si="48">J33+J34+J36</f>
        <v>9801.0066666666662</v>
      </c>
      <c r="K37" s="105">
        <f t="shared" ref="K37" si="49">K33+K34+K36</f>
        <v>9966.1</v>
      </c>
      <c r="L37" s="105">
        <f t="shared" ref="L37" si="50">L33+L34+L36</f>
        <v>10144.766666666666</v>
      </c>
      <c r="M37" s="105">
        <f t="shared" ref="M37" si="51">M33+M34+M36</f>
        <v>10313.736666666668</v>
      </c>
      <c r="N37" s="105">
        <f t="shared" ref="N37" si="52">N33+N34+N36</f>
        <v>10502.1</v>
      </c>
      <c r="O37" s="105">
        <f t="shared" ref="O37" si="53">O33+O34+O36</f>
        <v>10680.766666666666</v>
      </c>
      <c r="P37" s="105">
        <f t="shared" ref="P37" si="54">P33+P34+P36</f>
        <v>10867.186666666666</v>
      </c>
      <c r="Q37" s="105">
        <f t="shared" ref="Q37" si="55">Q33+Q34+Q36</f>
        <v>11069.123333333333</v>
      </c>
      <c r="R37" s="105">
        <f t="shared" ref="R37" si="56">R33+R34+R36</f>
        <v>11271.05</v>
      </c>
      <c r="S37" s="105">
        <f t="shared" ref="S37" si="57">S33+S34+S36</f>
        <v>11474.920000000002</v>
      </c>
      <c r="T37" s="110">
        <f t="shared" ref="T37" si="58">T33+T34+T36</f>
        <v>11686.543333333333</v>
      </c>
    </row>
    <row r="38" spans="1:25" s="97" customFormat="1" ht="15" customHeight="1" thickBot="1">
      <c r="A38" s="205"/>
      <c r="B38" s="224"/>
      <c r="C38" s="227"/>
      <c r="D38" s="238"/>
      <c r="E38" s="238"/>
      <c r="F38" s="111" t="s">
        <v>121</v>
      </c>
      <c r="G38" s="112">
        <f>G33+G35+G36</f>
        <v>11253.400000000001</v>
      </c>
      <c r="H38" s="112">
        <f t="shared" ref="H38:T38" si="59">H33+H35+H36</f>
        <v>11410.74</v>
      </c>
      <c r="I38" s="112">
        <f t="shared" si="59"/>
        <v>11571.806666666667</v>
      </c>
      <c r="J38" s="112">
        <f t="shared" si="59"/>
        <v>11740.776666666667</v>
      </c>
      <c r="K38" s="112">
        <f t="shared" si="59"/>
        <v>11905.87</v>
      </c>
      <c r="L38" s="112">
        <f t="shared" si="59"/>
        <v>12084.536666666667</v>
      </c>
      <c r="M38" s="112">
        <f t="shared" si="59"/>
        <v>12253.506666666666</v>
      </c>
      <c r="N38" s="112">
        <f t="shared" si="59"/>
        <v>12441.869999999999</v>
      </c>
      <c r="O38" s="112">
        <f t="shared" si="59"/>
        <v>12620.536666666667</v>
      </c>
      <c r="P38" s="112">
        <f t="shared" si="59"/>
        <v>12806.956666666667</v>
      </c>
      <c r="Q38" s="112">
        <f t="shared" si="59"/>
        <v>13008.893333333333</v>
      </c>
      <c r="R38" s="112">
        <f t="shared" si="59"/>
        <v>13210.82</v>
      </c>
      <c r="S38" s="112">
        <f t="shared" si="59"/>
        <v>13414.690000000002</v>
      </c>
      <c r="T38" s="113">
        <f t="shared" si="59"/>
        <v>13626.313333333332</v>
      </c>
      <c r="W38" s="99"/>
      <c r="Y38" s="99"/>
    </row>
    <row r="39" spans="1:25" s="97" customFormat="1" ht="15" customHeight="1">
      <c r="A39" s="203" t="s">
        <v>37</v>
      </c>
      <c r="B39" s="214" t="s">
        <v>38</v>
      </c>
      <c r="C39" s="215" t="s">
        <v>39</v>
      </c>
      <c r="D39" s="221" t="s">
        <v>40</v>
      </c>
      <c r="E39" s="221" t="s">
        <v>41</v>
      </c>
      <c r="F39" s="114" t="s">
        <v>112</v>
      </c>
      <c r="G39" s="115">
        <v>44.71</v>
      </c>
      <c r="H39" s="115">
        <v>45.83</v>
      </c>
      <c r="I39" s="115">
        <v>46.98</v>
      </c>
      <c r="J39" s="115">
        <v>48.13</v>
      </c>
      <c r="K39" s="115">
        <v>49.33</v>
      </c>
      <c r="L39" s="115">
        <v>50.55</v>
      </c>
      <c r="M39" s="115">
        <v>51.8</v>
      </c>
      <c r="N39" s="115">
        <v>53.1</v>
      </c>
      <c r="O39" s="115">
        <v>54.1</v>
      </c>
      <c r="P39" s="115">
        <v>55.82</v>
      </c>
      <c r="Q39" s="115">
        <v>57.19</v>
      </c>
      <c r="R39" s="115">
        <v>58.64</v>
      </c>
      <c r="S39" s="115">
        <v>60.11</v>
      </c>
      <c r="T39" s="116">
        <v>61.61</v>
      </c>
      <c r="U39" s="97" t="s">
        <v>128</v>
      </c>
    </row>
    <row r="40" spans="1:25" s="97" customFormat="1" ht="15" customHeight="1">
      <c r="A40" s="204"/>
      <c r="B40" s="209"/>
      <c r="C40" s="216"/>
      <c r="D40" s="212"/>
      <c r="E40" s="212"/>
      <c r="F40" s="117" t="s">
        <v>114</v>
      </c>
      <c r="G40" s="118">
        <f>G39*2080/12</f>
        <v>7749.7333333333336</v>
      </c>
      <c r="H40" s="118">
        <f t="shared" ref="H40:T40" si="60">H39*2080/12</f>
        <v>7943.8666666666659</v>
      </c>
      <c r="I40" s="118">
        <f t="shared" si="60"/>
        <v>8143.2</v>
      </c>
      <c r="J40" s="118">
        <f t="shared" si="60"/>
        <v>8342.5333333333347</v>
      </c>
      <c r="K40" s="118">
        <f t="shared" si="60"/>
        <v>8550.5333333333328</v>
      </c>
      <c r="L40" s="118">
        <f t="shared" si="60"/>
        <v>8762</v>
      </c>
      <c r="M40" s="118">
        <f t="shared" si="60"/>
        <v>8978.6666666666661</v>
      </c>
      <c r="N40" s="118">
        <f t="shared" si="60"/>
        <v>9204</v>
      </c>
      <c r="O40" s="118">
        <f t="shared" si="60"/>
        <v>9377.3333333333339</v>
      </c>
      <c r="P40" s="118">
        <f t="shared" si="60"/>
        <v>9675.4666666666672</v>
      </c>
      <c r="Q40" s="118">
        <f t="shared" si="60"/>
        <v>9912.9333333333325</v>
      </c>
      <c r="R40" s="118">
        <f t="shared" si="60"/>
        <v>10164.266666666666</v>
      </c>
      <c r="S40" s="118">
        <f t="shared" si="60"/>
        <v>10419.066666666668</v>
      </c>
      <c r="T40" s="119">
        <f t="shared" si="60"/>
        <v>10679.066666666668</v>
      </c>
      <c r="V40" s="99"/>
      <c r="W40" s="99"/>
    </row>
    <row r="41" spans="1:25" s="97" customFormat="1" ht="15" customHeight="1">
      <c r="A41" s="204"/>
      <c r="B41" s="209"/>
      <c r="C41" s="216"/>
      <c r="D41" s="212"/>
      <c r="E41" s="212"/>
      <c r="F41" s="117" t="s">
        <v>115</v>
      </c>
      <c r="G41" s="118">
        <v>2172.63</v>
      </c>
      <c r="H41" s="118">
        <v>2196.09</v>
      </c>
      <c r="I41" s="118">
        <v>2220.0100000000002</v>
      </c>
      <c r="J41" s="118">
        <v>2244.08</v>
      </c>
      <c r="K41" s="118">
        <v>2269.04</v>
      </c>
      <c r="L41" s="118">
        <v>2294.5500000000002</v>
      </c>
      <c r="M41" s="118">
        <v>2320.5300000000002</v>
      </c>
      <c r="N41" s="118">
        <v>2347.6799999999998</v>
      </c>
      <c r="O41" s="118">
        <v>2368.5300000000002</v>
      </c>
      <c r="P41" s="118">
        <v>2404.46</v>
      </c>
      <c r="Q41" s="118">
        <v>2432.91</v>
      </c>
      <c r="R41" s="118">
        <v>2462.81</v>
      </c>
      <c r="S41" s="118">
        <v>2493.0700000000002</v>
      </c>
      <c r="T41" s="119">
        <v>2523.8000000000002</v>
      </c>
    </row>
    <row r="42" spans="1:25" s="97" customFormat="1" ht="15" customHeight="1">
      <c r="A42" s="204"/>
      <c r="B42" s="209"/>
      <c r="C42" s="216"/>
      <c r="D42" s="212"/>
      <c r="E42" s="212"/>
      <c r="F42" s="117" t="s">
        <v>124</v>
      </c>
      <c r="G42" s="118">
        <v>4112.3999999999996</v>
      </c>
      <c r="H42" s="118">
        <v>4135.8599999999997</v>
      </c>
      <c r="I42" s="118">
        <v>4159.78</v>
      </c>
      <c r="J42" s="118">
        <v>4183.8500000000004</v>
      </c>
      <c r="K42" s="118">
        <v>4208.8100000000004</v>
      </c>
      <c r="L42" s="118">
        <v>4234.32</v>
      </c>
      <c r="M42" s="118">
        <v>4260.3</v>
      </c>
      <c r="N42" s="118">
        <v>4287.45</v>
      </c>
      <c r="O42" s="118">
        <v>4308.3</v>
      </c>
      <c r="P42" s="118">
        <v>4344.2299999999996</v>
      </c>
      <c r="Q42" s="118">
        <v>4372.68</v>
      </c>
      <c r="R42" s="118">
        <v>4402.58</v>
      </c>
      <c r="S42" s="118">
        <v>4432.84</v>
      </c>
      <c r="T42" s="119">
        <v>4463.57</v>
      </c>
      <c r="V42" s="99"/>
    </row>
    <row r="43" spans="1:25" s="97" customFormat="1" ht="15" customHeight="1">
      <c r="A43" s="204"/>
      <c r="B43" s="209"/>
      <c r="C43" s="216"/>
      <c r="D43" s="212"/>
      <c r="E43" s="212"/>
      <c r="F43" s="117" t="s">
        <v>119</v>
      </c>
      <c r="G43" s="118">
        <v>1770</v>
      </c>
      <c r="H43" s="118">
        <v>1770</v>
      </c>
      <c r="I43" s="118">
        <v>1770</v>
      </c>
      <c r="J43" s="118">
        <v>1770</v>
      </c>
      <c r="K43" s="118">
        <v>1770</v>
      </c>
      <c r="L43" s="118">
        <v>1770</v>
      </c>
      <c r="M43" s="118">
        <v>1770</v>
      </c>
      <c r="N43" s="118">
        <v>1770</v>
      </c>
      <c r="O43" s="118">
        <v>1770</v>
      </c>
      <c r="P43" s="118">
        <v>1770</v>
      </c>
      <c r="Q43" s="118">
        <v>1770</v>
      </c>
      <c r="R43" s="118">
        <v>1770</v>
      </c>
      <c r="S43" s="118">
        <v>1770</v>
      </c>
      <c r="T43" s="119">
        <v>1770</v>
      </c>
    </row>
    <row r="44" spans="1:25" s="97" customFormat="1" ht="15" customHeight="1">
      <c r="A44" s="204"/>
      <c r="B44" s="209"/>
      <c r="C44" s="216"/>
      <c r="D44" s="212"/>
      <c r="E44" s="212"/>
      <c r="F44" s="117" t="s">
        <v>126</v>
      </c>
      <c r="G44" s="118">
        <f>G40+G41+G43</f>
        <v>11692.363333333335</v>
      </c>
      <c r="H44" s="118">
        <f t="shared" ref="H44:T44" si="61">H40+H41+H43</f>
        <v>11909.956666666665</v>
      </c>
      <c r="I44" s="118">
        <f t="shared" si="61"/>
        <v>12133.21</v>
      </c>
      <c r="J44" s="118">
        <f t="shared" si="61"/>
        <v>12356.613333333335</v>
      </c>
      <c r="K44" s="118">
        <f t="shared" si="61"/>
        <v>12589.573333333334</v>
      </c>
      <c r="L44" s="118">
        <f t="shared" si="61"/>
        <v>12826.55</v>
      </c>
      <c r="M44" s="118">
        <f t="shared" si="61"/>
        <v>13069.196666666667</v>
      </c>
      <c r="N44" s="118">
        <f t="shared" si="61"/>
        <v>13321.68</v>
      </c>
      <c r="O44" s="118">
        <f t="shared" si="61"/>
        <v>13515.863333333335</v>
      </c>
      <c r="P44" s="118">
        <f t="shared" si="61"/>
        <v>13849.926666666666</v>
      </c>
      <c r="Q44" s="118">
        <f t="shared" si="61"/>
        <v>14115.843333333332</v>
      </c>
      <c r="R44" s="118">
        <f t="shared" si="61"/>
        <v>14397.076666666666</v>
      </c>
      <c r="S44" s="118">
        <f t="shared" si="61"/>
        <v>14682.136666666667</v>
      </c>
      <c r="T44" s="119">
        <f t="shared" si="61"/>
        <v>14972.866666666669</v>
      </c>
      <c r="V44" s="99"/>
    </row>
    <row r="45" spans="1:25" s="97" customFormat="1" ht="15" customHeight="1" thickBot="1">
      <c r="A45" s="205"/>
      <c r="B45" s="210"/>
      <c r="C45" s="217"/>
      <c r="D45" s="213"/>
      <c r="E45" s="213"/>
      <c r="F45" s="120" t="s">
        <v>121</v>
      </c>
      <c r="G45" s="121">
        <f>G40+G42+G43</f>
        <v>13632.133333333333</v>
      </c>
      <c r="H45" s="121">
        <f t="shared" ref="H45:T45" si="62">H40+H42+H43</f>
        <v>13849.726666666666</v>
      </c>
      <c r="I45" s="121">
        <f t="shared" si="62"/>
        <v>14072.98</v>
      </c>
      <c r="J45" s="121">
        <f t="shared" si="62"/>
        <v>14296.383333333335</v>
      </c>
      <c r="K45" s="121">
        <f t="shared" si="62"/>
        <v>14529.343333333334</v>
      </c>
      <c r="L45" s="121">
        <f t="shared" si="62"/>
        <v>14766.32</v>
      </c>
      <c r="M45" s="121">
        <f t="shared" si="62"/>
        <v>15008.966666666667</v>
      </c>
      <c r="N45" s="121">
        <f t="shared" si="62"/>
        <v>15261.45</v>
      </c>
      <c r="O45" s="121">
        <f t="shared" si="62"/>
        <v>15455.633333333335</v>
      </c>
      <c r="P45" s="121">
        <f t="shared" si="62"/>
        <v>15789.696666666667</v>
      </c>
      <c r="Q45" s="121">
        <f t="shared" si="62"/>
        <v>16055.613333333333</v>
      </c>
      <c r="R45" s="121">
        <f t="shared" si="62"/>
        <v>16336.846666666666</v>
      </c>
      <c r="S45" s="121">
        <f t="shared" si="62"/>
        <v>16621.906666666669</v>
      </c>
      <c r="T45" s="122">
        <f t="shared" si="62"/>
        <v>16912.636666666665</v>
      </c>
      <c r="V45" s="99"/>
    </row>
    <row r="46" spans="1:25" s="97" customFormat="1" ht="15" customHeight="1">
      <c r="A46" s="218" t="s">
        <v>209</v>
      </c>
      <c r="B46" s="131"/>
      <c r="C46" s="132"/>
      <c r="D46" s="133"/>
      <c r="E46" s="133"/>
      <c r="F46" s="125" t="s">
        <v>112</v>
      </c>
      <c r="G46" s="129">
        <f>G47*12/2080</f>
        <v>53.179038461538461</v>
      </c>
      <c r="H46" s="129">
        <f>H47*12/2080</f>
        <v>54.896721403846151</v>
      </c>
      <c r="I46" s="129">
        <f t="shared" ref="I46:T46" si="63">I47*12/2080</f>
        <v>56.669885505190372</v>
      </c>
      <c r="J46" s="129">
        <f t="shared" si="63"/>
        <v>58.500322807008018</v>
      </c>
      <c r="K46" s="129">
        <f t="shared" si="63"/>
        <v>60.389883233674375</v>
      </c>
      <c r="L46" s="129">
        <f t="shared" si="63"/>
        <v>62.340476462122062</v>
      </c>
      <c r="M46" s="129">
        <f t="shared" si="63"/>
        <v>64.354073851848597</v>
      </c>
      <c r="N46" s="129">
        <f t="shared" si="63"/>
        <v>66.43271043726331</v>
      </c>
      <c r="O46" s="129">
        <f t="shared" si="63"/>
        <v>68.578486984386927</v>
      </c>
      <c r="P46" s="129">
        <f t="shared" si="63"/>
        <v>70.79357211398262</v>
      </c>
      <c r="Q46" s="129">
        <f t="shared" si="63"/>
        <v>73.080204493264262</v>
      </c>
      <c r="R46" s="129">
        <f t="shared" si="63"/>
        <v>75.440695098396688</v>
      </c>
      <c r="S46" s="129">
        <f t="shared" si="63"/>
        <v>77.877429550074908</v>
      </c>
      <c r="T46" s="130">
        <f t="shared" si="63"/>
        <v>80.392870524542332</v>
      </c>
      <c r="V46" s="99"/>
    </row>
    <row r="47" spans="1:25" s="97" customFormat="1" ht="15" customHeight="1">
      <c r="A47" s="206"/>
      <c r="B47" s="161"/>
      <c r="C47" s="123"/>
      <c r="D47" s="124"/>
      <c r="E47" s="124"/>
      <c r="F47" s="104" t="s">
        <v>114</v>
      </c>
      <c r="G47" s="105">
        <f>110612.4/12</f>
        <v>9217.6999999999989</v>
      </c>
      <c r="H47" s="105">
        <f>G47*1.0323</f>
        <v>9515.4317099999989</v>
      </c>
      <c r="I47" s="105">
        <f t="shared" ref="I47:T47" si="64">H47*1.0323</f>
        <v>9822.780154232998</v>
      </c>
      <c r="J47" s="105">
        <f t="shared" si="64"/>
        <v>10140.055953214724</v>
      </c>
      <c r="K47" s="105">
        <f t="shared" si="64"/>
        <v>10467.579760503559</v>
      </c>
      <c r="L47" s="105">
        <f t="shared" si="64"/>
        <v>10805.682586767824</v>
      </c>
      <c r="M47" s="105">
        <f t="shared" si="64"/>
        <v>11154.706134320424</v>
      </c>
      <c r="N47" s="105">
        <f t="shared" si="64"/>
        <v>11515.003142458974</v>
      </c>
      <c r="O47" s="105">
        <f t="shared" si="64"/>
        <v>11886.9377439604</v>
      </c>
      <c r="P47" s="105">
        <f t="shared" si="64"/>
        <v>12270.88583309032</v>
      </c>
      <c r="Q47" s="105">
        <f t="shared" si="64"/>
        <v>12667.235445499138</v>
      </c>
      <c r="R47" s="105">
        <f t="shared" si="64"/>
        <v>13076.38715038876</v>
      </c>
      <c r="S47" s="105">
        <f t="shared" si="64"/>
        <v>13498.754455346318</v>
      </c>
      <c r="T47" s="110">
        <f t="shared" si="64"/>
        <v>13934.764224254004</v>
      </c>
      <c r="V47" s="99"/>
    </row>
    <row r="48" spans="1:25" s="97" customFormat="1" ht="15" customHeight="1">
      <c r="A48" s="206"/>
      <c r="B48" s="161"/>
      <c r="C48" s="123"/>
      <c r="D48" s="124"/>
      <c r="E48" s="124"/>
      <c r="F48" s="104" t="s">
        <v>115</v>
      </c>
      <c r="G48" s="105">
        <v>2349.33</v>
      </c>
      <c r="H48" s="105">
        <v>2385.2600000000002</v>
      </c>
      <c r="I48" s="105">
        <v>2422.0700000000002</v>
      </c>
      <c r="J48" s="105">
        <v>2459.98</v>
      </c>
      <c r="K48" s="105">
        <v>2498.73</v>
      </c>
      <c r="L48" s="105">
        <v>2538.6799999999998</v>
      </c>
      <c r="M48" s="105">
        <v>2579.85</v>
      </c>
      <c r="N48" s="105">
        <v>2622.58</v>
      </c>
      <c r="O48" s="105">
        <v>2666.58</v>
      </c>
      <c r="P48" s="105">
        <v>2711.93</v>
      </c>
      <c r="Q48" s="105">
        <v>2758.9</v>
      </c>
      <c r="R48" s="105">
        <v>2807.13</v>
      </c>
      <c r="S48" s="105">
        <v>2857.13</v>
      </c>
      <c r="T48" s="110">
        <v>2908.68</v>
      </c>
      <c r="V48" s="99"/>
    </row>
    <row r="49" spans="1:22" s="97" customFormat="1" ht="15" customHeight="1">
      <c r="A49" s="206"/>
      <c r="B49" s="161"/>
      <c r="C49" s="123"/>
      <c r="D49" s="124"/>
      <c r="E49" s="124"/>
      <c r="F49" s="104" t="s">
        <v>124</v>
      </c>
      <c r="G49" s="105">
        <v>4289.1000000000004</v>
      </c>
      <c r="H49" s="105">
        <v>4325.03</v>
      </c>
      <c r="I49" s="105">
        <v>4361.84</v>
      </c>
      <c r="J49" s="105">
        <v>4399.75</v>
      </c>
      <c r="K49" s="105">
        <v>4438.5</v>
      </c>
      <c r="L49" s="105">
        <v>4478.45</v>
      </c>
      <c r="M49" s="105">
        <v>4519.62</v>
      </c>
      <c r="N49" s="105">
        <v>4562.3500000000004</v>
      </c>
      <c r="O49" s="105">
        <v>4606.3500000000004</v>
      </c>
      <c r="P49" s="105">
        <v>4651.7</v>
      </c>
      <c r="Q49" s="105">
        <v>4698.67</v>
      </c>
      <c r="R49" s="105">
        <v>4746.8999999999996</v>
      </c>
      <c r="S49" s="105">
        <v>4796.8999999999996</v>
      </c>
      <c r="T49" s="110">
        <v>4848.45</v>
      </c>
      <c r="V49" s="99"/>
    </row>
    <row r="50" spans="1:22" s="97" customFormat="1" ht="15" customHeight="1">
      <c r="A50" s="206"/>
      <c r="B50" s="161"/>
      <c r="C50" s="123"/>
      <c r="D50" s="124"/>
      <c r="E50" s="124"/>
      <c r="F50" s="104" t="s">
        <v>119</v>
      </c>
      <c r="G50" s="105">
        <v>1770</v>
      </c>
      <c r="H50" s="105">
        <v>1770</v>
      </c>
      <c r="I50" s="105">
        <v>1770</v>
      </c>
      <c r="J50" s="105">
        <v>1770</v>
      </c>
      <c r="K50" s="105">
        <v>1770</v>
      </c>
      <c r="L50" s="105">
        <v>1770</v>
      </c>
      <c r="M50" s="105">
        <v>1770</v>
      </c>
      <c r="N50" s="105">
        <v>1770</v>
      </c>
      <c r="O50" s="105">
        <v>1770</v>
      </c>
      <c r="P50" s="105">
        <v>1770</v>
      </c>
      <c r="Q50" s="105">
        <v>1770</v>
      </c>
      <c r="R50" s="105">
        <v>1770</v>
      </c>
      <c r="S50" s="105">
        <v>1770</v>
      </c>
      <c r="T50" s="110">
        <v>1770</v>
      </c>
    </row>
    <row r="51" spans="1:22" s="97" customFormat="1" ht="15" customHeight="1">
      <c r="A51" s="206"/>
      <c r="B51" s="161"/>
      <c r="C51" s="123"/>
      <c r="D51" s="124"/>
      <c r="E51" s="124"/>
      <c r="F51" s="104" t="s">
        <v>126</v>
      </c>
      <c r="G51" s="105">
        <f>+G47+G48+G50</f>
        <v>13337.029999999999</v>
      </c>
      <c r="H51" s="105">
        <f t="shared" ref="H51:T51" si="65">+H47+H48+H50</f>
        <v>13670.691709999999</v>
      </c>
      <c r="I51" s="105">
        <f t="shared" si="65"/>
        <v>14014.850154232998</v>
      </c>
      <c r="J51" s="105">
        <f t="shared" si="65"/>
        <v>14370.035953214723</v>
      </c>
      <c r="K51" s="105">
        <f t="shared" si="65"/>
        <v>14736.309760503558</v>
      </c>
      <c r="L51" s="105">
        <f t="shared" si="65"/>
        <v>15114.362586767824</v>
      </c>
      <c r="M51" s="105">
        <f t="shared" si="65"/>
        <v>15504.556134320424</v>
      </c>
      <c r="N51" s="105">
        <f t="shared" si="65"/>
        <v>15907.583142458974</v>
      </c>
      <c r="O51" s="105">
        <f t="shared" si="65"/>
        <v>16323.517743960399</v>
      </c>
      <c r="P51" s="105">
        <f t="shared" si="65"/>
        <v>16752.815833090321</v>
      </c>
      <c r="Q51" s="105">
        <f t="shared" si="65"/>
        <v>17196.135445499138</v>
      </c>
      <c r="R51" s="105">
        <f t="shared" si="65"/>
        <v>17653.517150388761</v>
      </c>
      <c r="S51" s="105">
        <f t="shared" si="65"/>
        <v>18125.884455346317</v>
      </c>
      <c r="T51" s="110">
        <f t="shared" si="65"/>
        <v>18613.444224254003</v>
      </c>
    </row>
    <row r="52" spans="1:22" s="97" customFormat="1" ht="15" customHeight="1" thickBot="1">
      <c r="A52" s="207"/>
      <c r="B52" s="162"/>
      <c r="C52" s="134"/>
      <c r="D52" s="135"/>
      <c r="E52" s="135"/>
      <c r="F52" s="111" t="s">
        <v>121</v>
      </c>
      <c r="G52" s="112">
        <f>+G47+G49+G50</f>
        <v>15276.8</v>
      </c>
      <c r="H52" s="112">
        <f t="shared" ref="H52:T52" si="66">+H47+H49+H50</f>
        <v>15610.46171</v>
      </c>
      <c r="I52" s="112">
        <f t="shared" si="66"/>
        <v>15954.620154232998</v>
      </c>
      <c r="J52" s="112">
        <f t="shared" si="66"/>
        <v>16309.805953214724</v>
      </c>
      <c r="K52" s="112">
        <f t="shared" si="66"/>
        <v>16676.079760503559</v>
      </c>
      <c r="L52" s="112">
        <f t="shared" si="66"/>
        <v>17054.132586767824</v>
      </c>
      <c r="M52" s="112">
        <f t="shared" si="66"/>
        <v>17444.326134320425</v>
      </c>
      <c r="N52" s="112">
        <f t="shared" si="66"/>
        <v>17847.353142458975</v>
      </c>
      <c r="O52" s="112">
        <f t="shared" si="66"/>
        <v>18263.287743960398</v>
      </c>
      <c r="P52" s="112">
        <f t="shared" si="66"/>
        <v>18692.585833090321</v>
      </c>
      <c r="Q52" s="112">
        <f t="shared" si="66"/>
        <v>19135.905445499138</v>
      </c>
      <c r="R52" s="112">
        <f t="shared" si="66"/>
        <v>19593.287150388758</v>
      </c>
      <c r="S52" s="112">
        <f t="shared" si="66"/>
        <v>20065.654455346317</v>
      </c>
      <c r="T52" s="113">
        <f t="shared" si="66"/>
        <v>20553.214224254003</v>
      </c>
      <c r="V52" s="99"/>
    </row>
    <row r="53" spans="1:22" s="97" customFormat="1" ht="15" customHeight="1">
      <c r="A53" s="218" t="s">
        <v>210</v>
      </c>
      <c r="B53" s="131"/>
      <c r="C53" s="132"/>
      <c r="D53" s="133"/>
      <c r="E53" s="133"/>
      <c r="F53" s="114" t="s">
        <v>112</v>
      </c>
      <c r="G53" s="115">
        <f>G54*12/2080</f>
        <v>53.179038461538461</v>
      </c>
      <c r="H53" s="115">
        <f>H54*12/2080</f>
        <v>54.896721403846151</v>
      </c>
      <c r="I53" s="115">
        <f t="shared" ref="I53:T53" si="67">I54*12/2080</f>
        <v>56.669885505190372</v>
      </c>
      <c r="J53" s="115">
        <f t="shared" si="67"/>
        <v>58.500322807008018</v>
      </c>
      <c r="K53" s="115">
        <f t="shared" si="67"/>
        <v>60.389883233674375</v>
      </c>
      <c r="L53" s="115">
        <f t="shared" si="67"/>
        <v>62.340476462122062</v>
      </c>
      <c r="M53" s="115">
        <f t="shared" si="67"/>
        <v>64.354073851848597</v>
      </c>
      <c r="N53" s="115">
        <f t="shared" si="67"/>
        <v>66.43271043726331</v>
      </c>
      <c r="O53" s="115">
        <f t="shared" si="67"/>
        <v>68.578486984386927</v>
      </c>
      <c r="P53" s="115">
        <f t="shared" si="67"/>
        <v>70.79357211398262</v>
      </c>
      <c r="Q53" s="115">
        <f t="shared" si="67"/>
        <v>73.080204493264262</v>
      </c>
      <c r="R53" s="115">
        <f t="shared" si="67"/>
        <v>75.440695098396688</v>
      </c>
      <c r="S53" s="115">
        <f t="shared" si="67"/>
        <v>77.877429550074908</v>
      </c>
      <c r="T53" s="116">
        <f t="shared" si="67"/>
        <v>80.392870524542332</v>
      </c>
      <c r="V53" s="99"/>
    </row>
    <row r="54" spans="1:22" s="97" customFormat="1" ht="15" customHeight="1">
      <c r="A54" s="206"/>
      <c r="B54" s="161"/>
      <c r="C54" s="123"/>
      <c r="D54" s="124"/>
      <c r="E54" s="124"/>
      <c r="F54" s="117" t="s">
        <v>114</v>
      </c>
      <c r="G54" s="118">
        <f>110612.4/12</f>
        <v>9217.6999999999989</v>
      </c>
      <c r="H54" s="118">
        <f>G54*1.0323</f>
        <v>9515.4317099999989</v>
      </c>
      <c r="I54" s="118">
        <f t="shared" ref="I54:T54" si="68">H54*1.0323</f>
        <v>9822.780154232998</v>
      </c>
      <c r="J54" s="118">
        <f t="shared" si="68"/>
        <v>10140.055953214724</v>
      </c>
      <c r="K54" s="118">
        <f t="shared" si="68"/>
        <v>10467.579760503559</v>
      </c>
      <c r="L54" s="118">
        <f t="shared" si="68"/>
        <v>10805.682586767824</v>
      </c>
      <c r="M54" s="118">
        <f t="shared" si="68"/>
        <v>11154.706134320424</v>
      </c>
      <c r="N54" s="118">
        <f t="shared" si="68"/>
        <v>11515.003142458974</v>
      </c>
      <c r="O54" s="118">
        <f t="shared" si="68"/>
        <v>11886.9377439604</v>
      </c>
      <c r="P54" s="118">
        <f t="shared" si="68"/>
        <v>12270.88583309032</v>
      </c>
      <c r="Q54" s="118">
        <f t="shared" si="68"/>
        <v>12667.235445499138</v>
      </c>
      <c r="R54" s="118">
        <f t="shared" si="68"/>
        <v>13076.38715038876</v>
      </c>
      <c r="S54" s="118">
        <f t="shared" si="68"/>
        <v>13498.754455346318</v>
      </c>
      <c r="T54" s="119">
        <f t="shared" si="68"/>
        <v>13934.764224254004</v>
      </c>
      <c r="V54" s="99"/>
    </row>
    <row r="55" spans="1:22" s="97" customFormat="1" ht="15" customHeight="1">
      <c r="A55" s="206"/>
      <c r="B55" s="161"/>
      <c r="C55" s="123"/>
      <c r="D55" s="124"/>
      <c r="E55" s="124"/>
      <c r="F55" s="117" t="s">
        <v>115</v>
      </c>
      <c r="G55" s="118">
        <v>2349.33</v>
      </c>
      <c r="H55" s="118">
        <v>2385.2600000000002</v>
      </c>
      <c r="I55" s="118">
        <v>2422.0700000000002</v>
      </c>
      <c r="J55" s="118">
        <v>2459.98</v>
      </c>
      <c r="K55" s="118">
        <v>2498.73</v>
      </c>
      <c r="L55" s="118">
        <v>2538.6799999999998</v>
      </c>
      <c r="M55" s="118">
        <v>2579.85</v>
      </c>
      <c r="N55" s="118">
        <v>2622.58</v>
      </c>
      <c r="O55" s="118">
        <v>2666.58</v>
      </c>
      <c r="P55" s="118">
        <v>2711.93</v>
      </c>
      <c r="Q55" s="118">
        <v>2758.9</v>
      </c>
      <c r="R55" s="118">
        <v>2807.13</v>
      </c>
      <c r="S55" s="118">
        <v>2857.13</v>
      </c>
      <c r="T55" s="119">
        <v>2908.68</v>
      </c>
      <c r="V55" s="99"/>
    </row>
    <row r="56" spans="1:22" s="97" customFormat="1" ht="15" customHeight="1">
      <c r="A56" s="206"/>
      <c r="B56" s="161"/>
      <c r="C56" s="123"/>
      <c r="D56" s="124"/>
      <c r="E56" s="124"/>
      <c r="F56" s="117" t="s">
        <v>124</v>
      </c>
      <c r="G56" s="118">
        <v>4289.1000000000004</v>
      </c>
      <c r="H56" s="118">
        <v>4325.03</v>
      </c>
      <c r="I56" s="118">
        <v>4361.84</v>
      </c>
      <c r="J56" s="118">
        <v>4399.75</v>
      </c>
      <c r="K56" s="118">
        <v>4438.5</v>
      </c>
      <c r="L56" s="118">
        <v>4478.45</v>
      </c>
      <c r="M56" s="118">
        <v>4519.62</v>
      </c>
      <c r="N56" s="118">
        <v>4562.3500000000004</v>
      </c>
      <c r="O56" s="118">
        <v>4606.3500000000004</v>
      </c>
      <c r="P56" s="118">
        <v>4651.7</v>
      </c>
      <c r="Q56" s="118">
        <v>4698.67</v>
      </c>
      <c r="R56" s="118">
        <v>4746.8999999999996</v>
      </c>
      <c r="S56" s="118">
        <v>4796.8999999999996</v>
      </c>
      <c r="T56" s="119">
        <v>4848.45</v>
      </c>
      <c r="V56" s="99"/>
    </row>
    <row r="57" spans="1:22" s="97" customFormat="1" ht="15" customHeight="1">
      <c r="A57" s="206"/>
      <c r="B57" s="161"/>
      <c r="C57" s="123"/>
      <c r="D57" s="124"/>
      <c r="E57" s="124"/>
      <c r="F57" s="117" t="s">
        <v>119</v>
      </c>
      <c r="G57" s="118">
        <v>1770</v>
      </c>
      <c r="H57" s="118">
        <v>1770</v>
      </c>
      <c r="I57" s="118">
        <v>1770</v>
      </c>
      <c r="J57" s="118">
        <v>1770</v>
      </c>
      <c r="K57" s="118">
        <v>1770</v>
      </c>
      <c r="L57" s="118">
        <v>1770</v>
      </c>
      <c r="M57" s="118">
        <v>1770</v>
      </c>
      <c r="N57" s="118">
        <v>1770</v>
      </c>
      <c r="O57" s="118">
        <v>1770</v>
      </c>
      <c r="P57" s="118">
        <v>1770</v>
      </c>
      <c r="Q57" s="118">
        <v>1770</v>
      </c>
      <c r="R57" s="118">
        <v>1770</v>
      </c>
      <c r="S57" s="118">
        <v>1770</v>
      </c>
      <c r="T57" s="119">
        <v>1770</v>
      </c>
    </row>
    <row r="58" spans="1:22" s="97" customFormat="1" ht="15" customHeight="1">
      <c r="A58" s="206"/>
      <c r="B58" s="161"/>
      <c r="C58" s="123"/>
      <c r="D58" s="124"/>
      <c r="E58" s="124"/>
      <c r="F58" s="117" t="s">
        <v>126</v>
      </c>
      <c r="G58" s="118">
        <f>+G54+G55+G57</f>
        <v>13337.029999999999</v>
      </c>
      <c r="H58" s="118">
        <f t="shared" ref="H58:T58" si="69">+H54+H55+H57</f>
        <v>13670.691709999999</v>
      </c>
      <c r="I58" s="118">
        <f t="shared" si="69"/>
        <v>14014.850154232998</v>
      </c>
      <c r="J58" s="118">
        <f t="shared" si="69"/>
        <v>14370.035953214723</v>
      </c>
      <c r="K58" s="118">
        <f t="shared" si="69"/>
        <v>14736.309760503558</v>
      </c>
      <c r="L58" s="118">
        <f t="shared" si="69"/>
        <v>15114.362586767824</v>
      </c>
      <c r="M58" s="118">
        <f t="shared" si="69"/>
        <v>15504.556134320424</v>
      </c>
      <c r="N58" s="118">
        <f t="shared" si="69"/>
        <v>15907.583142458974</v>
      </c>
      <c r="O58" s="118">
        <f t="shared" si="69"/>
        <v>16323.517743960399</v>
      </c>
      <c r="P58" s="118">
        <f t="shared" si="69"/>
        <v>16752.815833090321</v>
      </c>
      <c r="Q58" s="118">
        <f t="shared" si="69"/>
        <v>17196.135445499138</v>
      </c>
      <c r="R58" s="118">
        <f t="shared" si="69"/>
        <v>17653.517150388761</v>
      </c>
      <c r="S58" s="118">
        <f t="shared" si="69"/>
        <v>18125.884455346317</v>
      </c>
      <c r="T58" s="119">
        <f t="shared" si="69"/>
        <v>18613.444224254003</v>
      </c>
    </row>
    <row r="59" spans="1:22" s="97" customFormat="1" ht="15" customHeight="1" thickBot="1">
      <c r="A59" s="207"/>
      <c r="B59" s="162"/>
      <c r="C59" s="134"/>
      <c r="D59" s="135"/>
      <c r="E59" s="135"/>
      <c r="F59" s="120" t="s">
        <v>121</v>
      </c>
      <c r="G59" s="121">
        <f>+G54+G56+G57</f>
        <v>15276.8</v>
      </c>
      <c r="H59" s="121">
        <f t="shared" ref="H59:T59" si="70">+H54+H56+H57</f>
        <v>15610.46171</v>
      </c>
      <c r="I59" s="121">
        <f t="shared" si="70"/>
        <v>15954.620154232998</v>
      </c>
      <c r="J59" s="121">
        <f t="shared" si="70"/>
        <v>16309.805953214724</v>
      </c>
      <c r="K59" s="121">
        <f t="shared" si="70"/>
        <v>16676.079760503559</v>
      </c>
      <c r="L59" s="121">
        <f t="shared" si="70"/>
        <v>17054.132586767824</v>
      </c>
      <c r="M59" s="121">
        <f t="shared" si="70"/>
        <v>17444.326134320425</v>
      </c>
      <c r="N59" s="121">
        <f t="shared" si="70"/>
        <v>17847.353142458975</v>
      </c>
      <c r="O59" s="121">
        <f t="shared" si="70"/>
        <v>18263.287743960398</v>
      </c>
      <c r="P59" s="121">
        <f t="shared" si="70"/>
        <v>18692.585833090321</v>
      </c>
      <c r="Q59" s="121">
        <f t="shared" si="70"/>
        <v>19135.905445499138</v>
      </c>
      <c r="R59" s="121">
        <f t="shared" si="70"/>
        <v>19593.287150388758</v>
      </c>
      <c r="S59" s="121">
        <f t="shared" si="70"/>
        <v>20065.654455346317</v>
      </c>
      <c r="T59" s="122">
        <f t="shared" si="70"/>
        <v>20553.214224254003</v>
      </c>
      <c r="V59" s="99"/>
    </row>
    <row r="60" spans="1:22" s="97" customFormat="1" ht="15" customHeight="1">
      <c r="A60" s="218" t="s">
        <v>211</v>
      </c>
      <c r="B60" s="131"/>
      <c r="C60" s="132"/>
      <c r="D60" s="133"/>
      <c r="E60" s="133"/>
      <c r="F60" s="125" t="s">
        <v>112</v>
      </c>
      <c r="G60" s="129">
        <f>G61*12/2080</f>
        <v>57.166269230769231</v>
      </c>
      <c r="H60" s="129">
        <f>H61*12/2080</f>
        <v>59.01273972692308</v>
      </c>
      <c r="I60" s="129">
        <f t="shared" ref="I60:T60" si="71">I61*12/2080</f>
        <v>60.918851220102695</v>
      </c>
      <c r="J60" s="129">
        <f t="shared" si="71"/>
        <v>62.886530114512006</v>
      </c>
      <c r="K60" s="129">
        <f t="shared" si="71"/>
        <v>64.917765037210742</v>
      </c>
      <c r="L60" s="129">
        <f t="shared" si="71"/>
        <v>67.014608847912655</v>
      </c>
      <c r="M60" s="129">
        <f t="shared" si="71"/>
        <v>69.179180713700219</v>
      </c>
      <c r="N60" s="129">
        <f t="shared" si="71"/>
        <v>71.41366825075275</v>
      </c>
      <c r="O60" s="129">
        <f t="shared" si="71"/>
        <v>73.720329735252065</v>
      </c>
      <c r="P60" s="129">
        <f t="shared" si="71"/>
        <v>76.101496385700699</v>
      </c>
      <c r="Q60" s="129">
        <f t="shared" si="71"/>
        <v>78.559574718958814</v>
      </c>
      <c r="R60" s="129">
        <f t="shared" si="71"/>
        <v>81.097048982381182</v>
      </c>
      <c r="S60" s="129">
        <f t="shared" si="71"/>
        <v>83.716483664512097</v>
      </c>
      <c r="T60" s="130">
        <f t="shared" si="71"/>
        <v>86.420526086875853</v>
      </c>
      <c r="V60" s="99"/>
    </row>
    <row r="61" spans="1:22" s="97" customFormat="1" ht="15" customHeight="1">
      <c r="A61" s="206"/>
      <c r="B61" s="161"/>
      <c r="C61" s="123"/>
      <c r="D61" s="124"/>
      <c r="E61" s="124"/>
      <c r="F61" s="104" t="s">
        <v>114</v>
      </c>
      <c r="G61" s="105">
        <v>9908.82</v>
      </c>
      <c r="H61" s="105">
        <f>G61*1.0323</f>
        <v>10228.874886</v>
      </c>
      <c r="I61" s="105">
        <f t="shared" ref="I61:T61" si="72">H61*1.0323</f>
        <v>10559.2675448178</v>
      </c>
      <c r="J61" s="105">
        <f t="shared" si="72"/>
        <v>10900.331886515414</v>
      </c>
      <c r="K61" s="105">
        <f t="shared" si="72"/>
        <v>11252.412606449861</v>
      </c>
      <c r="L61" s="105">
        <f t="shared" si="72"/>
        <v>11615.865533638193</v>
      </c>
      <c r="M61" s="105">
        <f t="shared" si="72"/>
        <v>11991.057990374706</v>
      </c>
      <c r="N61" s="105">
        <f t="shared" si="72"/>
        <v>12378.369163463809</v>
      </c>
      <c r="O61" s="105">
        <f t="shared" si="72"/>
        <v>12778.19048744369</v>
      </c>
      <c r="P61" s="105">
        <f t="shared" si="72"/>
        <v>13190.92604018812</v>
      </c>
      <c r="Q61" s="105">
        <f t="shared" si="72"/>
        <v>13616.992951286196</v>
      </c>
      <c r="R61" s="105">
        <f t="shared" si="72"/>
        <v>14056.82182361274</v>
      </c>
      <c r="S61" s="105">
        <f t="shared" si="72"/>
        <v>14510.857168515431</v>
      </c>
      <c r="T61" s="110">
        <f t="shared" si="72"/>
        <v>14979.55785505848</v>
      </c>
      <c r="V61" s="99"/>
    </row>
    <row r="62" spans="1:22" s="97" customFormat="1" ht="15" customHeight="1">
      <c r="A62" s="206"/>
      <c r="B62" s="161"/>
      <c r="C62" s="123"/>
      <c r="D62" s="124"/>
      <c r="E62" s="124"/>
      <c r="F62" s="104" t="s">
        <v>115</v>
      </c>
      <c r="G62" s="105">
        <v>2432.5</v>
      </c>
      <c r="H62" s="105">
        <v>2470.4299999999998</v>
      </c>
      <c r="I62" s="105">
        <v>2509.5700000000002</v>
      </c>
      <c r="J62" s="105">
        <v>2549.94</v>
      </c>
      <c r="K62" s="105">
        <v>2591.65</v>
      </c>
      <c r="L62" s="105">
        <v>2634.44</v>
      </c>
      <c r="M62" s="105">
        <v>2678.84</v>
      </c>
      <c r="N62" s="105">
        <v>2724.59</v>
      </c>
      <c r="O62" s="105">
        <v>2771.96</v>
      </c>
      <c r="P62" s="105">
        <v>2820.75</v>
      </c>
      <c r="Q62" s="105">
        <v>2871.15</v>
      </c>
      <c r="R62" s="105">
        <v>2923.17</v>
      </c>
      <c r="S62" s="105">
        <v>2976.94</v>
      </c>
      <c r="T62" s="110">
        <v>3032.19</v>
      </c>
      <c r="V62" s="99"/>
    </row>
    <row r="63" spans="1:22" s="97" customFormat="1" ht="15" customHeight="1">
      <c r="A63" s="206"/>
      <c r="B63" s="161"/>
      <c r="C63" s="123"/>
      <c r="D63" s="124"/>
      <c r="E63" s="124"/>
      <c r="F63" s="104" t="s">
        <v>124</v>
      </c>
      <c r="G63" s="105">
        <v>4372.2700000000004</v>
      </c>
      <c r="H63" s="105">
        <v>4410.2</v>
      </c>
      <c r="I63" s="105">
        <v>4449.34</v>
      </c>
      <c r="J63" s="105">
        <v>4489.71</v>
      </c>
      <c r="K63" s="105">
        <v>4531.42</v>
      </c>
      <c r="L63" s="105">
        <v>4574.21</v>
      </c>
      <c r="M63" s="105">
        <v>4618.6099999999997</v>
      </c>
      <c r="N63" s="105">
        <v>4664.3599999999997</v>
      </c>
      <c r="O63" s="105">
        <v>4711.7299999999996</v>
      </c>
      <c r="P63" s="105">
        <v>4760.5200000000004</v>
      </c>
      <c r="Q63" s="105">
        <v>4810.92</v>
      </c>
      <c r="R63" s="105">
        <v>4862.9399999999996</v>
      </c>
      <c r="S63" s="105">
        <v>4916.71</v>
      </c>
      <c r="T63" s="110">
        <v>4971.96</v>
      </c>
      <c r="V63" s="99"/>
    </row>
    <row r="64" spans="1:22" s="97" customFormat="1" ht="15" customHeight="1">
      <c r="A64" s="206"/>
      <c r="B64" s="161"/>
      <c r="C64" s="123"/>
      <c r="D64" s="124"/>
      <c r="E64" s="124"/>
      <c r="F64" s="104" t="s">
        <v>119</v>
      </c>
      <c r="G64" s="105">
        <v>1770</v>
      </c>
      <c r="H64" s="105">
        <v>1770</v>
      </c>
      <c r="I64" s="105">
        <v>1770</v>
      </c>
      <c r="J64" s="105">
        <v>1770</v>
      </c>
      <c r="K64" s="105">
        <v>1770</v>
      </c>
      <c r="L64" s="105">
        <v>1770</v>
      </c>
      <c r="M64" s="105">
        <v>1770</v>
      </c>
      <c r="N64" s="105">
        <v>1770</v>
      </c>
      <c r="O64" s="105">
        <v>1770</v>
      </c>
      <c r="P64" s="105">
        <v>1770</v>
      </c>
      <c r="Q64" s="105">
        <v>1770</v>
      </c>
      <c r="R64" s="105">
        <v>1770</v>
      </c>
      <c r="S64" s="105">
        <v>1770</v>
      </c>
      <c r="T64" s="110">
        <v>1770</v>
      </c>
      <c r="V64" s="99"/>
    </row>
    <row r="65" spans="1:27" s="97" customFormat="1" ht="15" customHeight="1">
      <c r="A65" s="206"/>
      <c r="B65" s="161"/>
      <c r="C65" s="123"/>
      <c r="D65" s="124"/>
      <c r="E65" s="124"/>
      <c r="F65" s="104" t="s">
        <v>126</v>
      </c>
      <c r="G65" s="105">
        <f>+G61+G62+G64</f>
        <v>14111.32</v>
      </c>
      <c r="H65" s="105">
        <f t="shared" ref="H65:T65" si="73">+H61+H62+H64</f>
        <v>14469.304886</v>
      </c>
      <c r="I65" s="105">
        <f t="shared" si="73"/>
        <v>14838.837544817799</v>
      </c>
      <c r="J65" s="105">
        <f t="shared" si="73"/>
        <v>15220.271886515415</v>
      </c>
      <c r="K65" s="105">
        <f t="shared" si="73"/>
        <v>15614.062606449861</v>
      </c>
      <c r="L65" s="105">
        <f t="shared" si="73"/>
        <v>16020.305533638193</v>
      </c>
      <c r="M65" s="105">
        <f t="shared" si="73"/>
        <v>16439.897990374706</v>
      </c>
      <c r="N65" s="105">
        <f t="shared" si="73"/>
        <v>16872.959163463809</v>
      </c>
      <c r="O65" s="105">
        <f t="shared" si="73"/>
        <v>17320.150487443691</v>
      </c>
      <c r="P65" s="105">
        <f t="shared" si="73"/>
        <v>17781.676040188118</v>
      </c>
      <c r="Q65" s="105">
        <f t="shared" si="73"/>
        <v>18258.142951286198</v>
      </c>
      <c r="R65" s="105">
        <f t="shared" si="73"/>
        <v>18749.991823612741</v>
      </c>
      <c r="S65" s="105">
        <f t="shared" si="73"/>
        <v>19257.79716851543</v>
      </c>
      <c r="T65" s="110">
        <f t="shared" si="73"/>
        <v>19781.747855058478</v>
      </c>
      <c r="V65" s="99"/>
    </row>
    <row r="66" spans="1:27" s="97" customFormat="1" ht="15" customHeight="1" thickBot="1">
      <c r="A66" s="207"/>
      <c r="B66" s="162"/>
      <c r="C66" s="134"/>
      <c r="D66" s="135"/>
      <c r="E66" s="135"/>
      <c r="F66" s="111" t="s">
        <v>121</v>
      </c>
      <c r="G66" s="112">
        <f>+G61+G63+G64</f>
        <v>16051.09</v>
      </c>
      <c r="H66" s="112">
        <f t="shared" ref="H66:T66" si="74">+H61+H63+H64</f>
        <v>16409.074885999999</v>
      </c>
      <c r="I66" s="112">
        <f t="shared" si="74"/>
        <v>16778.607544817802</v>
      </c>
      <c r="J66" s="112">
        <f t="shared" si="74"/>
        <v>17160.041886515413</v>
      </c>
      <c r="K66" s="112">
        <f t="shared" si="74"/>
        <v>17553.832606449861</v>
      </c>
      <c r="L66" s="112">
        <f t="shared" si="74"/>
        <v>17960.075533638192</v>
      </c>
      <c r="M66" s="112">
        <f t="shared" si="74"/>
        <v>18379.667990374706</v>
      </c>
      <c r="N66" s="112">
        <f t="shared" si="74"/>
        <v>18812.72916346381</v>
      </c>
      <c r="O66" s="112">
        <f t="shared" si="74"/>
        <v>19259.920487443691</v>
      </c>
      <c r="P66" s="112">
        <f t="shared" si="74"/>
        <v>19721.446040188122</v>
      </c>
      <c r="Q66" s="112">
        <f t="shared" si="74"/>
        <v>20197.912951286198</v>
      </c>
      <c r="R66" s="112">
        <f t="shared" si="74"/>
        <v>20689.761823612738</v>
      </c>
      <c r="S66" s="112">
        <f t="shared" si="74"/>
        <v>21197.56716851543</v>
      </c>
      <c r="T66" s="113">
        <f t="shared" si="74"/>
        <v>21721.517855058479</v>
      </c>
      <c r="V66" s="99"/>
    </row>
    <row r="67" spans="1:27" s="97" customFormat="1" ht="15" customHeight="1">
      <c r="A67" s="206" t="s">
        <v>129</v>
      </c>
      <c r="B67" s="161"/>
      <c r="C67" s="123"/>
      <c r="D67" s="124"/>
      <c r="E67" s="124"/>
      <c r="F67" s="140" t="s">
        <v>112</v>
      </c>
      <c r="G67" s="141">
        <f>G68*12/2080</f>
        <v>53.179038461538461</v>
      </c>
      <c r="H67" s="141">
        <f>H68*12/2080</f>
        <v>54.896721403846151</v>
      </c>
      <c r="I67" s="141">
        <f t="shared" ref="I67:T67" si="75">I68*12/2080</f>
        <v>56.669885505190372</v>
      </c>
      <c r="J67" s="141">
        <f t="shared" si="75"/>
        <v>58.500322807008018</v>
      </c>
      <c r="K67" s="141">
        <f t="shared" si="75"/>
        <v>60.389883233674375</v>
      </c>
      <c r="L67" s="141">
        <f t="shared" si="75"/>
        <v>62.340476462122062</v>
      </c>
      <c r="M67" s="141">
        <f t="shared" si="75"/>
        <v>64.354073851848597</v>
      </c>
      <c r="N67" s="141">
        <f t="shared" si="75"/>
        <v>66.43271043726331</v>
      </c>
      <c r="O67" s="141">
        <f t="shared" si="75"/>
        <v>68.578486984386927</v>
      </c>
      <c r="P67" s="141">
        <f t="shared" si="75"/>
        <v>70.79357211398262</v>
      </c>
      <c r="Q67" s="141">
        <f t="shared" si="75"/>
        <v>73.080204493264262</v>
      </c>
      <c r="R67" s="141">
        <f t="shared" si="75"/>
        <v>75.440695098396688</v>
      </c>
      <c r="S67" s="141">
        <f t="shared" si="75"/>
        <v>77.877429550074908</v>
      </c>
      <c r="T67" s="168">
        <f t="shared" si="75"/>
        <v>80.392870524542332</v>
      </c>
      <c r="V67" s="99"/>
    </row>
    <row r="68" spans="1:27" s="97" customFormat="1" ht="15" customHeight="1">
      <c r="A68" s="206"/>
      <c r="B68" s="161"/>
      <c r="C68" s="123"/>
      <c r="D68" s="124"/>
      <c r="E68" s="124"/>
      <c r="F68" s="117" t="s">
        <v>114</v>
      </c>
      <c r="G68" s="118">
        <f>110612.4/12</f>
        <v>9217.6999999999989</v>
      </c>
      <c r="H68" s="118">
        <f>G68*1.0323</f>
        <v>9515.4317099999989</v>
      </c>
      <c r="I68" s="118">
        <f t="shared" ref="I68:T68" si="76">H68*1.0323</f>
        <v>9822.780154232998</v>
      </c>
      <c r="J68" s="118">
        <f t="shared" si="76"/>
        <v>10140.055953214724</v>
      </c>
      <c r="K68" s="118">
        <f t="shared" si="76"/>
        <v>10467.579760503559</v>
      </c>
      <c r="L68" s="118">
        <f t="shared" si="76"/>
        <v>10805.682586767824</v>
      </c>
      <c r="M68" s="118">
        <f t="shared" si="76"/>
        <v>11154.706134320424</v>
      </c>
      <c r="N68" s="118">
        <f t="shared" si="76"/>
        <v>11515.003142458974</v>
      </c>
      <c r="O68" s="118">
        <f t="shared" si="76"/>
        <v>11886.9377439604</v>
      </c>
      <c r="P68" s="118">
        <f t="shared" si="76"/>
        <v>12270.88583309032</v>
      </c>
      <c r="Q68" s="118">
        <f t="shared" si="76"/>
        <v>12667.235445499138</v>
      </c>
      <c r="R68" s="118">
        <f t="shared" si="76"/>
        <v>13076.38715038876</v>
      </c>
      <c r="S68" s="118">
        <f t="shared" si="76"/>
        <v>13498.754455346318</v>
      </c>
      <c r="T68" s="119">
        <f t="shared" si="76"/>
        <v>13934.764224254004</v>
      </c>
      <c r="V68" s="99"/>
    </row>
    <row r="69" spans="1:27" s="97" customFormat="1" ht="15" customHeight="1">
      <c r="A69" s="206"/>
      <c r="B69" s="161"/>
      <c r="C69" s="123"/>
      <c r="D69" s="124"/>
      <c r="E69" s="124"/>
      <c r="F69" s="117" t="s">
        <v>115</v>
      </c>
      <c r="G69" s="118">
        <v>2349.33</v>
      </c>
      <c r="H69" s="118">
        <v>2385.2600000000002</v>
      </c>
      <c r="I69" s="118">
        <v>2422.0700000000002</v>
      </c>
      <c r="J69" s="118">
        <v>2459.98</v>
      </c>
      <c r="K69" s="118">
        <v>2498.73</v>
      </c>
      <c r="L69" s="118">
        <v>2538.6799999999998</v>
      </c>
      <c r="M69" s="118">
        <v>2579.85</v>
      </c>
      <c r="N69" s="118">
        <v>2622.58</v>
      </c>
      <c r="O69" s="118">
        <v>2666.58</v>
      </c>
      <c r="P69" s="118">
        <v>2711.93</v>
      </c>
      <c r="Q69" s="118">
        <v>2758.9</v>
      </c>
      <c r="R69" s="118">
        <v>2807.13</v>
      </c>
      <c r="S69" s="118">
        <v>2857.13</v>
      </c>
      <c r="T69" s="119">
        <v>2908.68</v>
      </c>
      <c r="V69" s="99"/>
      <c r="W69" s="99"/>
    </row>
    <row r="70" spans="1:27" s="97" customFormat="1" ht="15" customHeight="1">
      <c r="A70" s="206"/>
      <c r="B70" s="161"/>
      <c r="C70" s="123"/>
      <c r="D70" s="124"/>
      <c r="E70" s="124"/>
      <c r="F70" s="117" t="s">
        <v>124</v>
      </c>
      <c r="G70" s="118">
        <v>4289.1000000000004</v>
      </c>
      <c r="H70" s="118">
        <v>4325.03</v>
      </c>
      <c r="I70" s="118">
        <v>4361.84</v>
      </c>
      <c r="J70" s="118">
        <v>4399.75</v>
      </c>
      <c r="K70" s="118">
        <v>4438.5</v>
      </c>
      <c r="L70" s="118">
        <v>4478.45</v>
      </c>
      <c r="M70" s="118">
        <v>4519.62</v>
      </c>
      <c r="N70" s="118">
        <v>4562.3500000000004</v>
      </c>
      <c r="O70" s="118">
        <v>4606.3500000000004</v>
      </c>
      <c r="P70" s="118">
        <v>4651.7</v>
      </c>
      <c r="Q70" s="118">
        <v>4698.67</v>
      </c>
      <c r="R70" s="118">
        <v>4746.8999999999996</v>
      </c>
      <c r="S70" s="118">
        <v>4796.8999999999996</v>
      </c>
      <c r="T70" s="119">
        <v>4848.45</v>
      </c>
      <c r="V70" s="99"/>
    </row>
    <row r="71" spans="1:27" s="97" customFormat="1" ht="15" customHeight="1">
      <c r="A71" s="206"/>
      <c r="B71" s="161"/>
      <c r="C71" s="123"/>
      <c r="D71" s="124"/>
      <c r="E71" s="124"/>
      <c r="F71" s="117" t="s">
        <v>119</v>
      </c>
      <c r="G71" s="118">
        <v>1770</v>
      </c>
      <c r="H71" s="118">
        <v>1770</v>
      </c>
      <c r="I71" s="118">
        <v>1770</v>
      </c>
      <c r="J71" s="118">
        <v>1770</v>
      </c>
      <c r="K71" s="118">
        <v>1770</v>
      </c>
      <c r="L71" s="118">
        <v>1770</v>
      </c>
      <c r="M71" s="118">
        <v>1770</v>
      </c>
      <c r="N71" s="118">
        <v>1770</v>
      </c>
      <c r="O71" s="118">
        <v>1770</v>
      </c>
      <c r="P71" s="118">
        <v>1770</v>
      </c>
      <c r="Q71" s="118">
        <v>1770</v>
      </c>
      <c r="R71" s="118">
        <v>1770</v>
      </c>
      <c r="S71" s="118">
        <v>1770</v>
      </c>
      <c r="T71" s="119">
        <v>1770</v>
      </c>
      <c r="W71" s="99"/>
    </row>
    <row r="72" spans="1:27" s="97" customFormat="1" ht="15" customHeight="1">
      <c r="A72" s="206"/>
      <c r="B72" s="161"/>
      <c r="C72" s="123"/>
      <c r="D72" s="124"/>
      <c r="E72" s="124"/>
      <c r="F72" s="117" t="s">
        <v>126</v>
      </c>
      <c r="G72" s="118">
        <f>+G68+G69+G71</f>
        <v>13337.029999999999</v>
      </c>
      <c r="H72" s="118">
        <f t="shared" ref="H72:T72" si="77">+H68+H69+H71</f>
        <v>13670.691709999999</v>
      </c>
      <c r="I72" s="118">
        <f t="shared" si="77"/>
        <v>14014.850154232998</v>
      </c>
      <c r="J72" s="118">
        <f t="shared" si="77"/>
        <v>14370.035953214723</v>
      </c>
      <c r="K72" s="118">
        <f t="shared" si="77"/>
        <v>14736.309760503558</v>
      </c>
      <c r="L72" s="118">
        <f t="shared" si="77"/>
        <v>15114.362586767824</v>
      </c>
      <c r="M72" s="118">
        <f t="shared" si="77"/>
        <v>15504.556134320424</v>
      </c>
      <c r="N72" s="118">
        <f t="shared" si="77"/>
        <v>15907.583142458974</v>
      </c>
      <c r="O72" s="118">
        <f t="shared" si="77"/>
        <v>16323.517743960399</v>
      </c>
      <c r="P72" s="118">
        <f t="shared" si="77"/>
        <v>16752.815833090321</v>
      </c>
      <c r="Q72" s="118">
        <f t="shared" si="77"/>
        <v>17196.135445499138</v>
      </c>
      <c r="R72" s="118">
        <f t="shared" si="77"/>
        <v>17653.517150388761</v>
      </c>
      <c r="S72" s="118">
        <f t="shared" si="77"/>
        <v>18125.884455346317</v>
      </c>
      <c r="T72" s="119">
        <f t="shared" si="77"/>
        <v>18613.444224254003</v>
      </c>
    </row>
    <row r="73" spans="1:27" s="97" customFormat="1" ht="15" customHeight="1" thickBot="1">
      <c r="A73" s="206"/>
      <c r="B73" s="161"/>
      <c r="C73" s="123"/>
      <c r="D73" s="124"/>
      <c r="E73" s="124"/>
      <c r="F73" s="120" t="s">
        <v>121</v>
      </c>
      <c r="G73" s="121">
        <f>+G68+G70+G71</f>
        <v>15276.8</v>
      </c>
      <c r="H73" s="121">
        <f t="shared" ref="H73:T73" si="78">+H68+H70+H71</f>
        <v>15610.46171</v>
      </c>
      <c r="I73" s="121">
        <f t="shared" si="78"/>
        <v>15954.620154232998</v>
      </c>
      <c r="J73" s="121">
        <f t="shared" si="78"/>
        <v>16309.805953214724</v>
      </c>
      <c r="K73" s="121">
        <f t="shared" si="78"/>
        <v>16676.079760503559</v>
      </c>
      <c r="L73" s="121">
        <f t="shared" si="78"/>
        <v>17054.132586767824</v>
      </c>
      <c r="M73" s="121">
        <f t="shared" si="78"/>
        <v>17444.326134320425</v>
      </c>
      <c r="N73" s="121">
        <f t="shared" si="78"/>
        <v>17847.353142458975</v>
      </c>
      <c r="O73" s="121">
        <f t="shared" si="78"/>
        <v>18263.287743960398</v>
      </c>
      <c r="P73" s="121">
        <f t="shared" si="78"/>
        <v>18692.585833090321</v>
      </c>
      <c r="Q73" s="121">
        <f t="shared" si="78"/>
        <v>19135.905445499138</v>
      </c>
      <c r="R73" s="121">
        <f t="shared" si="78"/>
        <v>19593.287150388758</v>
      </c>
      <c r="S73" s="121">
        <f t="shared" si="78"/>
        <v>20065.654455346317</v>
      </c>
      <c r="T73" s="122">
        <f t="shared" si="78"/>
        <v>20553.214224254003</v>
      </c>
      <c r="V73" s="99"/>
    </row>
    <row r="74" spans="1:27" s="97" customFormat="1" ht="15" customHeight="1">
      <c r="A74" s="218" t="s">
        <v>216</v>
      </c>
      <c r="B74" s="131"/>
      <c r="C74" s="132"/>
      <c r="D74" s="133"/>
      <c r="E74" s="133"/>
      <c r="F74" s="125" t="s">
        <v>112</v>
      </c>
      <c r="G74" s="129">
        <f>G75*12/2080</f>
        <v>53.179038461538461</v>
      </c>
      <c r="H74" s="129">
        <f>H75*12/2080</f>
        <v>54.896721403846151</v>
      </c>
      <c r="I74" s="129">
        <f t="shared" ref="I74" si="79">I75*12/2080</f>
        <v>56.669885505190372</v>
      </c>
      <c r="J74" s="129">
        <f t="shared" ref="J74" si="80">J75*12/2080</f>
        <v>58.500322807008018</v>
      </c>
      <c r="K74" s="129">
        <f t="shared" ref="K74" si="81">K75*12/2080</f>
        <v>60.389883233674375</v>
      </c>
      <c r="L74" s="129">
        <f t="shared" ref="L74" si="82">L75*12/2080</f>
        <v>62.340476462122062</v>
      </c>
      <c r="M74" s="129">
        <f t="shared" ref="M74" si="83">M75*12/2080</f>
        <v>64.354073851848597</v>
      </c>
      <c r="N74" s="129">
        <f t="shared" ref="N74" si="84">N75*12/2080</f>
        <v>66.43271043726331</v>
      </c>
      <c r="O74" s="129">
        <f t="shared" ref="O74" si="85">O75*12/2080</f>
        <v>68.578486984386927</v>
      </c>
      <c r="P74" s="129">
        <f t="shared" ref="P74" si="86">P75*12/2080</f>
        <v>70.79357211398262</v>
      </c>
      <c r="Q74" s="129">
        <f t="shared" ref="Q74" si="87">Q75*12/2080</f>
        <v>73.080204493264262</v>
      </c>
      <c r="R74" s="129">
        <f t="shared" ref="R74" si="88">R75*12/2080</f>
        <v>75.440695098396688</v>
      </c>
      <c r="S74" s="129">
        <f t="shared" ref="S74" si="89">S75*12/2080</f>
        <v>77.877429550074908</v>
      </c>
      <c r="T74" s="130">
        <f t="shared" ref="T74" si="90">T75*12/2080</f>
        <v>80.392870524542332</v>
      </c>
    </row>
    <row r="75" spans="1:27" s="97" customFormat="1" ht="15" customHeight="1">
      <c r="A75" s="206"/>
      <c r="B75" s="161"/>
      <c r="C75" s="123"/>
      <c r="D75" s="124"/>
      <c r="E75" s="124"/>
      <c r="F75" s="104" t="s">
        <v>114</v>
      </c>
      <c r="G75" s="105">
        <f>110612.4/12</f>
        <v>9217.6999999999989</v>
      </c>
      <c r="H75" s="105">
        <f>G75*1.0323</f>
        <v>9515.4317099999989</v>
      </c>
      <c r="I75" s="105">
        <f t="shared" ref="I75:T75" si="91">H75*1.0323</f>
        <v>9822.780154232998</v>
      </c>
      <c r="J75" s="105">
        <f t="shared" si="91"/>
        <v>10140.055953214724</v>
      </c>
      <c r="K75" s="105">
        <f t="shared" si="91"/>
        <v>10467.579760503559</v>
      </c>
      <c r="L75" s="105">
        <f t="shared" si="91"/>
        <v>10805.682586767824</v>
      </c>
      <c r="M75" s="105">
        <f t="shared" si="91"/>
        <v>11154.706134320424</v>
      </c>
      <c r="N75" s="105">
        <f t="shared" si="91"/>
        <v>11515.003142458974</v>
      </c>
      <c r="O75" s="105">
        <f t="shared" si="91"/>
        <v>11886.9377439604</v>
      </c>
      <c r="P75" s="105">
        <f t="shared" si="91"/>
        <v>12270.88583309032</v>
      </c>
      <c r="Q75" s="105">
        <f t="shared" si="91"/>
        <v>12667.235445499138</v>
      </c>
      <c r="R75" s="105">
        <f t="shared" si="91"/>
        <v>13076.38715038876</v>
      </c>
      <c r="S75" s="105">
        <f t="shared" si="91"/>
        <v>13498.754455346318</v>
      </c>
      <c r="T75" s="110">
        <f t="shared" si="91"/>
        <v>13934.764224254004</v>
      </c>
      <c r="V75" s="99"/>
      <c r="W75" s="99"/>
      <c r="X75" s="99"/>
      <c r="Y75" s="99"/>
      <c r="Z75" s="99"/>
      <c r="AA75" s="99"/>
    </row>
    <row r="76" spans="1:27" s="97" customFormat="1" ht="15" customHeight="1">
      <c r="A76" s="206"/>
      <c r="B76" s="161"/>
      <c r="C76" s="123"/>
      <c r="D76" s="124"/>
      <c r="E76" s="124"/>
      <c r="F76" s="104" t="s">
        <v>115</v>
      </c>
      <c r="G76" s="105">
        <v>2348.3000000000002</v>
      </c>
      <c r="H76" s="105">
        <v>2385.2600000000002</v>
      </c>
      <c r="I76" s="105">
        <v>2422.0700000000002</v>
      </c>
      <c r="J76" s="105">
        <v>2459.98</v>
      </c>
      <c r="K76" s="105">
        <v>2498.12</v>
      </c>
      <c r="L76" s="105">
        <v>2538.6799999999998</v>
      </c>
      <c r="M76" s="105">
        <v>2579.85</v>
      </c>
      <c r="N76" s="105">
        <v>2622.58</v>
      </c>
      <c r="O76" s="105">
        <v>2666.58</v>
      </c>
      <c r="P76" s="105">
        <v>2711.93</v>
      </c>
      <c r="Q76" s="105">
        <v>2758.9</v>
      </c>
      <c r="R76" s="105">
        <v>2807.13</v>
      </c>
      <c r="S76" s="105">
        <v>2857.13</v>
      </c>
      <c r="T76" s="110">
        <v>2908.68</v>
      </c>
    </row>
    <row r="77" spans="1:27" s="97" customFormat="1" ht="15" customHeight="1">
      <c r="A77" s="206"/>
      <c r="B77" s="161"/>
      <c r="C77" s="123"/>
      <c r="D77" s="124"/>
      <c r="E77" s="124"/>
      <c r="F77" s="104" t="s">
        <v>124</v>
      </c>
      <c r="G77" s="105">
        <v>4288.07</v>
      </c>
      <c r="H77" s="105">
        <v>4325.03</v>
      </c>
      <c r="I77" s="105">
        <v>4361.84</v>
      </c>
      <c r="J77" s="105">
        <v>4399.75</v>
      </c>
      <c r="K77" s="105">
        <v>4437.8900000000003</v>
      </c>
      <c r="L77" s="105">
        <v>4478.45</v>
      </c>
      <c r="M77" s="105">
        <v>4519.62</v>
      </c>
      <c r="N77" s="105">
        <v>4562.3500000000004</v>
      </c>
      <c r="O77" s="105">
        <v>4606.3500000000004</v>
      </c>
      <c r="P77" s="105">
        <v>4651.7</v>
      </c>
      <c r="Q77" s="105">
        <v>4698.67</v>
      </c>
      <c r="R77" s="105">
        <v>4746.8999999999996</v>
      </c>
      <c r="S77" s="105">
        <v>4796.8999999999996</v>
      </c>
      <c r="T77" s="110">
        <v>4848.45</v>
      </c>
    </row>
    <row r="78" spans="1:27" s="97" customFormat="1" ht="15" customHeight="1">
      <c r="A78" s="206"/>
      <c r="B78" s="161"/>
      <c r="C78" s="123"/>
      <c r="D78" s="124"/>
      <c r="E78" s="124"/>
      <c r="F78" s="104" t="s">
        <v>119</v>
      </c>
      <c r="G78" s="105">
        <v>1770</v>
      </c>
      <c r="H78" s="105">
        <v>1770</v>
      </c>
      <c r="I78" s="105">
        <v>1770</v>
      </c>
      <c r="J78" s="105">
        <v>1770</v>
      </c>
      <c r="K78" s="105">
        <v>1770</v>
      </c>
      <c r="L78" s="105">
        <v>1770</v>
      </c>
      <c r="M78" s="105">
        <v>1770</v>
      </c>
      <c r="N78" s="105">
        <v>1770</v>
      </c>
      <c r="O78" s="105">
        <v>1770</v>
      </c>
      <c r="P78" s="105">
        <v>1770</v>
      </c>
      <c r="Q78" s="105">
        <v>1770</v>
      </c>
      <c r="R78" s="105">
        <v>1770</v>
      </c>
      <c r="S78" s="105">
        <v>1770</v>
      </c>
      <c r="T78" s="110">
        <v>1770</v>
      </c>
    </row>
    <row r="79" spans="1:27" s="97" customFormat="1" ht="15" customHeight="1">
      <c r="A79" s="206"/>
      <c r="B79" s="161"/>
      <c r="C79" s="123"/>
      <c r="D79" s="124"/>
      <c r="E79" s="124"/>
      <c r="F79" s="104" t="s">
        <v>126</v>
      </c>
      <c r="G79" s="105">
        <f>+G75+G76+G78</f>
        <v>13336</v>
      </c>
      <c r="H79" s="105">
        <f t="shared" ref="H79" si="92">+H75+H76+H78</f>
        <v>13670.691709999999</v>
      </c>
      <c r="I79" s="105">
        <f t="shared" ref="I79" si="93">+I75+I76+I78</f>
        <v>14014.850154232998</v>
      </c>
      <c r="J79" s="105">
        <f t="shared" ref="J79" si="94">+J75+J76+J78</f>
        <v>14370.035953214723</v>
      </c>
      <c r="K79" s="105">
        <f t="shared" ref="K79" si="95">+K75+K76+K78</f>
        <v>14735.699760503558</v>
      </c>
      <c r="L79" s="105">
        <f t="shared" ref="L79" si="96">+L75+L76+L78</f>
        <v>15114.362586767824</v>
      </c>
      <c r="M79" s="105">
        <f t="shared" ref="M79" si="97">+M75+M76+M78</f>
        <v>15504.556134320424</v>
      </c>
      <c r="N79" s="105">
        <f t="shared" ref="N79" si="98">+N75+N76+N78</f>
        <v>15907.583142458974</v>
      </c>
      <c r="O79" s="105">
        <f t="shared" ref="O79" si="99">+O75+O76+O78</f>
        <v>16323.517743960399</v>
      </c>
      <c r="P79" s="105">
        <f t="shared" ref="P79" si="100">+P75+P76+P78</f>
        <v>16752.815833090321</v>
      </c>
      <c r="Q79" s="105">
        <f t="shared" ref="Q79" si="101">+Q75+Q76+Q78</f>
        <v>17196.135445499138</v>
      </c>
      <c r="R79" s="105">
        <f t="shared" ref="R79" si="102">+R75+R76+R78</f>
        <v>17653.517150388761</v>
      </c>
      <c r="S79" s="105">
        <f t="shared" ref="S79" si="103">+S75+S76+S78</f>
        <v>18125.884455346317</v>
      </c>
      <c r="T79" s="110">
        <f t="shared" ref="T79" si="104">+T75+T76+T78</f>
        <v>18613.444224254003</v>
      </c>
    </row>
    <row r="80" spans="1:27" s="97" customFormat="1" ht="15" customHeight="1" thickBot="1">
      <c r="A80" s="207"/>
      <c r="B80" s="162"/>
      <c r="C80" s="134"/>
      <c r="D80" s="135"/>
      <c r="E80" s="135"/>
      <c r="F80" s="111" t="s">
        <v>121</v>
      </c>
      <c r="G80" s="112">
        <f>+G75+G77+G78</f>
        <v>15275.769999999999</v>
      </c>
      <c r="H80" s="112">
        <f t="shared" ref="H80:T80" si="105">+H75+H77+H78</f>
        <v>15610.46171</v>
      </c>
      <c r="I80" s="112">
        <f t="shared" si="105"/>
        <v>15954.620154232998</v>
      </c>
      <c r="J80" s="112">
        <f t="shared" si="105"/>
        <v>16309.805953214724</v>
      </c>
      <c r="K80" s="112">
        <f t="shared" si="105"/>
        <v>16675.469760503558</v>
      </c>
      <c r="L80" s="112">
        <f t="shared" si="105"/>
        <v>17054.132586767824</v>
      </c>
      <c r="M80" s="112">
        <f t="shared" si="105"/>
        <v>17444.326134320425</v>
      </c>
      <c r="N80" s="112">
        <f t="shared" si="105"/>
        <v>17847.353142458975</v>
      </c>
      <c r="O80" s="112">
        <f t="shared" si="105"/>
        <v>18263.287743960398</v>
      </c>
      <c r="P80" s="112">
        <f t="shared" si="105"/>
        <v>18692.585833090321</v>
      </c>
      <c r="Q80" s="112">
        <f t="shared" si="105"/>
        <v>19135.905445499138</v>
      </c>
      <c r="R80" s="112">
        <f t="shared" si="105"/>
        <v>19593.287150388758</v>
      </c>
      <c r="S80" s="112">
        <f t="shared" si="105"/>
        <v>20065.654455346317</v>
      </c>
      <c r="T80" s="113">
        <f t="shared" si="105"/>
        <v>20553.214224254003</v>
      </c>
    </row>
    <row r="81" spans="1:27" s="97" customFormat="1" ht="15" customHeight="1">
      <c r="A81" s="218" t="s">
        <v>217</v>
      </c>
      <c r="B81" s="131"/>
      <c r="C81" s="132"/>
      <c r="D81" s="133"/>
      <c r="E81" s="133"/>
      <c r="F81" s="114" t="s">
        <v>112</v>
      </c>
      <c r="G81" s="115">
        <f>G82*12/2080</f>
        <v>39.173653846153854</v>
      </c>
      <c r="H81" s="115">
        <f>H82*12/2080</f>
        <v>39.99238321153846</v>
      </c>
      <c r="I81" s="115">
        <f t="shared" ref="I81:T81" si="106">I82*12/2080</f>
        <v>40.828224020659611</v>
      </c>
      <c r="J81" s="115">
        <f t="shared" si="106"/>
        <v>41.681533902691392</v>
      </c>
      <c r="K81" s="115">
        <f t="shared" si="106"/>
        <v>42.552677961257636</v>
      </c>
      <c r="L81" s="115">
        <f t="shared" si="106"/>
        <v>43.442028930647922</v>
      </c>
      <c r="M81" s="115">
        <f t="shared" si="106"/>
        <v>44.349967335298459</v>
      </c>
      <c r="N81" s="115">
        <f t="shared" si="106"/>
        <v>45.276881652606193</v>
      </c>
      <c r="O81" s="115">
        <f t="shared" si="106"/>
        <v>46.223168479145663</v>
      </c>
      <c r="P81" s="115">
        <f t="shared" si="106"/>
        <v>47.189232700359803</v>
      </c>
      <c r="Q81" s="115">
        <f t="shared" si="106"/>
        <v>48.17548766379732</v>
      </c>
      <c r="R81" s="115">
        <f t="shared" si="106"/>
        <v>49.182355355970678</v>
      </c>
      <c r="S81" s="115">
        <f t="shared" si="106"/>
        <v>50.210266582910464</v>
      </c>
      <c r="T81" s="116">
        <f t="shared" si="106"/>
        <v>51.378230769230768</v>
      </c>
      <c r="V81" s="99"/>
    </row>
    <row r="82" spans="1:27" s="97" customFormat="1" ht="15" customHeight="1">
      <c r="A82" s="206"/>
      <c r="B82" s="161"/>
      <c r="C82" s="123"/>
      <c r="D82" s="124"/>
      <c r="E82" s="124"/>
      <c r="F82" s="117" t="s">
        <v>114</v>
      </c>
      <c r="G82" s="118">
        <v>6790.1</v>
      </c>
      <c r="H82" s="118">
        <f>G82*1.0209</f>
        <v>6932.0130899999995</v>
      </c>
      <c r="I82" s="118">
        <f t="shared" ref="I82:S82" si="107">H82*1.0209</f>
        <v>7076.8921635809993</v>
      </c>
      <c r="J82" s="118">
        <f t="shared" si="107"/>
        <v>7224.7992097998413</v>
      </c>
      <c r="K82" s="118">
        <f t="shared" si="107"/>
        <v>7375.7975132846577</v>
      </c>
      <c r="L82" s="118">
        <f t="shared" si="107"/>
        <v>7529.9516813123064</v>
      </c>
      <c r="M82" s="118">
        <f t="shared" si="107"/>
        <v>7687.3276714517333</v>
      </c>
      <c r="N82" s="118">
        <f t="shared" si="107"/>
        <v>7847.9928197850741</v>
      </c>
      <c r="O82" s="118">
        <f t="shared" si="107"/>
        <v>8012.0158697185816</v>
      </c>
      <c r="P82" s="118">
        <f t="shared" si="107"/>
        <v>8179.4670013956993</v>
      </c>
      <c r="Q82" s="118">
        <f t="shared" si="107"/>
        <v>8350.417861724869</v>
      </c>
      <c r="R82" s="118">
        <f t="shared" si="107"/>
        <v>8524.9415950349176</v>
      </c>
      <c r="S82" s="118">
        <f t="shared" si="107"/>
        <v>8703.112874371147</v>
      </c>
      <c r="T82" s="119">
        <v>8905.56</v>
      </c>
      <c r="V82" s="99"/>
      <c r="W82" s="99"/>
      <c r="X82" s="99"/>
      <c r="Y82" s="99"/>
      <c r="Z82" s="99"/>
      <c r="AA82" s="99"/>
    </row>
    <row r="83" spans="1:27" s="97" customFormat="1" ht="15" customHeight="1">
      <c r="A83" s="206"/>
      <c r="B83" s="161"/>
      <c r="C83" s="123"/>
      <c r="D83" s="124"/>
      <c r="E83" s="124"/>
      <c r="F83" s="117" t="s">
        <v>115</v>
      </c>
      <c r="G83" s="118">
        <v>2057.17</v>
      </c>
      <c r="H83" s="118">
        <v>2074.31</v>
      </c>
      <c r="I83" s="118">
        <v>2091.7199999999998</v>
      </c>
      <c r="J83" s="118">
        <v>2109.48</v>
      </c>
      <c r="K83" s="118">
        <v>2127.66</v>
      </c>
      <c r="L83" s="118">
        <v>2146.2399999999998</v>
      </c>
      <c r="M83" s="118">
        <v>2165.23</v>
      </c>
      <c r="N83" s="118">
        <v>2184.64</v>
      </c>
      <c r="O83" s="118">
        <v>2141.5700000000002</v>
      </c>
      <c r="P83" s="118">
        <v>2224.4699999999998</v>
      </c>
      <c r="Q83" s="118">
        <v>2245.11</v>
      </c>
      <c r="R83" s="118">
        <v>2265.9499999999998</v>
      </c>
      <c r="S83" s="118">
        <v>2284.41</v>
      </c>
      <c r="T83" s="119">
        <v>2311.75</v>
      </c>
      <c r="V83" s="99"/>
      <c r="W83" s="99"/>
      <c r="Y83" s="136"/>
    </row>
    <row r="84" spans="1:27" s="97" customFormat="1" ht="15" customHeight="1">
      <c r="A84" s="206"/>
      <c r="B84" s="161"/>
      <c r="C84" s="123"/>
      <c r="D84" s="124"/>
      <c r="E84" s="124"/>
      <c r="F84" s="117" t="s">
        <v>124</v>
      </c>
      <c r="G84" s="118">
        <v>3996.94</v>
      </c>
      <c r="H84" s="118">
        <v>4014.08</v>
      </c>
      <c r="I84" s="118">
        <v>4031.49</v>
      </c>
      <c r="J84" s="118">
        <v>4049.25</v>
      </c>
      <c r="K84" s="118">
        <v>4067.43</v>
      </c>
      <c r="L84" s="118">
        <v>4086.01</v>
      </c>
      <c r="M84" s="118">
        <v>4105</v>
      </c>
      <c r="N84" s="118">
        <v>4124.41</v>
      </c>
      <c r="O84" s="118">
        <v>4081.34</v>
      </c>
      <c r="P84" s="118">
        <v>4164.24</v>
      </c>
      <c r="Q84" s="118">
        <v>4184.88</v>
      </c>
      <c r="R84" s="118">
        <v>4205.72</v>
      </c>
      <c r="S84" s="118">
        <v>4227.18</v>
      </c>
      <c r="T84" s="119">
        <v>4251.5200000000004</v>
      </c>
      <c r="V84" s="99"/>
    </row>
    <row r="85" spans="1:27" s="97" customFormat="1" ht="15" customHeight="1">
      <c r="A85" s="206"/>
      <c r="B85" s="161"/>
      <c r="C85" s="123"/>
      <c r="D85" s="124"/>
      <c r="E85" s="124"/>
      <c r="F85" s="117" t="s">
        <v>119</v>
      </c>
      <c r="G85" s="118">
        <v>1770</v>
      </c>
      <c r="H85" s="118">
        <v>1770</v>
      </c>
      <c r="I85" s="118">
        <v>1770</v>
      </c>
      <c r="J85" s="118">
        <v>1770</v>
      </c>
      <c r="K85" s="118">
        <v>1770</v>
      </c>
      <c r="L85" s="118">
        <v>1770</v>
      </c>
      <c r="M85" s="118">
        <v>1770</v>
      </c>
      <c r="N85" s="118">
        <v>1770</v>
      </c>
      <c r="O85" s="118">
        <v>1770</v>
      </c>
      <c r="P85" s="118">
        <v>1770</v>
      </c>
      <c r="Q85" s="118">
        <v>1770</v>
      </c>
      <c r="R85" s="118">
        <v>1770</v>
      </c>
      <c r="S85" s="118">
        <v>1770</v>
      </c>
      <c r="T85" s="119">
        <v>1770</v>
      </c>
      <c r="V85" s="99"/>
    </row>
    <row r="86" spans="1:27" s="97" customFormat="1" ht="15" customHeight="1">
      <c r="A86" s="206"/>
      <c r="B86" s="161"/>
      <c r="C86" s="123"/>
      <c r="D86" s="124"/>
      <c r="E86" s="124"/>
      <c r="F86" s="117" t="s">
        <v>126</v>
      </c>
      <c r="G86" s="118">
        <f>+G82+G83+G85</f>
        <v>10617.27</v>
      </c>
      <c r="H86" s="118">
        <f t="shared" ref="H86:T86" si="108">+H82+H83+H85</f>
        <v>10776.32309</v>
      </c>
      <c r="I86" s="118">
        <f t="shared" si="108"/>
        <v>10938.612163581</v>
      </c>
      <c r="J86" s="118">
        <f t="shared" si="108"/>
        <v>11104.279209799841</v>
      </c>
      <c r="K86" s="118">
        <f t="shared" si="108"/>
        <v>11273.457513284658</v>
      </c>
      <c r="L86" s="118">
        <f t="shared" si="108"/>
        <v>11446.191681312306</v>
      </c>
      <c r="M86" s="118">
        <f t="shared" si="108"/>
        <v>11622.557671451734</v>
      </c>
      <c r="N86" s="118">
        <f t="shared" si="108"/>
        <v>11802.632819785074</v>
      </c>
      <c r="O86" s="118">
        <f t="shared" si="108"/>
        <v>11923.585869718581</v>
      </c>
      <c r="P86" s="118">
        <f t="shared" si="108"/>
        <v>12173.9370013957</v>
      </c>
      <c r="Q86" s="118">
        <f t="shared" si="108"/>
        <v>12365.52786172487</v>
      </c>
      <c r="R86" s="118">
        <f t="shared" si="108"/>
        <v>12560.891595034918</v>
      </c>
      <c r="S86" s="118">
        <f t="shared" si="108"/>
        <v>12757.522874371147</v>
      </c>
      <c r="T86" s="119">
        <f t="shared" si="108"/>
        <v>12987.31</v>
      </c>
      <c r="V86" s="99"/>
    </row>
    <row r="87" spans="1:27" s="97" customFormat="1" ht="15" customHeight="1" thickBot="1">
      <c r="A87" s="207"/>
      <c r="B87" s="162"/>
      <c r="C87" s="134"/>
      <c r="D87" s="135"/>
      <c r="E87" s="135"/>
      <c r="F87" s="120" t="s">
        <v>121</v>
      </c>
      <c r="G87" s="121">
        <f>+G82+G84+G85</f>
        <v>12557.04</v>
      </c>
      <c r="H87" s="121">
        <f t="shared" ref="H87:T87" si="109">+H82+H84+H85</f>
        <v>12716.093089999998</v>
      </c>
      <c r="I87" s="121">
        <f t="shared" si="109"/>
        <v>12878.382163580998</v>
      </c>
      <c r="J87" s="121">
        <f t="shared" si="109"/>
        <v>13044.049209799841</v>
      </c>
      <c r="K87" s="121">
        <f t="shared" si="109"/>
        <v>13213.227513284657</v>
      </c>
      <c r="L87" s="121">
        <f t="shared" si="109"/>
        <v>13385.961681312307</v>
      </c>
      <c r="M87" s="121">
        <f t="shared" si="109"/>
        <v>13562.327671451734</v>
      </c>
      <c r="N87" s="121">
        <f t="shared" si="109"/>
        <v>13742.402819785075</v>
      </c>
      <c r="O87" s="121">
        <f t="shared" si="109"/>
        <v>13863.355869718582</v>
      </c>
      <c r="P87" s="121">
        <f t="shared" si="109"/>
        <v>14113.707001395698</v>
      </c>
      <c r="Q87" s="121">
        <f t="shared" si="109"/>
        <v>14305.29786172487</v>
      </c>
      <c r="R87" s="121">
        <f t="shared" si="109"/>
        <v>14500.661595034919</v>
      </c>
      <c r="S87" s="121">
        <f t="shared" si="109"/>
        <v>14700.292874371147</v>
      </c>
      <c r="T87" s="122">
        <f t="shared" si="109"/>
        <v>14927.08</v>
      </c>
      <c r="V87" s="99"/>
    </row>
    <row r="88" spans="1:27" s="97" customFormat="1" ht="15" customHeight="1">
      <c r="A88" s="218" t="s">
        <v>218</v>
      </c>
      <c r="B88" s="131"/>
      <c r="C88" s="132"/>
      <c r="D88" s="133"/>
      <c r="E88" s="133"/>
      <c r="F88" s="125" t="s">
        <v>112</v>
      </c>
      <c r="G88" s="129">
        <f>G89*12/2080</f>
        <v>47.949692307692317</v>
      </c>
      <c r="H88" s="129">
        <f>H89*12/2080</f>
        <v>48.956635846153851</v>
      </c>
      <c r="I88" s="129">
        <f t="shared" ref="I88:T88" si="110">I89*12/2080</f>
        <v>49.984725198923073</v>
      </c>
      <c r="J88" s="129">
        <f t="shared" si="110"/>
        <v>51.034404428100451</v>
      </c>
      <c r="K88" s="129">
        <f t="shared" si="110"/>
        <v>52.106126921090564</v>
      </c>
      <c r="L88" s="129">
        <f t="shared" si="110"/>
        <v>53.20035558643346</v>
      </c>
      <c r="M88" s="129">
        <f t="shared" si="110"/>
        <v>54.317563053748557</v>
      </c>
      <c r="N88" s="129">
        <f t="shared" si="110"/>
        <v>55.458231877877274</v>
      </c>
      <c r="O88" s="129">
        <f t="shared" si="110"/>
        <v>56.622854747312687</v>
      </c>
      <c r="P88" s="129">
        <f t="shared" si="110"/>
        <v>57.811934697006258</v>
      </c>
      <c r="Q88" s="129">
        <f t="shared" si="110"/>
        <v>59.025985325643376</v>
      </c>
      <c r="R88" s="129">
        <f t="shared" si="110"/>
        <v>60.265531017481884</v>
      </c>
      <c r="S88" s="129">
        <f t="shared" si="110"/>
        <v>61.531107168849005</v>
      </c>
      <c r="T88" s="130">
        <f t="shared" si="110"/>
        <v>62.891423076923076</v>
      </c>
      <c r="V88" s="99"/>
    </row>
    <row r="89" spans="1:27" s="97" customFormat="1" ht="15" customHeight="1">
      <c r="A89" s="206"/>
      <c r="B89" s="161"/>
      <c r="C89" s="123"/>
      <c r="D89" s="124"/>
      <c r="E89" s="124"/>
      <c r="F89" s="104" t="s">
        <v>114</v>
      </c>
      <c r="G89" s="105">
        <f>99735.36/12</f>
        <v>8311.2800000000007</v>
      </c>
      <c r="H89" s="105">
        <f>G89*1.021</f>
        <v>8485.8168800000003</v>
      </c>
      <c r="I89" s="105">
        <f t="shared" ref="I89:S89" si="111">H89*1.021</f>
        <v>8664.0190344799994</v>
      </c>
      <c r="J89" s="105">
        <f t="shared" si="111"/>
        <v>8845.963434204079</v>
      </c>
      <c r="K89" s="105">
        <f t="shared" si="111"/>
        <v>9031.728666322364</v>
      </c>
      <c r="L89" s="105">
        <f t="shared" si="111"/>
        <v>9221.3949683151332</v>
      </c>
      <c r="M89" s="105">
        <f t="shared" si="111"/>
        <v>9415.0442626497497</v>
      </c>
      <c r="N89" s="105">
        <f t="shared" si="111"/>
        <v>9612.7601921653932</v>
      </c>
      <c r="O89" s="105">
        <f t="shared" si="111"/>
        <v>9814.6281562008662</v>
      </c>
      <c r="P89" s="105">
        <f t="shared" si="111"/>
        <v>10020.735347481084</v>
      </c>
      <c r="Q89" s="105">
        <f t="shared" si="111"/>
        <v>10231.170789778185</v>
      </c>
      <c r="R89" s="105">
        <f t="shared" si="111"/>
        <v>10446.025376363526</v>
      </c>
      <c r="S89" s="105">
        <f t="shared" si="111"/>
        <v>10665.39190926716</v>
      </c>
      <c r="T89" s="110">
        <f>130814.16/12</f>
        <v>10901.18</v>
      </c>
      <c r="V89" s="99"/>
      <c r="W89" s="99"/>
    </row>
    <row r="90" spans="1:27" s="97" customFormat="1" ht="15" customHeight="1">
      <c r="A90" s="206"/>
      <c r="B90" s="161"/>
      <c r="C90" s="123"/>
      <c r="D90" s="124"/>
      <c r="E90" s="124"/>
      <c r="F90" s="104" t="s">
        <v>115</v>
      </c>
      <c r="G90" s="105">
        <v>2240.2399999999998</v>
      </c>
      <c r="H90" s="105">
        <v>2261.29</v>
      </c>
      <c r="I90" s="105">
        <v>2282.54</v>
      </c>
      <c r="J90" s="105">
        <v>2304.56</v>
      </c>
      <c r="K90" s="105">
        <v>2327.0500000000002</v>
      </c>
      <c r="L90" s="105">
        <v>2349.7399999999998</v>
      </c>
      <c r="M90" s="105">
        <v>2373.0500000000002</v>
      </c>
      <c r="N90" s="105">
        <v>2396.91</v>
      </c>
      <c r="O90" s="105">
        <v>2421.0500000000002</v>
      </c>
      <c r="P90" s="105">
        <v>2445.9</v>
      </c>
      <c r="Q90" s="105">
        <v>2470.83</v>
      </c>
      <c r="R90" s="105">
        <v>2496.3000000000002</v>
      </c>
      <c r="S90" s="105">
        <v>2522.04</v>
      </c>
      <c r="T90" s="110">
        <v>2549.94</v>
      </c>
      <c r="V90" s="99"/>
    </row>
    <row r="91" spans="1:27" s="97" customFormat="1" ht="15" customHeight="1">
      <c r="A91" s="206"/>
      <c r="B91" s="161"/>
      <c r="C91" s="123"/>
      <c r="D91" s="124"/>
      <c r="E91" s="124"/>
      <c r="F91" s="104" t="s">
        <v>124</v>
      </c>
      <c r="G91" s="105">
        <v>4180.01</v>
      </c>
      <c r="H91" s="105">
        <v>4201.0600000000004</v>
      </c>
      <c r="I91" s="105">
        <v>4222.3100000000004</v>
      </c>
      <c r="J91" s="105">
        <v>4244.33</v>
      </c>
      <c r="K91" s="105">
        <v>4266.82</v>
      </c>
      <c r="L91" s="105">
        <v>4289.51</v>
      </c>
      <c r="M91" s="105">
        <v>4312.82</v>
      </c>
      <c r="N91" s="105">
        <v>4336.68</v>
      </c>
      <c r="O91" s="105">
        <v>4360.82</v>
      </c>
      <c r="P91" s="105">
        <v>4385.67</v>
      </c>
      <c r="Q91" s="105">
        <v>4410.6000000000004</v>
      </c>
      <c r="R91" s="105">
        <v>4436.07</v>
      </c>
      <c r="S91" s="105">
        <v>4461.8100000000004</v>
      </c>
      <c r="T91" s="110">
        <v>4489.71</v>
      </c>
      <c r="V91" s="99"/>
    </row>
    <row r="92" spans="1:27" s="97" customFormat="1" ht="15" customHeight="1">
      <c r="A92" s="206"/>
      <c r="B92" s="161"/>
      <c r="C92" s="123"/>
      <c r="D92" s="124"/>
      <c r="E92" s="124"/>
      <c r="F92" s="104" t="s">
        <v>119</v>
      </c>
      <c r="G92" s="105">
        <v>1770</v>
      </c>
      <c r="H92" s="105">
        <v>1770</v>
      </c>
      <c r="I92" s="105">
        <v>1770</v>
      </c>
      <c r="J92" s="105">
        <v>1770</v>
      </c>
      <c r="K92" s="105">
        <v>1770</v>
      </c>
      <c r="L92" s="105">
        <v>1770</v>
      </c>
      <c r="M92" s="105">
        <v>1770</v>
      </c>
      <c r="N92" s="105">
        <v>1770</v>
      </c>
      <c r="O92" s="105">
        <v>1770</v>
      </c>
      <c r="P92" s="105">
        <v>1770</v>
      </c>
      <c r="Q92" s="105">
        <v>1770</v>
      </c>
      <c r="R92" s="105">
        <v>1770</v>
      </c>
      <c r="S92" s="105">
        <v>1770</v>
      </c>
      <c r="T92" s="110">
        <v>1770</v>
      </c>
      <c r="V92" s="99"/>
    </row>
    <row r="93" spans="1:27" s="97" customFormat="1" ht="15" customHeight="1">
      <c r="A93" s="206"/>
      <c r="B93" s="161"/>
      <c r="C93" s="123"/>
      <c r="D93" s="124"/>
      <c r="E93" s="124"/>
      <c r="F93" s="104" t="s">
        <v>126</v>
      </c>
      <c r="G93" s="105">
        <f>+G89+G90+G92</f>
        <v>12321.52</v>
      </c>
      <c r="H93" s="105">
        <f t="shared" ref="H93:T93" si="112">+H89+H90+H92</f>
        <v>12517.106879999999</v>
      </c>
      <c r="I93" s="105">
        <f t="shared" si="112"/>
        <v>12716.55903448</v>
      </c>
      <c r="J93" s="105">
        <f t="shared" si="112"/>
        <v>12920.523434204079</v>
      </c>
      <c r="K93" s="105">
        <f t="shared" si="112"/>
        <v>13128.778666322363</v>
      </c>
      <c r="L93" s="105">
        <f t="shared" si="112"/>
        <v>13341.134968315133</v>
      </c>
      <c r="M93" s="105">
        <f t="shared" si="112"/>
        <v>13558.094262649749</v>
      </c>
      <c r="N93" s="105">
        <f t="shared" si="112"/>
        <v>13779.670192165393</v>
      </c>
      <c r="O93" s="105">
        <f t="shared" si="112"/>
        <v>14005.678156200865</v>
      </c>
      <c r="P93" s="105">
        <f t="shared" si="112"/>
        <v>14236.635347481084</v>
      </c>
      <c r="Q93" s="105">
        <f t="shared" si="112"/>
        <v>14472.000789778185</v>
      </c>
      <c r="R93" s="105">
        <f t="shared" si="112"/>
        <v>14712.325376363526</v>
      </c>
      <c r="S93" s="105">
        <f t="shared" si="112"/>
        <v>14957.431909267161</v>
      </c>
      <c r="T93" s="110">
        <f t="shared" si="112"/>
        <v>15221.12</v>
      </c>
      <c r="V93" s="99"/>
    </row>
    <row r="94" spans="1:27" s="97" customFormat="1" ht="15" customHeight="1" thickBot="1">
      <c r="A94" s="207"/>
      <c r="B94" s="162"/>
      <c r="C94" s="134"/>
      <c r="D94" s="135"/>
      <c r="E94" s="135"/>
      <c r="F94" s="111" t="s">
        <v>121</v>
      </c>
      <c r="G94" s="112">
        <f>+G89+G91+G92</f>
        <v>14261.29</v>
      </c>
      <c r="H94" s="112">
        <f t="shared" ref="H94:T94" si="113">+H89+H91+H92</f>
        <v>14456.87688</v>
      </c>
      <c r="I94" s="112">
        <f t="shared" si="113"/>
        <v>14656.329034480001</v>
      </c>
      <c r="J94" s="112">
        <f t="shared" si="113"/>
        <v>14860.293434204079</v>
      </c>
      <c r="K94" s="112">
        <f t="shared" si="113"/>
        <v>15068.548666322364</v>
      </c>
      <c r="L94" s="112">
        <f t="shared" si="113"/>
        <v>15280.904968315133</v>
      </c>
      <c r="M94" s="112">
        <f t="shared" si="113"/>
        <v>15497.864262649749</v>
      </c>
      <c r="N94" s="112">
        <f t="shared" si="113"/>
        <v>15719.440192165393</v>
      </c>
      <c r="O94" s="112">
        <f t="shared" si="113"/>
        <v>15945.448156200866</v>
      </c>
      <c r="P94" s="112">
        <f t="shared" si="113"/>
        <v>16176.405347481084</v>
      </c>
      <c r="Q94" s="112">
        <f t="shared" si="113"/>
        <v>16411.770789778187</v>
      </c>
      <c r="R94" s="112">
        <f t="shared" si="113"/>
        <v>16652.095376363526</v>
      </c>
      <c r="S94" s="112">
        <f t="shared" si="113"/>
        <v>16897.201909267162</v>
      </c>
      <c r="T94" s="113">
        <f t="shared" si="113"/>
        <v>17160.89</v>
      </c>
      <c r="V94" s="99"/>
    </row>
    <row r="95" spans="1:27" s="97" customFormat="1" ht="15" customHeight="1">
      <c r="A95" s="218" t="s">
        <v>219</v>
      </c>
      <c r="B95" s="131"/>
      <c r="C95" s="132"/>
      <c r="D95" s="133"/>
      <c r="E95" s="133"/>
      <c r="F95" s="114" t="s">
        <v>112</v>
      </c>
      <c r="G95" s="115">
        <f>G96*12/2080</f>
        <v>47.949692307692317</v>
      </c>
      <c r="H95" s="115">
        <f>H96*12/2080</f>
        <v>48.956635846153851</v>
      </c>
      <c r="I95" s="115">
        <f t="shared" ref="I95:T95" si="114">I96*12/2080</f>
        <v>49.984725198923073</v>
      </c>
      <c r="J95" s="115">
        <f t="shared" si="114"/>
        <v>51.034404428100451</v>
      </c>
      <c r="K95" s="115">
        <f t="shared" si="114"/>
        <v>52.106126921090564</v>
      </c>
      <c r="L95" s="115">
        <f t="shared" si="114"/>
        <v>53.20035558643346</v>
      </c>
      <c r="M95" s="115">
        <f t="shared" si="114"/>
        <v>54.317563053748557</v>
      </c>
      <c r="N95" s="115">
        <f t="shared" si="114"/>
        <v>55.458231877877274</v>
      </c>
      <c r="O95" s="115">
        <f t="shared" si="114"/>
        <v>56.622854747312687</v>
      </c>
      <c r="P95" s="115">
        <f t="shared" si="114"/>
        <v>57.811934697006258</v>
      </c>
      <c r="Q95" s="115">
        <f t="shared" si="114"/>
        <v>59.025985325643376</v>
      </c>
      <c r="R95" s="115">
        <f t="shared" si="114"/>
        <v>60.265531017481884</v>
      </c>
      <c r="S95" s="115">
        <f t="shared" si="114"/>
        <v>61.531107168849005</v>
      </c>
      <c r="T95" s="116">
        <f t="shared" si="114"/>
        <v>62.891423076923076</v>
      </c>
      <c r="V95" s="99"/>
    </row>
    <row r="96" spans="1:27" s="97" customFormat="1" ht="15" customHeight="1">
      <c r="A96" s="206"/>
      <c r="B96" s="161"/>
      <c r="C96" s="123"/>
      <c r="D96" s="124"/>
      <c r="E96" s="124"/>
      <c r="F96" s="117" t="s">
        <v>114</v>
      </c>
      <c r="G96" s="118">
        <v>8311.2800000000007</v>
      </c>
      <c r="H96" s="118">
        <f>G96*1.021</f>
        <v>8485.8168800000003</v>
      </c>
      <c r="I96" s="118">
        <f t="shared" ref="I96" si="115">H96*1.021</f>
        <v>8664.0190344799994</v>
      </c>
      <c r="J96" s="118">
        <f t="shared" ref="J96" si="116">I96*1.021</f>
        <v>8845.963434204079</v>
      </c>
      <c r="K96" s="118">
        <f t="shared" ref="K96" si="117">J96*1.021</f>
        <v>9031.728666322364</v>
      </c>
      <c r="L96" s="118">
        <f t="shared" ref="L96" si="118">K96*1.021</f>
        <v>9221.3949683151332</v>
      </c>
      <c r="M96" s="118">
        <f t="shared" ref="M96" si="119">L96*1.021</f>
        <v>9415.0442626497497</v>
      </c>
      <c r="N96" s="118">
        <f t="shared" ref="N96" si="120">M96*1.021</f>
        <v>9612.7601921653932</v>
      </c>
      <c r="O96" s="118">
        <f t="shared" ref="O96" si="121">N96*1.021</f>
        <v>9814.6281562008662</v>
      </c>
      <c r="P96" s="118">
        <f t="shared" ref="P96" si="122">O96*1.021</f>
        <v>10020.735347481084</v>
      </c>
      <c r="Q96" s="118">
        <f t="shared" ref="Q96" si="123">P96*1.021</f>
        <v>10231.170789778185</v>
      </c>
      <c r="R96" s="118">
        <f t="shared" ref="R96" si="124">Q96*1.021</f>
        <v>10446.025376363526</v>
      </c>
      <c r="S96" s="118">
        <f t="shared" ref="S96" si="125">R96*1.021</f>
        <v>10665.39190926716</v>
      </c>
      <c r="T96" s="119">
        <f>130814.16/12</f>
        <v>10901.18</v>
      </c>
      <c r="V96" s="99"/>
    </row>
    <row r="97" spans="1:22" s="97" customFormat="1" ht="15" customHeight="1">
      <c r="A97" s="206"/>
      <c r="B97" s="161"/>
      <c r="C97" s="123"/>
      <c r="D97" s="124"/>
      <c r="E97" s="124"/>
      <c r="F97" s="117" t="s">
        <v>115</v>
      </c>
      <c r="G97" s="118">
        <v>2240.2399999999998</v>
      </c>
      <c r="H97" s="118">
        <v>2261.29</v>
      </c>
      <c r="I97" s="118">
        <v>2282.54</v>
      </c>
      <c r="J97" s="118">
        <v>2304.56</v>
      </c>
      <c r="K97" s="118">
        <v>2327.0500000000002</v>
      </c>
      <c r="L97" s="118">
        <v>2346.04</v>
      </c>
      <c r="M97" s="118">
        <v>2373.0500000000002</v>
      </c>
      <c r="N97" s="118">
        <v>2396.91</v>
      </c>
      <c r="O97" s="118">
        <v>2421.0500000000002</v>
      </c>
      <c r="P97" s="118">
        <v>2445.9</v>
      </c>
      <c r="Q97" s="118">
        <v>2470.83</v>
      </c>
      <c r="R97" s="118">
        <v>2496.3000000000002</v>
      </c>
      <c r="S97" s="118">
        <v>2522.04</v>
      </c>
      <c r="T97" s="119">
        <v>2549.94</v>
      </c>
      <c r="V97" s="99"/>
    </row>
    <row r="98" spans="1:22" s="97" customFormat="1" ht="15" customHeight="1">
      <c r="A98" s="206"/>
      <c r="B98" s="161"/>
      <c r="C98" s="123"/>
      <c r="D98" s="124"/>
      <c r="E98" s="124"/>
      <c r="F98" s="117" t="s">
        <v>124</v>
      </c>
      <c r="G98" s="118">
        <v>4180.01</v>
      </c>
      <c r="H98" s="118">
        <v>4201.0600000000004</v>
      </c>
      <c r="I98" s="118">
        <v>4222.3100000000004</v>
      </c>
      <c r="J98" s="118">
        <v>4244.33</v>
      </c>
      <c r="K98" s="118">
        <v>4266.82</v>
      </c>
      <c r="L98" s="118">
        <v>4285.8100000000004</v>
      </c>
      <c r="M98" s="118">
        <v>4312.82</v>
      </c>
      <c r="N98" s="118">
        <v>4336.68</v>
      </c>
      <c r="O98" s="118">
        <v>4360.82</v>
      </c>
      <c r="P98" s="118">
        <v>4385.67</v>
      </c>
      <c r="Q98" s="118">
        <v>4410.6000000000004</v>
      </c>
      <c r="R98" s="118">
        <v>4436.07</v>
      </c>
      <c r="S98" s="118">
        <v>4461.8100000000004</v>
      </c>
      <c r="T98" s="119">
        <v>4489.71</v>
      </c>
      <c r="V98" s="99"/>
    </row>
    <row r="99" spans="1:22" s="97" customFormat="1" ht="15" customHeight="1">
      <c r="A99" s="206"/>
      <c r="B99" s="161"/>
      <c r="C99" s="123"/>
      <c r="D99" s="124"/>
      <c r="E99" s="124"/>
      <c r="F99" s="117" t="s">
        <v>119</v>
      </c>
      <c r="G99" s="118">
        <v>1770</v>
      </c>
      <c r="H99" s="118">
        <v>1770</v>
      </c>
      <c r="I99" s="118">
        <v>1770</v>
      </c>
      <c r="J99" s="118">
        <v>1770</v>
      </c>
      <c r="K99" s="118">
        <v>1770</v>
      </c>
      <c r="L99" s="118">
        <v>1770</v>
      </c>
      <c r="M99" s="118">
        <v>1770</v>
      </c>
      <c r="N99" s="118">
        <v>1770</v>
      </c>
      <c r="O99" s="118">
        <v>1770</v>
      </c>
      <c r="P99" s="118">
        <v>1770</v>
      </c>
      <c r="Q99" s="118">
        <v>1770</v>
      </c>
      <c r="R99" s="118">
        <v>1770</v>
      </c>
      <c r="S99" s="118">
        <v>1770</v>
      </c>
      <c r="T99" s="119">
        <v>1770</v>
      </c>
      <c r="V99" s="99"/>
    </row>
    <row r="100" spans="1:22" s="97" customFormat="1" ht="15" customHeight="1">
      <c r="A100" s="206"/>
      <c r="B100" s="161"/>
      <c r="C100" s="123"/>
      <c r="D100" s="124"/>
      <c r="E100" s="124"/>
      <c r="F100" s="117" t="s">
        <v>126</v>
      </c>
      <c r="G100" s="118">
        <f>+G96+G97+G99</f>
        <v>12321.52</v>
      </c>
      <c r="H100" s="118">
        <f t="shared" ref="H100:T100" si="126">+H96+H97+H99</f>
        <v>12517.106879999999</v>
      </c>
      <c r="I100" s="118">
        <f t="shared" si="126"/>
        <v>12716.55903448</v>
      </c>
      <c r="J100" s="118">
        <f t="shared" si="126"/>
        <v>12920.523434204079</v>
      </c>
      <c r="K100" s="118">
        <f t="shared" si="126"/>
        <v>13128.778666322363</v>
      </c>
      <c r="L100" s="118">
        <f t="shared" si="126"/>
        <v>13337.434968315134</v>
      </c>
      <c r="M100" s="118">
        <f t="shared" si="126"/>
        <v>13558.094262649749</v>
      </c>
      <c r="N100" s="118">
        <f t="shared" si="126"/>
        <v>13779.670192165393</v>
      </c>
      <c r="O100" s="118">
        <f t="shared" si="126"/>
        <v>14005.678156200865</v>
      </c>
      <c r="P100" s="118">
        <f t="shared" si="126"/>
        <v>14236.635347481084</v>
      </c>
      <c r="Q100" s="118">
        <f t="shared" si="126"/>
        <v>14472.000789778185</v>
      </c>
      <c r="R100" s="118">
        <f t="shared" si="126"/>
        <v>14712.325376363526</v>
      </c>
      <c r="S100" s="118">
        <f t="shared" si="126"/>
        <v>14957.431909267161</v>
      </c>
      <c r="T100" s="119">
        <f t="shared" si="126"/>
        <v>15221.12</v>
      </c>
      <c r="V100" s="99"/>
    </row>
    <row r="101" spans="1:22" s="97" customFormat="1" ht="15" customHeight="1" thickBot="1">
      <c r="A101" s="207"/>
      <c r="B101" s="162"/>
      <c r="C101" s="134"/>
      <c r="D101" s="135"/>
      <c r="E101" s="135"/>
      <c r="F101" s="120" t="s">
        <v>121</v>
      </c>
      <c r="G101" s="121">
        <f>+G96+G98+G99</f>
        <v>14261.29</v>
      </c>
      <c r="H101" s="121">
        <f t="shared" ref="H101:T101" si="127">+H96+H98+H99</f>
        <v>14456.87688</v>
      </c>
      <c r="I101" s="121">
        <f t="shared" si="127"/>
        <v>14656.329034480001</v>
      </c>
      <c r="J101" s="121">
        <f t="shared" si="127"/>
        <v>14860.293434204079</v>
      </c>
      <c r="K101" s="121">
        <f t="shared" si="127"/>
        <v>15068.548666322364</v>
      </c>
      <c r="L101" s="121">
        <f t="shared" si="127"/>
        <v>15277.204968315134</v>
      </c>
      <c r="M101" s="121">
        <f t="shared" si="127"/>
        <v>15497.864262649749</v>
      </c>
      <c r="N101" s="121">
        <f t="shared" si="127"/>
        <v>15719.440192165393</v>
      </c>
      <c r="O101" s="121">
        <f t="shared" si="127"/>
        <v>15945.448156200866</v>
      </c>
      <c r="P101" s="121">
        <f t="shared" si="127"/>
        <v>16176.405347481084</v>
      </c>
      <c r="Q101" s="121">
        <f t="shared" si="127"/>
        <v>16411.770789778187</v>
      </c>
      <c r="R101" s="121">
        <f t="shared" si="127"/>
        <v>16652.095376363526</v>
      </c>
      <c r="S101" s="121">
        <f t="shared" si="127"/>
        <v>16897.201909267162</v>
      </c>
      <c r="T101" s="122">
        <f t="shared" si="127"/>
        <v>17160.89</v>
      </c>
      <c r="V101" s="99"/>
    </row>
    <row r="102" spans="1:22" s="97" customFormat="1" ht="15" customHeight="1">
      <c r="A102" s="203" t="s">
        <v>76</v>
      </c>
      <c r="B102" s="235" t="s">
        <v>35</v>
      </c>
      <c r="C102" s="236" t="s">
        <v>43</v>
      </c>
      <c r="D102" s="237" t="s">
        <v>44</v>
      </c>
      <c r="E102" s="237" t="s">
        <v>36</v>
      </c>
      <c r="F102" s="125" t="s">
        <v>112</v>
      </c>
      <c r="G102" s="137">
        <v>32.46</v>
      </c>
      <c r="H102" s="137">
        <v>33.270000000000003</v>
      </c>
      <c r="I102" s="137">
        <v>34.1</v>
      </c>
      <c r="J102" s="137">
        <v>34.97</v>
      </c>
      <c r="K102" s="137">
        <v>35.82</v>
      </c>
      <c r="L102" s="137">
        <v>36.74</v>
      </c>
      <c r="M102" s="137">
        <v>37.61</v>
      </c>
      <c r="N102" s="137">
        <v>38.58</v>
      </c>
      <c r="O102" s="137">
        <v>39.5</v>
      </c>
      <c r="P102" s="137">
        <v>40.49</v>
      </c>
      <c r="Q102" s="137">
        <v>41.5</v>
      </c>
      <c r="R102" s="137">
        <v>42.54</v>
      </c>
      <c r="S102" s="137">
        <v>43.59</v>
      </c>
      <c r="T102" s="165">
        <v>44.68</v>
      </c>
      <c r="U102" s="97" t="s">
        <v>130</v>
      </c>
    </row>
    <row r="103" spans="1:22" s="97" customFormat="1" ht="15" customHeight="1">
      <c r="A103" s="204"/>
      <c r="B103" s="223"/>
      <c r="C103" s="226"/>
      <c r="D103" s="233"/>
      <c r="E103" s="233"/>
      <c r="F103" s="104" t="s">
        <v>114</v>
      </c>
      <c r="G103" s="138">
        <f>G102*2080/12</f>
        <v>5626.4000000000005</v>
      </c>
      <c r="H103" s="138">
        <f t="shared" ref="H103:T103" si="128">H102*2080/12</f>
        <v>5766.8</v>
      </c>
      <c r="I103" s="138">
        <f t="shared" si="128"/>
        <v>5910.666666666667</v>
      </c>
      <c r="J103" s="138">
        <f t="shared" si="128"/>
        <v>6061.4666666666662</v>
      </c>
      <c r="K103" s="138">
        <f t="shared" si="128"/>
        <v>6208.8</v>
      </c>
      <c r="L103" s="138">
        <f t="shared" si="128"/>
        <v>6368.2666666666664</v>
      </c>
      <c r="M103" s="138">
        <f t="shared" si="128"/>
        <v>6519.0666666666666</v>
      </c>
      <c r="N103" s="138">
        <f t="shared" si="128"/>
        <v>6687.2</v>
      </c>
      <c r="O103" s="138">
        <f t="shared" si="128"/>
        <v>6846.666666666667</v>
      </c>
      <c r="P103" s="138">
        <f t="shared" si="128"/>
        <v>7018.2666666666664</v>
      </c>
      <c r="Q103" s="138">
        <f t="shared" si="128"/>
        <v>7193.333333333333</v>
      </c>
      <c r="R103" s="138">
        <f t="shared" si="128"/>
        <v>7373.5999999999995</v>
      </c>
      <c r="S103" s="138">
        <f t="shared" si="128"/>
        <v>7555.6000000000013</v>
      </c>
      <c r="T103" s="166">
        <f t="shared" si="128"/>
        <v>7744.5333333333328</v>
      </c>
      <c r="U103" s="97" t="s">
        <v>131</v>
      </c>
      <c r="V103" s="99"/>
    </row>
    <row r="104" spans="1:22" s="97" customFormat="1" ht="15" customHeight="1">
      <c r="A104" s="204"/>
      <c r="B104" s="223"/>
      <c r="C104" s="226"/>
      <c r="D104" s="233"/>
      <c r="E104" s="233"/>
      <c r="F104" s="104" t="s">
        <v>115</v>
      </c>
      <c r="G104" s="138">
        <v>1917.23</v>
      </c>
      <c r="H104" s="138">
        <v>1934.17</v>
      </c>
      <c r="I104" s="138">
        <v>1951.37</v>
      </c>
      <c r="J104" s="138">
        <v>1969.54</v>
      </c>
      <c r="K104" s="138">
        <v>1987.3</v>
      </c>
      <c r="L104" s="138">
        <v>2006.5</v>
      </c>
      <c r="M104" s="138">
        <v>2024.67</v>
      </c>
      <c r="N104" s="138">
        <v>2044.9</v>
      </c>
      <c r="O104" s="138">
        <v>2064.1</v>
      </c>
      <c r="P104" s="138">
        <v>2084.7399999999998</v>
      </c>
      <c r="Q104" s="138">
        <v>2105.79</v>
      </c>
      <c r="R104" s="138">
        <v>2127.4499999999998</v>
      </c>
      <c r="S104" s="138">
        <v>2149.3200000000002</v>
      </c>
      <c r="T104" s="166">
        <v>2172.0100000000002</v>
      </c>
      <c r="U104" s="97" t="s">
        <v>132</v>
      </c>
    </row>
    <row r="105" spans="1:22" s="97" customFormat="1" ht="15" customHeight="1">
      <c r="A105" s="204"/>
      <c r="B105" s="223"/>
      <c r="C105" s="226"/>
      <c r="D105" s="233"/>
      <c r="E105" s="233"/>
      <c r="F105" s="104" t="s">
        <v>124</v>
      </c>
      <c r="G105" s="138">
        <v>3857</v>
      </c>
      <c r="H105" s="138">
        <v>3873.94</v>
      </c>
      <c r="I105" s="138">
        <v>3891.14</v>
      </c>
      <c r="J105" s="138">
        <v>3909.31</v>
      </c>
      <c r="K105" s="138">
        <v>3927.07</v>
      </c>
      <c r="L105" s="138">
        <v>3946.27</v>
      </c>
      <c r="M105" s="138">
        <v>3964.44</v>
      </c>
      <c r="N105" s="138">
        <v>3984.67</v>
      </c>
      <c r="O105" s="138">
        <v>4003.87</v>
      </c>
      <c r="P105" s="138">
        <v>4024.51</v>
      </c>
      <c r="Q105" s="138">
        <v>4045.56</v>
      </c>
      <c r="R105" s="138">
        <v>4067.22</v>
      </c>
      <c r="S105" s="138">
        <v>4089.09</v>
      </c>
      <c r="T105" s="166">
        <v>4111.78</v>
      </c>
    </row>
    <row r="106" spans="1:22" s="97" customFormat="1" ht="15" customHeight="1">
      <c r="A106" s="204"/>
      <c r="B106" s="223"/>
      <c r="C106" s="226"/>
      <c r="D106" s="233"/>
      <c r="E106" s="233"/>
      <c r="F106" s="104" t="s">
        <v>119</v>
      </c>
      <c r="G106" s="138">
        <v>1770</v>
      </c>
      <c r="H106" s="138">
        <v>1770</v>
      </c>
      <c r="I106" s="138">
        <v>1770</v>
      </c>
      <c r="J106" s="138">
        <v>1770</v>
      </c>
      <c r="K106" s="138">
        <v>1770</v>
      </c>
      <c r="L106" s="138">
        <v>1770</v>
      </c>
      <c r="M106" s="138">
        <v>1770</v>
      </c>
      <c r="N106" s="138">
        <v>1770</v>
      </c>
      <c r="O106" s="138">
        <v>1770</v>
      </c>
      <c r="P106" s="138">
        <v>1770</v>
      </c>
      <c r="Q106" s="138">
        <v>1770</v>
      </c>
      <c r="R106" s="138">
        <v>1770</v>
      </c>
      <c r="S106" s="138">
        <v>1770</v>
      </c>
      <c r="T106" s="166">
        <v>1770</v>
      </c>
    </row>
    <row r="107" spans="1:22" s="97" customFormat="1" ht="15" customHeight="1">
      <c r="A107" s="204"/>
      <c r="B107" s="223"/>
      <c r="C107" s="226"/>
      <c r="D107" s="233"/>
      <c r="E107" s="233"/>
      <c r="F107" s="104" t="s">
        <v>120</v>
      </c>
      <c r="G107" s="138">
        <f>G103+G104+G106</f>
        <v>9313.630000000001</v>
      </c>
      <c r="H107" s="138">
        <f t="shared" ref="H107" si="129">H103+H104+H106</f>
        <v>9470.9700000000012</v>
      </c>
      <c r="I107" s="138">
        <f t="shared" ref="I107" si="130">I103+I104+I106</f>
        <v>9632.0366666666669</v>
      </c>
      <c r="J107" s="138">
        <f t="shared" ref="J107" si="131">J103+J104+J106</f>
        <v>9801.0066666666662</v>
      </c>
      <c r="K107" s="138">
        <f t="shared" ref="K107" si="132">K103+K104+K106</f>
        <v>9966.1</v>
      </c>
      <c r="L107" s="138">
        <f t="shared" ref="L107" si="133">L103+L104+L106</f>
        <v>10144.766666666666</v>
      </c>
      <c r="M107" s="138">
        <f t="shared" ref="M107" si="134">M103+M104+M106</f>
        <v>10313.736666666668</v>
      </c>
      <c r="N107" s="138">
        <f t="shared" ref="N107" si="135">N103+N104+N106</f>
        <v>10502.1</v>
      </c>
      <c r="O107" s="138">
        <f t="shared" ref="O107" si="136">O103+O104+O106</f>
        <v>10680.766666666666</v>
      </c>
      <c r="P107" s="138">
        <f t="shared" ref="P107" si="137">P103+P104+P106</f>
        <v>10873.006666666666</v>
      </c>
      <c r="Q107" s="138">
        <f t="shared" ref="Q107" si="138">Q103+Q104+Q106</f>
        <v>11069.123333333333</v>
      </c>
      <c r="R107" s="138">
        <f t="shared" ref="R107" si="139">R103+R104+R106</f>
        <v>11271.05</v>
      </c>
      <c r="S107" s="138">
        <f t="shared" ref="S107" si="140">S103+S104+S106</f>
        <v>11474.920000000002</v>
      </c>
      <c r="T107" s="166">
        <f t="shared" ref="T107" si="141">T103+T104+T106</f>
        <v>11686.543333333333</v>
      </c>
    </row>
    <row r="108" spans="1:22" s="97" customFormat="1" ht="15" customHeight="1" thickBot="1">
      <c r="A108" s="205"/>
      <c r="B108" s="224"/>
      <c r="C108" s="227"/>
      <c r="D108" s="238"/>
      <c r="E108" s="238"/>
      <c r="F108" s="111" t="s">
        <v>121</v>
      </c>
      <c r="G108" s="139">
        <f t="shared" ref="G108:T108" si="142">G103+G105+G106</f>
        <v>11253.400000000001</v>
      </c>
      <c r="H108" s="139">
        <f t="shared" si="142"/>
        <v>11410.74</v>
      </c>
      <c r="I108" s="139">
        <f t="shared" si="142"/>
        <v>11571.806666666667</v>
      </c>
      <c r="J108" s="139">
        <f t="shared" si="142"/>
        <v>11740.776666666667</v>
      </c>
      <c r="K108" s="139">
        <f t="shared" si="142"/>
        <v>11905.87</v>
      </c>
      <c r="L108" s="139">
        <f t="shared" si="142"/>
        <v>12084.536666666667</v>
      </c>
      <c r="M108" s="139">
        <f t="shared" si="142"/>
        <v>12253.506666666666</v>
      </c>
      <c r="N108" s="139">
        <f t="shared" si="142"/>
        <v>12441.869999999999</v>
      </c>
      <c r="O108" s="139">
        <f t="shared" si="142"/>
        <v>12620.536666666667</v>
      </c>
      <c r="P108" s="139">
        <f t="shared" si="142"/>
        <v>12812.776666666667</v>
      </c>
      <c r="Q108" s="139">
        <f t="shared" si="142"/>
        <v>13008.893333333333</v>
      </c>
      <c r="R108" s="139">
        <f t="shared" si="142"/>
        <v>13210.82</v>
      </c>
      <c r="S108" s="139">
        <f t="shared" si="142"/>
        <v>13414.690000000002</v>
      </c>
      <c r="T108" s="167">
        <f t="shared" si="142"/>
        <v>13626.313333333332</v>
      </c>
    </row>
    <row r="109" spans="1:22" s="97" customFormat="1" ht="15" customHeight="1">
      <c r="A109" s="203" t="s">
        <v>45</v>
      </c>
      <c r="B109" s="214" t="s">
        <v>46</v>
      </c>
      <c r="C109" s="215" t="s">
        <v>43</v>
      </c>
      <c r="D109" s="221" t="s">
        <v>47</v>
      </c>
      <c r="E109" s="221" t="s">
        <v>48</v>
      </c>
      <c r="F109" s="114" t="s">
        <v>112</v>
      </c>
      <c r="G109" s="115">
        <v>29.43</v>
      </c>
      <c r="H109" s="115">
        <v>30.17</v>
      </c>
      <c r="I109" s="115">
        <v>30.92</v>
      </c>
      <c r="J109" s="115">
        <v>31.69</v>
      </c>
      <c r="K109" s="115">
        <v>32.46</v>
      </c>
      <c r="L109" s="115">
        <v>33.270000000000003</v>
      </c>
      <c r="M109" s="115">
        <v>34.1</v>
      </c>
      <c r="N109" s="115">
        <v>34.97</v>
      </c>
      <c r="O109" s="115">
        <v>35.82</v>
      </c>
      <c r="P109" s="115">
        <v>36.74</v>
      </c>
      <c r="Q109" s="115">
        <v>37.61</v>
      </c>
      <c r="R109" s="115">
        <v>38.58</v>
      </c>
      <c r="S109" s="115">
        <v>39.5</v>
      </c>
      <c r="T109" s="116">
        <v>40.49</v>
      </c>
      <c r="U109" s="97" t="s">
        <v>133</v>
      </c>
      <c r="V109" s="99"/>
    </row>
    <row r="110" spans="1:22" s="97" customFormat="1" ht="15" customHeight="1">
      <c r="A110" s="204"/>
      <c r="B110" s="209"/>
      <c r="C110" s="216"/>
      <c r="D110" s="212"/>
      <c r="E110" s="212"/>
      <c r="F110" s="117" t="s">
        <v>114</v>
      </c>
      <c r="G110" s="118">
        <f>G109*2080/12</f>
        <v>5101.2</v>
      </c>
      <c r="H110" s="118">
        <f t="shared" ref="H110:T110" si="143">H109*2080/12</f>
        <v>5229.4666666666672</v>
      </c>
      <c r="I110" s="118">
        <f t="shared" si="143"/>
        <v>5359.4666666666672</v>
      </c>
      <c r="J110" s="118">
        <f t="shared" si="143"/>
        <v>5492.9333333333334</v>
      </c>
      <c r="K110" s="118">
        <f t="shared" si="143"/>
        <v>5626.4000000000005</v>
      </c>
      <c r="L110" s="118">
        <f t="shared" si="143"/>
        <v>5766.8</v>
      </c>
      <c r="M110" s="118">
        <f t="shared" si="143"/>
        <v>5910.666666666667</v>
      </c>
      <c r="N110" s="118">
        <f t="shared" si="143"/>
        <v>6061.4666666666662</v>
      </c>
      <c r="O110" s="118">
        <f t="shared" si="143"/>
        <v>6208.8</v>
      </c>
      <c r="P110" s="118">
        <f t="shared" si="143"/>
        <v>6368.2666666666664</v>
      </c>
      <c r="Q110" s="118">
        <f t="shared" si="143"/>
        <v>6519.0666666666666</v>
      </c>
      <c r="R110" s="118">
        <f t="shared" si="143"/>
        <v>6687.2</v>
      </c>
      <c r="S110" s="118">
        <f t="shared" si="143"/>
        <v>6846.666666666667</v>
      </c>
      <c r="T110" s="119">
        <f t="shared" si="143"/>
        <v>7018.2666666666664</v>
      </c>
      <c r="U110" s="97" t="s">
        <v>134</v>
      </c>
      <c r="V110" s="99"/>
    </row>
    <row r="111" spans="1:22" s="97" customFormat="1" ht="15" customHeight="1">
      <c r="A111" s="204"/>
      <c r="B111" s="209"/>
      <c r="C111" s="216"/>
      <c r="D111" s="212"/>
      <c r="E111" s="212"/>
      <c r="F111" s="117" t="s">
        <v>115</v>
      </c>
      <c r="G111" s="118">
        <v>1854.08</v>
      </c>
      <c r="H111" s="118">
        <v>1869.44</v>
      </c>
      <c r="I111" s="118">
        <v>1885.14</v>
      </c>
      <c r="J111" s="118">
        <v>1901.11</v>
      </c>
      <c r="K111" s="118">
        <v>1917.23</v>
      </c>
      <c r="L111" s="118">
        <v>1934.17</v>
      </c>
      <c r="M111" s="118">
        <v>1951.37</v>
      </c>
      <c r="N111" s="118">
        <v>1969.54</v>
      </c>
      <c r="O111" s="118">
        <v>1987.3</v>
      </c>
      <c r="P111" s="118">
        <v>2006.5</v>
      </c>
      <c r="Q111" s="118">
        <v>2024.67</v>
      </c>
      <c r="R111" s="118">
        <v>2044.9</v>
      </c>
      <c r="S111" s="118">
        <v>2064.1</v>
      </c>
      <c r="T111" s="119">
        <v>2084.7399999999998</v>
      </c>
      <c r="U111" s="97" t="s">
        <v>135</v>
      </c>
    </row>
    <row r="112" spans="1:22" s="97" customFormat="1" ht="15" customHeight="1">
      <c r="A112" s="204"/>
      <c r="B112" s="209"/>
      <c r="C112" s="216"/>
      <c r="D112" s="212"/>
      <c r="E112" s="212"/>
      <c r="F112" s="117" t="s">
        <v>124</v>
      </c>
      <c r="G112" s="118">
        <v>3793.85</v>
      </c>
      <c r="H112" s="118">
        <v>3809.21</v>
      </c>
      <c r="I112" s="118">
        <v>3824.91</v>
      </c>
      <c r="J112" s="118">
        <v>3840.88</v>
      </c>
      <c r="K112" s="118">
        <v>3857</v>
      </c>
      <c r="L112" s="118">
        <v>3873.94</v>
      </c>
      <c r="M112" s="118">
        <v>3891.14</v>
      </c>
      <c r="N112" s="118">
        <v>3909.31</v>
      </c>
      <c r="O112" s="118">
        <v>3927.07</v>
      </c>
      <c r="P112" s="118">
        <v>3946.27</v>
      </c>
      <c r="Q112" s="118">
        <v>3964.44</v>
      </c>
      <c r="R112" s="118">
        <v>3984.67</v>
      </c>
      <c r="S112" s="118">
        <v>4003.87</v>
      </c>
      <c r="T112" s="119">
        <v>4024.51</v>
      </c>
      <c r="U112" s="97" t="s">
        <v>136</v>
      </c>
    </row>
    <row r="113" spans="1:22" s="97" customFormat="1" ht="15" customHeight="1">
      <c r="A113" s="204"/>
      <c r="B113" s="209"/>
      <c r="C113" s="216"/>
      <c r="D113" s="212"/>
      <c r="E113" s="212"/>
      <c r="F113" s="117" t="s">
        <v>119</v>
      </c>
      <c r="G113" s="118">
        <v>1770</v>
      </c>
      <c r="H113" s="118">
        <v>1770</v>
      </c>
      <c r="I113" s="118">
        <v>1770</v>
      </c>
      <c r="J113" s="118">
        <v>1770</v>
      </c>
      <c r="K113" s="118">
        <v>1770</v>
      </c>
      <c r="L113" s="118">
        <v>1770</v>
      </c>
      <c r="M113" s="118">
        <v>1770</v>
      </c>
      <c r="N113" s="118">
        <v>1770</v>
      </c>
      <c r="O113" s="118">
        <v>1770</v>
      </c>
      <c r="P113" s="118">
        <v>1770</v>
      </c>
      <c r="Q113" s="118">
        <v>1770</v>
      </c>
      <c r="R113" s="118">
        <v>1770</v>
      </c>
      <c r="S113" s="118">
        <v>1770</v>
      </c>
      <c r="T113" s="119">
        <v>1770</v>
      </c>
      <c r="U113" s="97" t="s">
        <v>137</v>
      </c>
    </row>
    <row r="114" spans="1:22" s="97" customFormat="1" ht="15" customHeight="1">
      <c r="A114" s="204"/>
      <c r="B114" s="209"/>
      <c r="C114" s="216"/>
      <c r="D114" s="212"/>
      <c r="E114" s="212"/>
      <c r="F114" s="117" t="s">
        <v>120</v>
      </c>
      <c r="G114" s="118">
        <f>G110+G111+G113</f>
        <v>8725.2799999999988</v>
      </c>
      <c r="H114" s="118">
        <f t="shared" ref="H114" si="144">H110+H111+H113</f>
        <v>8868.9066666666677</v>
      </c>
      <c r="I114" s="118">
        <f t="shared" ref="I114" si="145">I110+I111+I113</f>
        <v>9014.6066666666666</v>
      </c>
      <c r="J114" s="118">
        <f t="shared" ref="J114" si="146">J110+J111+J113</f>
        <v>9164.0433333333331</v>
      </c>
      <c r="K114" s="118">
        <f t="shared" ref="K114" si="147">K110+K111+K113</f>
        <v>9313.630000000001</v>
      </c>
      <c r="L114" s="118">
        <f t="shared" ref="L114" si="148">L110+L111+L113</f>
        <v>9470.9700000000012</v>
      </c>
      <c r="M114" s="118">
        <f t="shared" ref="M114" si="149">M110+M111+M113</f>
        <v>9632.0366666666669</v>
      </c>
      <c r="N114" s="118">
        <f t="shared" ref="N114" si="150">N110+N111+N113</f>
        <v>9801.0066666666662</v>
      </c>
      <c r="O114" s="118">
        <f t="shared" ref="O114" si="151">O110+O111+O113</f>
        <v>9966.1</v>
      </c>
      <c r="P114" s="118">
        <f t="shared" ref="P114" si="152">P110+P111+P113</f>
        <v>10144.766666666666</v>
      </c>
      <c r="Q114" s="118">
        <f t="shared" ref="Q114" si="153">Q110+Q111+Q113</f>
        <v>10313.736666666668</v>
      </c>
      <c r="R114" s="118">
        <f t="shared" ref="R114" si="154">R110+R111+R113</f>
        <v>10502.1</v>
      </c>
      <c r="S114" s="118">
        <f t="shared" ref="S114" si="155">S110+S111+S113</f>
        <v>10680.766666666666</v>
      </c>
      <c r="T114" s="119">
        <f t="shared" ref="T114" si="156">T110+T111+T113</f>
        <v>10873.006666666666</v>
      </c>
    </row>
    <row r="115" spans="1:22" s="97" customFormat="1" ht="15" customHeight="1" thickBot="1">
      <c r="A115" s="205"/>
      <c r="B115" s="210"/>
      <c r="C115" s="217"/>
      <c r="D115" s="213"/>
      <c r="E115" s="213"/>
      <c r="F115" s="120" t="s">
        <v>121</v>
      </c>
      <c r="G115" s="121">
        <f t="shared" ref="G115:T115" si="157">G110+G112+G113</f>
        <v>10665.05</v>
      </c>
      <c r="H115" s="121">
        <f t="shared" si="157"/>
        <v>10808.676666666666</v>
      </c>
      <c r="I115" s="121">
        <f t="shared" si="157"/>
        <v>10954.376666666667</v>
      </c>
      <c r="J115" s="121">
        <f t="shared" si="157"/>
        <v>11103.813333333334</v>
      </c>
      <c r="K115" s="121">
        <f t="shared" si="157"/>
        <v>11253.400000000001</v>
      </c>
      <c r="L115" s="121">
        <f t="shared" si="157"/>
        <v>11410.74</v>
      </c>
      <c r="M115" s="121">
        <f t="shared" si="157"/>
        <v>11571.806666666667</v>
      </c>
      <c r="N115" s="121">
        <f t="shared" si="157"/>
        <v>11740.776666666667</v>
      </c>
      <c r="O115" s="121">
        <f t="shared" si="157"/>
        <v>11905.87</v>
      </c>
      <c r="P115" s="121">
        <f t="shared" si="157"/>
        <v>12084.536666666667</v>
      </c>
      <c r="Q115" s="121">
        <f t="shared" si="157"/>
        <v>12253.506666666666</v>
      </c>
      <c r="R115" s="121">
        <f t="shared" si="157"/>
        <v>12441.869999999999</v>
      </c>
      <c r="S115" s="121">
        <f t="shared" si="157"/>
        <v>12620.536666666667</v>
      </c>
      <c r="T115" s="122">
        <f t="shared" si="157"/>
        <v>12812.776666666667</v>
      </c>
    </row>
    <row r="116" spans="1:22" s="97" customFormat="1" ht="15" customHeight="1">
      <c r="A116" s="228" t="s">
        <v>49</v>
      </c>
      <c r="B116" s="222" t="s">
        <v>50</v>
      </c>
      <c r="C116" s="225" t="s">
        <v>43</v>
      </c>
      <c r="D116" s="232" t="s">
        <v>51</v>
      </c>
      <c r="E116" s="225" t="s">
        <v>52</v>
      </c>
      <c r="F116" s="125" t="s">
        <v>112</v>
      </c>
      <c r="G116" s="129">
        <v>25.41</v>
      </c>
      <c r="H116" s="129">
        <v>26.05</v>
      </c>
      <c r="I116" s="129">
        <v>26.7</v>
      </c>
      <c r="J116" s="129">
        <v>27.39</v>
      </c>
      <c r="K116" s="129">
        <v>28.04</v>
      </c>
      <c r="L116" s="129">
        <v>28.73</v>
      </c>
      <c r="M116" s="129">
        <v>29.43</v>
      </c>
      <c r="N116" s="129">
        <v>30.17</v>
      </c>
      <c r="O116" s="129">
        <v>30.92</v>
      </c>
      <c r="P116" s="129">
        <v>31.69</v>
      </c>
      <c r="Q116" s="129">
        <v>32.479999999999997</v>
      </c>
      <c r="R116" s="129">
        <v>33.28</v>
      </c>
      <c r="S116" s="129">
        <v>34.1</v>
      </c>
      <c r="T116" s="130">
        <v>34.950000000000003</v>
      </c>
    </row>
    <row r="117" spans="1:22" s="97" customFormat="1" ht="15" customHeight="1">
      <c r="A117" s="204"/>
      <c r="B117" s="223"/>
      <c r="C117" s="226"/>
      <c r="D117" s="233"/>
      <c r="E117" s="226"/>
      <c r="F117" s="104" t="s">
        <v>114</v>
      </c>
      <c r="G117" s="105">
        <f>G116*2080/12</f>
        <v>4404.4000000000005</v>
      </c>
      <c r="H117" s="105">
        <f t="shared" ref="H117:T117" si="158">H116*2080/12</f>
        <v>4515.333333333333</v>
      </c>
      <c r="I117" s="105">
        <f t="shared" si="158"/>
        <v>4628</v>
      </c>
      <c r="J117" s="105">
        <f t="shared" si="158"/>
        <v>4747.6000000000004</v>
      </c>
      <c r="K117" s="105">
        <f t="shared" si="158"/>
        <v>4860.2666666666664</v>
      </c>
      <c r="L117" s="105">
        <f t="shared" si="158"/>
        <v>4979.8666666666668</v>
      </c>
      <c r="M117" s="105">
        <f t="shared" si="158"/>
        <v>5101.2</v>
      </c>
      <c r="N117" s="105">
        <f t="shared" si="158"/>
        <v>5229.4666666666672</v>
      </c>
      <c r="O117" s="105">
        <f t="shared" si="158"/>
        <v>5359.4666666666672</v>
      </c>
      <c r="P117" s="105">
        <f t="shared" si="158"/>
        <v>5492.9333333333334</v>
      </c>
      <c r="Q117" s="105">
        <f t="shared" si="158"/>
        <v>5629.8666666666659</v>
      </c>
      <c r="R117" s="105">
        <f t="shared" si="158"/>
        <v>5768.5333333333338</v>
      </c>
      <c r="S117" s="105">
        <f t="shared" si="158"/>
        <v>5910.666666666667</v>
      </c>
      <c r="T117" s="110">
        <f t="shared" si="158"/>
        <v>6058</v>
      </c>
    </row>
    <row r="118" spans="1:22" s="97" customFormat="1" ht="15" customHeight="1">
      <c r="A118" s="204"/>
      <c r="B118" s="223"/>
      <c r="C118" s="226"/>
      <c r="D118" s="233"/>
      <c r="E118" s="226"/>
      <c r="F118" s="104" t="s">
        <v>115</v>
      </c>
      <c r="G118" s="105">
        <v>1770.15</v>
      </c>
      <c r="H118" s="105">
        <v>1783.6</v>
      </c>
      <c r="I118" s="105">
        <v>1797.1</v>
      </c>
      <c r="J118" s="105">
        <v>1811.43</v>
      </c>
      <c r="K118" s="105">
        <v>1825.08</v>
      </c>
      <c r="L118" s="105">
        <v>1839.4</v>
      </c>
      <c r="M118" s="105">
        <v>1854.08</v>
      </c>
      <c r="N118" s="105">
        <v>1869.44</v>
      </c>
      <c r="O118" s="105">
        <v>1885.14</v>
      </c>
      <c r="P118" s="105">
        <v>1901.11</v>
      </c>
      <c r="Q118" s="105">
        <v>1917.64</v>
      </c>
      <c r="R118" s="105">
        <v>1934.37</v>
      </c>
      <c r="S118" s="105">
        <v>1951.37</v>
      </c>
      <c r="T118" s="110">
        <v>1969.13</v>
      </c>
    </row>
    <row r="119" spans="1:22" s="97" customFormat="1" ht="15" customHeight="1">
      <c r="A119" s="204"/>
      <c r="B119" s="223"/>
      <c r="C119" s="226"/>
      <c r="D119" s="233"/>
      <c r="E119" s="226"/>
      <c r="F119" s="104" t="s">
        <v>124</v>
      </c>
      <c r="G119" s="105">
        <v>3709.92</v>
      </c>
      <c r="H119" s="105">
        <v>3723.37</v>
      </c>
      <c r="I119" s="105">
        <v>3736.87</v>
      </c>
      <c r="J119" s="105">
        <v>3751.2</v>
      </c>
      <c r="K119" s="105">
        <v>3764.85</v>
      </c>
      <c r="L119" s="105">
        <v>3779.17</v>
      </c>
      <c r="M119" s="105">
        <v>3793.85</v>
      </c>
      <c r="N119" s="105">
        <v>3809.21</v>
      </c>
      <c r="O119" s="105">
        <v>3824.91</v>
      </c>
      <c r="P119" s="105">
        <v>3840.88</v>
      </c>
      <c r="Q119" s="105">
        <v>3857.41</v>
      </c>
      <c r="R119" s="105">
        <v>3874.14</v>
      </c>
      <c r="S119" s="105">
        <v>3891.14</v>
      </c>
      <c r="T119" s="110">
        <v>3908.9</v>
      </c>
    </row>
    <row r="120" spans="1:22" s="97" customFormat="1" ht="15" customHeight="1">
      <c r="A120" s="204"/>
      <c r="B120" s="223"/>
      <c r="C120" s="226"/>
      <c r="D120" s="233"/>
      <c r="E120" s="226"/>
      <c r="F120" s="104" t="s">
        <v>119</v>
      </c>
      <c r="G120" s="105">
        <v>1770</v>
      </c>
      <c r="H120" s="105">
        <v>1770</v>
      </c>
      <c r="I120" s="105">
        <v>1770</v>
      </c>
      <c r="J120" s="105">
        <v>1770</v>
      </c>
      <c r="K120" s="105">
        <v>1770</v>
      </c>
      <c r="L120" s="105">
        <v>1770</v>
      </c>
      <c r="M120" s="105">
        <v>1770</v>
      </c>
      <c r="N120" s="105">
        <v>1770</v>
      </c>
      <c r="O120" s="105">
        <v>1770</v>
      </c>
      <c r="P120" s="105">
        <v>1770</v>
      </c>
      <c r="Q120" s="105">
        <v>1770</v>
      </c>
      <c r="R120" s="105">
        <v>1770</v>
      </c>
      <c r="S120" s="105">
        <v>1770</v>
      </c>
      <c r="T120" s="110">
        <v>1770</v>
      </c>
    </row>
    <row r="121" spans="1:22" s="97" customFormat="1" ht="15" customHeight="1">
      <c r="A121" s="204"/>
      <c r="B121" s="223"/>
      <c r="C121" s="226"/>
      <c r="D121" s="233"/>
      <c r="E121" s="226"/>
      <c r="F121" s="104" t="s">
        <v>120</v>
      </c>
      <c r="G121" s="105">
        <f>G117+G118+G120</f>
        <v>7944.5500000000011</v>
      </c>
      <c r="H121" s="105">
        <f t="shared" ref="H121" si="159">H117+H118+H120</f>
        <v>8068.9333333333325</v>
      </c>
      <c r="I121" s="105">
        <f t="shared" ref="I121" si="160">I117+I118+I120</f>
        <v>8195.1</v>
      </c>
      <c r="J121" s="105">
        <f t="shared" ref="J121" si="161">J117+J118+J120</f>
        <v>8329.0300000000007</v>
      </c>
      <c r="K121" s="105">
        <f t="shared" ref="K121" si="162">K117+K118+K120</f>
        <v>8455.3466666666664</v>
      </c>
      <c r="L121" s="105">
        <f t="shared" ref="L121" si="163">L117+L118+L120</f>
        <v>8589.2666666666664</v>
      </c>
      <c r="M121" s="105">
        <f t="shared" ref="M121" si="164">M117+M118+M120</f>
        <v>8725.2799999999988</v>
      </c>
      <c r="N121" s="105">
        <f t="shared" ref="N121" si="165">N117+N118+N120</f>
        <v>8868.9066666666677</v>
      </c>
      <c r="O121" s="105">
        <f t="shared" ref="O121" si="166">O117+O118+O120</f>
        <v>9014.6066666666666</v>
      </c>
      <c r="P121" s="105">
        <f t="shared" ref="P121" si="167">P117+P118+P120</f>
        <v>9164.0433333333331</v>
      </c>
      <c r="Q121" s="105">
        <f t="shared" ref="Q121" si="168">Q117+Q118+Q120</f>
        <v>9317.5066666666662</v>
      </c>
      <c r="R121" s="105">
        <f t="shared" ref="R121" si="169">R117+R118+R120</f>
        <v>9472.9033333333336</v>
      </c>
      <c r="S121" s="105">
        <f t="shared" ref="S121" si="170">S117+S118+S120</f>
        <v>9632.0366666666669</v>
      </c>
      <c r="T121" s="110">
        <f t="shared" ref="T121" si="171">T117+T118+T120</f>
        <v>9797.130000000001</v>
      </c>
    </row>
    <row r="122" spans="1:22" s="97" customFormat="1" ht="15" customHeight="1" thickBot="1">
      <c r="A122" s="229"/>
      <c r="B122" s="230"/>
      <c r="C122" s="231"/>
      <c r="D122" s="234"/>
      <c r="E122" s="231"/>
      <c r="F122" s="111" t="s">
        <v>121</v>
      </c>
      <c r="G122" s="112">
        <f t="shared" ref="G122:T122" si="172">G117+G119+G120</f>
        <v>9884.32</v>
      </c>
      <c r="H122" s="112">
        <f t="shared" si="172"/>
        <v>10008.703333333333</v>
      </c>
      <c r="I122" s="112">
        <f t="shared" si="172"/>
        <v>10134.869999999999</v>
      </c>
      <c r="J122" s="112">
        <f t="shared" si="172"/>
        <v>10268.799999999999</v>
      </c>
      <c r="K122" s="112">
        <f t="shared" si="172"/>
        <v>10395.116666666667</v>
      </c>
      <c r="L122" s="112">
        <f t="shared" si="172"/>
        <v>10529.036666666667</v>
      </c>
      <c r="M122" s="112">
        <f t="shared" si="172"/>
        <v>10665.05</v>
      </c>
      <c r="N122" s="112">
        <f t="shared" si="172"/>
        <v>10808.676666666666</v>
      </c>
      <c r="O122" s="112">
        <f t="shared" si="172"/>
        <v>10954.376666666667</v>
      </c>
      <c r="P122" s="112">
        <f t="shared" si="172"/>
        <v>11103.813333333334</v>
      </c>
      <c r="Q122" s="112">
        <f t="shared" si="172"/>
        <v>11257.276666666665</v>
      </c>
      <c r="R122" s="112">
        <f t="shared" si="172"/>
        <v>11412.673333333334</v>
      </c>
      <c r="S122" s="112">
        <f t="shared" si="172"/>
        <v>11571.806666666667</v>
      </c>
      <c r="T122" s="113">
        <f t="shared" si="172"/>
        <v>11736.9</v>
      </c>
    </row>
    <row r="123" spans="1:22" s="97" customFormat="1" ht="15" customHeight="1">
      <c r="A123" s="203" t="s">
        <v>53</v>
      </c>
      <c r="B123" s="214" t="s">
        <v>54</v>
      </c>
      <c r="C123" s="215" t="s">
        <v>39</v>
      </c>
      <c r="D123" s="221" t="s">
        <v>55</v>
      </c>
      <c r="E123" s="221" t="s">
        <v>48</v>
      </c>
      <c r="F123" s="114" t="s">
        <v>112</v>
      </c>
      <c r="G123" s="115">
        <v>29.43</v>
      </c>
      <c r="H123" s="115">
        <v>30.17</v>
      </c>
      <c r="I123" s="115">
        <v>30.92</v>
      </c>
      <c r="J123" s="115">
        <v>31.69</v>
      </c>
      <c r="K123" s="115">
        <v>32.46</v>
      </c>
      <c r="L123" s="115">
        <v>33.270000000000003</v>
      </c>
      <c r="M123" s="115">
        <v>34.1</v>
      </c>
      <c r="N123" s="115">
        <v>34.97</v>
      </c>
      <c r="O123" s="115">
        <v>35.82</v>
      </c>
      <c r="P123" s="115">
        <v>36.74</v>
      </c>
      <c r="Q123" s="115">
        <v>37.61</v>
      </c>
      <c r="R123" s="115">
        <v>38.58</v>
      </c>
      <c r="S123" s="115">
        <v>39.5</v>
      </c>
      <c r="T123" s="116">
        <v>40.49</v>
      </c>
      <c r="U123" s="97" t="s">
        <v>138</v>
      </c>
    </row>
    <row r="124" spans="1:22" s="97" customFormat="1" ht="15" customHeight="1">
      <c r="A124" s="204"/>
      <c r="B124" s="209"/>
      <c r="C124" s="216"/>
      <c r="D124" s="212"/>
      <c r="E124" s="212"/>
      <c r="F124" s="117" t="s">
        <v>114</v>
      </c>
      <c r="G124" s="118">
        <f>G123*2080/12</f>
        <v>5101.2</v>
      </c>
      <c r="H124" s="118">
        <f t="shared" ref="H124:T124" si="173">H123*2080/12</f>
        <v>5229.4666666666672</v>
      </c>
      <c r="I124" s="118">
        <f t="shared" si="173"/>
        <v>5359.4666666666672</v>
      </c>
      <c r="J124" s="118">
        <f t="shared" si="173"/>
        <v>5492.9333333333334</v>
      </c>
      <c r="K124" s="118">
        <f t="shared" si="173"/>
        <v>5626.4000000000005</v>
      </c>
      <c r="L124" s="118">
        <f t="shared" si="173"/>
        <v>5766.8</v>
      </c>
      <c r="M124" s="118">
        <f t="shared" si="173"/>
        <v>5910.666666666667</v>
      </c>
      <c r="N124" s="118">
        <f t="shared" si="173"/>
        <v>6061.4666666666662</v>
      </c>
      <c r="O124" s="118">
        <f t="shared" si="173"/>
        <v>6208.8</v>
      </c>
      <c r="P124" s="118">
        <f t="shared" si="173"/>
        <v>6368.2666666666664</v>
      </c>
      <c r="Q124" s="118">
        <f t="shared" si="173"/>
        <v>6519.0666666666666</v>
      </c>
      <c r="R124" s="118">
        <f t="shared" si="173"/>
        <v>6687.2</v>
      </c>
      <c r="S124" s="118">
        <f t="shared" si="173"/>
        <v>6846.666666666667</v>
      </c>
      <c r="T124" s="119">
        <f t="shared" si="173"/>
        <v>7018.2666666666664</v>
      </c>
      <c r="V124" s="99"/>
    </row>
    <row r="125" spans="1:22" s="97" customFormat="1" ht="15" customHeight="1">
      <c r="A125" s="204"/>
      <c r="B125" s="209"/>
      <c r="C125" s="216"/>
      <c r="D125" s="212"/>
      <c r="E125" s="212"/>
      <c r="F125" s="117" t="s">
        <v>115</v>
      </c>
      <c r="G125" s="118">
        <v>1854.08</v>
      </c>
      <c r="H125" s="118">
        <v>1869.44</v>
      </c>
      <c r="I125" s="118">
        <v>1885.14</v>
      </c>
      <c r="J125" s="118">
        <v>1901.11</v>
      </c>
      <c r="K125" s="118">
        <v>1917.23</v>
      </c>
      <c r="L125" s="118">
        <v>1934.17</v>
      </c>
      <c r="M125" s="118">
        <v>1951.37</v>
      </c>
      <c r="N125" s="118">
        <v>1969.54</v>
      </c>
      <c r="O125" s="118">
        <v>1987.3</v>
      </c>
      <c r="P125" s="118">
        <v>2006.5</v>
      </c>
      <c r="Q125" s="118">
        <v>2024.67</v>
      </c>
      <c r="R125" s="118">
        <v>2044.9</v>
      </c>
      <c r="S125" s="118">
        <v>2064.1</v>
      </c>
      <c r="T125" s="119">
        <v>2084.7399999999998</v>
      </c>
    </row>
    <row r="126" spans="1:22" s="97" customFormat="1" ht="15" customHeight="1">
      <c r="A126" s="204"/>
      <c r="B126" s="209"/>
      <c r="C126" s="216"/>
      <c r="D126" s="212"/>
      <c r="E126" s="212"/>
      <c r="F126" s="117" t="s">
        <v>124</v>
      </c>
      <c r="G126" s="118">
        <v>3793.85</v>
      </c>
      <c r="H126" s="118">
        <v>3809.21</v>
      </c>
      <c r="I126" s="118">
        <v>3824.91</v>
      </c>
      <c r="J126" s="118">
        <v>3840.88</v>
      </c>
      <c r="K126" s="118">
        <v>3857</v>
      </c>
      <c r="L126" s="118">
        <v>3873.94</v>
      </c>
      <c r="M126" s="118">
        <v>3891.14</v>
      </c>
      <c r="N126" s="118">
        <v>3909.31</v>
      </c>
      <c r="O126" s="118">
        <v>3927.07</v>
      </c>
      <c r="P126" s="118">
        <v>3946.27</v>
      </c>
      <c r="Q126" s="118">
        <v>3964.44</v>
      </c>
      <c r="R126" s="118">
        <v>3984.67</v>
      </c>
      <c r="S126" s="118">
        <v>4003.87</v>
      </c>
      <c r="T126" s="119">
        <v>4024.51</v>
      </c>
    </row>
    <row r="127" spans="1:22" s="97" customFormat="1" ht="15" customHeight="1">
      <c r="A127" s="204"/>
      <c r="B127" s="209"/>
      <c r="C127" s="216"/>
      <c r="D127" s="212"/>
      <c r="E127" s="212"/>
      <c r="F127" s="117" t="s">
        <v>119</v>
      </c>
      <c r="G127" s="118">
        <v>1770</v>
      </c>
      <c r="H127" s="118">
        <v>1770</v>
      </c>
      <c r="I127" s="118">
        <v>1770</v>
      </c>
      <c r="J127" s="118">
        <v>1770</v>
      </c>
      <c r="K127" s="118">
        <v>1770</v>
      </c>
      <c r="L127" s="118">
        <v>1770</v>
      </c>
      <c r="M127" s="118">
        <v>1770</v>
      </c>
      <c r="N127" s="118">
        <v>1770</v>
      </c>
      <c r="O127" s="118">
        <v>1770</v>
      </c>
      <c r="P127" s="118">
        <v>1770</v>
      </c>
      <c r="Q127" s="118">
        <v>1770</v>
      </c>
      <c r="R127" s="118">
        <v>1770</v>
      </c>
      <c r="S127" s="118">
        <v>1770</v>
      </c>
      <c r="T127" s="119">
        <v>1770</v>
      </c>
    </row>
    <row r="128" spans="1:22" s="97" customFormat="1" ht="15" customHeight="1">
      <c r="A128" s="204"/>
      <c r="B128" s="209"/>
      <c r="C128" s="216"/>
      <c r="D128" s="212"/>
      <c r="E128" s="212"/>
      <c r="F128" s="117" t="s">
        <v>120</v>
      </c>
      <c r="G128" s="118">
        <f>G124+G125+G127</f>
        <v>8725.2799999999988</v>
      </c>
      <c r="H128" s="118">
        <f t="shared" ref="H128:T128" si="174">H124+H125+H127</f>
        <v>8868.9066666666677</v>
      </c>
      <c r="I128" s="118">
        <f t="shared" si="174"/>
        <v>9014.6066666666666</v>
      </c>
      <c r="J128" s="118">
        <f t="shared" si="174"/>
        <v>9164.0433333333331</v>
      </c>
      <c r="K128" s="118">
        <f t="shared" si="174"/>
        <v>9313.630000000001</v>
      </c>
      <c r="L128" s="118">
        <f t="shared" si="174"/>
        <v>9470.9700000000012</v>
      </c>
      <c r="M128" s="118">
        <f t="shared" si="174"/>
        <v>9632.0366666666669</v>
      </c>
      <c r="N128" s="118">
        <f t="shared" si="174"/>
        <v>9801.0066666666662</v>
      </c>
      <c r="O128" s="118">
        <f t="shared" si="174"/>
        <v>9966.1</v>
      </c>
      <c r="P128" s="118">
        <f t="shared" si="174"/>
        <v>10144.766666666666</v>
      </c>
      <c r="Q128" s="118">
        <f t="shared" si="174"/>
        <v>10313.736666666668</v>
      </c>
      <c r="R128" s="118">
        <f t="shared" si="174"/>
        <v>10502.1</v>
      </c>
      <c r="S128" s="118">
        <f t="shared" si="174"/>
        <v>10680.766666666666</v>
      </c>
      <c r="T128" s="119">
        <f t="shared" si="174"/>
        <v>10873.006666666666</v>
      </c>
    </row>
    <row r="129" spans="1:22" s="97" customFormat="1" ht="15" customHeight="1" thickBot="1">
      <c r="A129" s="205"/>
      <c r="B129" s="210"/>
      <c r="C129" s="217"/>
      <c r="D129" s="213"/>
      <c r="E129" s="213"/>
      <c r="F129" s="120" t="s">
        <v>121</v>
      </c>
      <c r="G129" s="121">
        <f>G124+G126+G127</f>
        <v>10665.05</v>
      </c>
      <c r="H129" s="121">
        <f t="shared" ref="H129:T129" si="175">H124+H126+H127</f>
        <v>10808.676666666666</v>
      </c>
      <c r="I129" s="121">
        <f t="shared" si="175"/>
        <v>10954.376666666667</v>
      </c>
      <c r="J129" s="121">
        <f t="shared" si="175"/>
        <v>11103.813333333334</v>
      </c>
      <c r="K129" s="121">
        <f t="shared" si="175"/>
        <v>11253.400000000001</v>
      </c>
      <c r="L129" s="121">
        <f t="shared" si="175"/>
        <v>11410.74</v>
      </c>
      <c r="M129" s="121">
        <f t="shared" si="175"/>
        <v>11571.806666666667</v>
      </c>
      <c r="N129" s="121">
        <f t="shared" si="175"/>
        <v>11740.776666666667</v>
      </c>
      <c r="O129" s="121">
        <f t="shared" si="175"/>
        <v>11905.87</v>
      </c>
      <c r="P129" s="121">
        <f t="shared" si="175"/>
        <v>12084.536666666667</v>
      </c>
      <c r="Q129" s="121">
        <f t="shared" si="175"/>
        <v>12253.506666666666</v>
      </c>
      <c r="R129" s="121">
        <f t="shared" si="175"/>
        <v>12441.869999999999</v>
      </c>
      <c r="S129" s="121">
        <f t="shared" si="175"/>
        <v>12620.536666666667</v>
      </c>
      <c r="T129" s="122">
        <f t="shared" si="175"/>
        <v>12812.776666666667</v>
      </c>
    </row>
    <row r="130" spans="1:22" s="97" customFormat="1" ht="15" customHeight="1">
      <c r="A130" s="218" t="s">
        <v>108</v>
      </c>
      <c r="B130" s="131"/>
      <c r="C130" s="132"/>
      <c r="D130" s="133"/>
      <c r="E130" s="133"/>
      <c r="F130" s="125" t="s">
        <v>112</v>
      </c>
      <c r="G130" s="129">
        <f>G131*12/2080</f>
        <v>42.703384615384621</v>
      </c>
      <c r="H130" s="129">
        <f>H131*12/2080</f>
        <v>43.726499999999994</v>
      </c>
      <c r="I130" s="129">
        <f t="shared" ref="I130" si="176">I131*12/2080</f>
        <v>44.749615384615389</v>
      </c>
      <c r="J130" s="129">
        <f t="shared" ref="J130" si="177">J131*12/2080</f>
        <v>45.772730769230769</v>
      </c>
      <c r="K130" s="129">
        <f t="shared" ref="K130" si="178">K131*12/2080</f>
        <v>46.795903846153841</v>
      </c>
      <c r="L130" s="129">
        <f t="shared" ref="L130" si="179">L131*12/2080</f>
        <v>47.819019230769229</v>
      </c>
      <c r="M130" s="129">
        <f t="shared" ref="M130" si="180">M131*12/2080</f>
        <v>48.842134615384609</v>
      </c>
      <c r="N130" s="129">
        <f t="shared" ref="N130" si="181">N131*12/2080</f>
        <v>49.865250000000003</v>
      </c>
      <c r="O130" s="129">
        <f t="shared" ref="O130" si="182">O131*12/2080</f>
        <v>50.888365384615376</v>
      </c>
      <c r="P130" s="129">
        <f t="shared" ref="P130" si="183">P131*12/2080</f>
        <v>51.911480769230771</v>
      </c>
      <c r="Q130" s="129">
        <f t="shared" ref="Q130" si="184">Q131*12/2080</f>
        <v>52.93465384615385</v>
      </c>
      <c r="R130" s="129">
        <f t="shared" ref="R130" si="185">R131*12/2080</f>
        <v>53.95776923076923</v>
      </c>
      <c r="S130" s="129">
        <f t="shared" ref="S130" si="186">S131*12/2080</f>
        <v>54.980884615384618</v>
      </c>
      <c r="T130" s="130">
        <f t="shared" ref="T130" si="187">T131*12/2080</f>
        <v>56.004000000000005</v>
      </c>
    </row>
    <row r="131" spans="1:22" s="97" customFormat="1" ht="15" customHeight="1">
      <c r="A131" s="206"/>
      <c r="B131" s="161"/>
      <c r="C131" s="123"/>
      <c r="D131" s="124"/>
      <c r="E131" s="124"/>
      <c r="F131" s="104" t="s">
        <v>114</v>
      </c>
      <c r="G131" s="105">
        <v>7401.92</v>
      </c>
      <c r="H131" s="105">
        <v>7579.26</v>
      </c>
      <c r="I131" s="105">
        <v>7756.6</v>
      </c>
      <c r="J131" s="105">
        <v>7933.94</v>
      </c>
      <c r="K131" s="105">
        <v>8111.29</v>
      </c>
      <c r="L131" s="105">
        <v>8288.6299999999992</v>
      </c>
      <c r="M131" s="105">
        <v>8465.9699999999993</v>
      </c>
      <c r="N131" s="105">
        <v>8643.31</v>
      </c>
      <c r="O131" s="105">
        <v>8820.65</v>
      </c>
      <c r="P131" s="105">
        <v>8997.99</v>
      </c>
      <c r="Q131" s="105">
        <v>9175.34</v>
      </c>
      <c r="R131" s="105">
        <v>9352.68</v>
      </c>
      <c r="S131" s="105">
        <v>9530.02</v>
      </c>
      <c r="T131" s="110">
        <v>9707.36</v>
      </c>
    </row>
    <row r="132" spans="1:22" s="97" customFormat="1" ht="15" customHeight="1">
      <c r="A132" s="206"/>
      <c r="B132" s="161"/>
      <c r="C132" s="123"/>
      <c r="D132" s="124"/>
      <c r="E132" s="124"/>
      <c r="F132" s="104" t="s">
        <v>115</v>
      </c>
      <c r="G132" s="105">
        <v>2130.7399999999998</v>
      </c>
      <c r="H132" s="105">
        <v>2152.1999999999998</v>
      </c>
      <c r="I132" s="105">
        <v>2173.6</v>
      </c>
      <c r="J132" s="105">
        <v>2194.85</v>
      </c>
      <c r="K132" s="105">
        <v>2216.31</v>
      </c>
      <c r="L132" s="105">
        <v>2237.5700000000002</v>
      </c>
      <c r="M132" s="105">
        <v>2258.8200000000002</v>
      </c>
      <c r="N132" s="105">
        <v>2280.2800000000002</v>
      </c>
      <c r="O132" s="105">
        <v>2301.54</v>
      </c>
      <c r="P132" s="105">
        <v>2322.79</v>
      </c>
      <c r="Q132" s="105">
        <v>2344.19</v>
      </c>
      <c r="R132" s="105">
        <v>2365.65</v>
      </c>
      <c r="S132" s="105">
        <v>2386.9</v>
      </c>
      <c r="T132" s="110">
        <v>2408.16</v>
      </c>
    </row>
    <row r="133" spans="1:22" s="97" customFormat="1" ht="15" customHeight="1">
      <c r="A133" s="206"/>
      <c r="B133" s="161"/>
      <c r="C133" s="123"/>
      <c r="D133" s="124"/>
      <c r="E133" s="124"/>
      <c r="F133" s="104" t="s">
        <v>124</v>
      </c>
      <c r="G133" s="105">
        <v>4070.51</v>
      </c>
      <c r="H133" s="105">
        <v>4091.97</v>
      </c>
      <c r="I133" s="105">
        <v>4113.37</v>
      </c>
      <c r="J133" s="105">
        <v>4134.62</v>
      </c>
      <c r="K133" s="105">
        <v>4156.08</v>
      </c>
      <c r="L133" s="105">
        <v>4177.34</v>
      </c>
      <c r="M133" s="105">
        <v>4198.59</v>
      </c>
      <c r="N133" s="105">
        <v>4220.05</v>
      </c>
      <c r="O133" s="105">
        <v>4241.3100000000004</v>
      </c>
      <c r="P133" s="105">
        <v>4262.5600000000004</v>
      </c>
      <c r="Q133" s="105">
        <v>4283.96</v>
      </c>
      <c r="R133" s="105">
        <v>4305.42</v>
      </c>
      <c r="S133" s="105">
        <v>4326.67</v>
      </c>
      <c r="T133" s="110">
        <v>4347.93</v>
      </c>
    </row>
    <row r="134" spans="1:22" s="97" customFormat="1" ht="15" customHeight="1">
      <c r="A134" s="206"/>
      <c r="B134" s="161"/>
      <c r="C134" s="123"/>
      <c r="D134" s="124"/>
      <c r="E134" s="124"/>
      <c r="F134" s="104" t="s">
        <v>119</v>
      </c>
      <c r="G134" s="105">
        <v>1770</v>
      </c>
      <c r="H134" s="105">
        <v>1770</v>
      </c>
      <c r="I134" s="105">
        <v>1770</v>
      </c>
      <c r="J134" s="105">
        <v>1770</v>
      </c>
      <c r="K134" s="105">
        <v>1770</v>
      </c>
      <c r="L134" s="105">
        <v>1770</v>
      </c>
      <c r="M134" s="105">
        <v>1770</v>
      </c>
      <c r="N134" s="105">
        <v>1770</v>
      </c>
      <c r="O134" s="105">
        <v>1770</v>
      </c>
      <c r="P134" s="105">
        <v>1770</v>
      </c>
      <c r="Q134" s="105">
        <v>1770</v>
      </c>
      <c r="R134" s="105">
        <v>1770</v>
      </c>
      <c r="S134" s="105">
        <v>1770</v>
      </c>
      <c r="T134" s="110">
        <v>1770</v>
      </c>
    </row>
    <row r="135" spans="1:22" s="97" customFormat="1" ht="15" customHeight="1">
      <c r="A135" s="206"/>
      <c r="B135" s="161"/>
      <c r="C135" s="123"/>
      <c r="D135" s="124"/>
      <c r="E135" s="124"/>
      <c r="F135" s="104" t="s">
        <v>126</v>
      </c>
      <c r="G135" s="105">
        <f>+G131+G132+G134</f>
        <v>11302.66</v>
      </c>
      <c r="H135" s="105">
        <f t="shared" ref="H135" si="188">+H131+H132+H134</f>
        <v>11501.46</v>
      </c>
      <c r="I135" s="105">
        <f t="shared" ref="I135" si="189">+I131+I132+I134</f>
        <v>11700.2</v>
      </c>
      <c r="J135" s="105">
        <f t="shared" ref="J135" si="190">+J131+J132+J134</f>
        <v>11898.789999999999</v>
      </c>
      <c r="K135" s="105">
        <f t="shared" ref="K135" si="191">+K131+K132+K134</f>
        <v>12097.6</v>
      </c>
      <c r="L135" s="105">
        <f t="shared" ref="L135" si="192">+L131+L132+L134</f>
        <v>12296.199999999999</v>
      </c>
      <c r="M135" s="105">
        <f t="shared" ref="M135" si="193">+M131+M132+M134</f>
        <v>12494.789999999999</v>
      </c>
      <c r="N135" s="105">
        <f t="shared" ref="N135" si="194">+N131+N132+N134</f>
        <v>12693.59</v>
      </c>
      <c r="O135" s="105">
        <f t="shared" ref="O135" si="195">+O131+O132+O134</f>
        <v>12892.189999999999</v>
      </c>
      <c r="P135" s="105">
        <f t="shared" ref="P135" si="196">+P131+P132+P134</f>
        <v>13090.779999999999</v>
      </c>
      <c r="Q135" s="105">
        <f t="shared" ref="Q135" si="197">+Q131+Q132+Q134</f>
        <v>13289.53</v>
      </c>
      <c r="R135" s="105">
        <f t="shared" ref="R135" si="198">+R131+R132+R134</f>
        <v>13488.33</v>
      </c>
      <c r="S135" s="105">
        <f t="shared" ref="S135" si="199">+S131+S132+S134</f>
        <v>13686.92</v>
      </c>
      <c r="T135" s="110">
        <f t="shared" ref="T135" si="200">+T131+T132+T134</f>
        <v>13885.52</v>
      </c>
    </row>
    <row r="136" spans="1:22" s="97" customFormat="1" ht="15" customHeight="1" thickBot="1">
      <c r="A136" s="207"/>
      <c r="B136" s="162"/>
      <c r="C136" s="134"/>
      <c r="D136" s="135"/>
      <c r="E136" s="135"/>
      <c r="F136" s="111" t="s">
        <v>121</v>
      </c>
      <c r="G136" s="112">
        <f>+G131+G133+G134</f>
        <v>13242.43</v>
      </c>
      <c r="H136" s="112">
        <f t="shared" ref="H136:T136" si="201">+H131+H133+H134</f>
        <v>13441.23</v>
      </c>
      <c r="I136" s="112">
        <f t="shared" si="201"/>
        <v>13639.970000000001</v>
      </c>
      <c r="J136" s="112">
        <f t="shared" si="201"/>
        <v>13838.56</v>
      </c>
      <c r="K136" s="112">
        <f t="shared" si="201"/>
        <v>14037.369999999999</v>
      </c>
      <c r="L136" s="112">
        <f t="shared" si="201"/>
        <v>14235.97</v>
      </c>
      <c r="M136" s="112">
        <f t="shared" si="201"/>
        <v>14434.56</v>
      </c>
      <c r="N136" s="112">
        <f t="shared" si="201"/>
        <v>14633.36</v>
      </c>
      <c r="O136" s="112">
        <f t="shared" si="201"/>
        <v>14831.96</v>
      </c>
      <c r="P136" s="112">
        <f t="shared" si="201"/>
        <v>15030.55</v>
      </c>
      <c r="Q136" s="112">
        <f t="shared" si="201"/>
        <v>15229.3</v>
      </c>
      <c r="R136" s="112">
        <f t="shared" si="201"/>
        <v>15428.1</v>
      </c>
      <c r="S136" s="112">
        <f t="shared" si="201"/>
        <v>15626.69</v>
      </c>
      <c r="T136" s="113">
        <f t="shared" si="201"/>
        <v>15825.29</v>
      </c>
    </row>
    <row r="137" spans="1:22" s="97" customFormat="1" ht="15" customHeight="1">
      <c r="A137" s="218" t="s">
        <v>212</v>
      </c>
      <c r="B137" s="131"/>
      <c r="C137" s="132"/>
      <c r="D137" s="133"/>
      <c r="E137" s="133"/>
      <c r="F137" s="114" t="s">
        <v>112</v>
      </c>
      <c r="G137" s="115">
        <f>G138*12/2080</f>
        <v>42.703384615384621</v>
      </c>
      <c r="H137" s="115">
        <f>H138*12/2080</f>
        <v>43.726499999999994</v>
      </c>
      <c r="I137" s="115">
        <f t="shared" ref="I137:T137" si="202">I138*12/2080</f>
        <v>44.749615384615389</v>
      </c>
      <c r="J137" s="115">
        <f t="shared" si="202"/>
        <v>45.772730769230769</v>
      </c>
      <c r="K137" s="115">
        <f t="shared" si="202"/>
        <v>46.795903846153841</v>
      </c>
      <c r="L137" s="115">
        <f t="shared" si="202"/>
        <v>47.819019230769229</v>
      </c>
      <c r="M137" s="115">
        <f t="shared" si="202"/>
        <v>48.842134615384609</v>
      </c>
      <c r="N137" s="115">
        <f t="shared" si="202"/>
        <v>49.865250000000003</v>
      </c>
      <c r="O137" s="115">
        <f t="shared" si="202"/>
        <v>50.888365384615376</v>
      </c>
      <c r="P137" s="115">
        <f t="shared" si="202"/>
        <v>51.911480769230771</v>
      </c>
      <c r="Q137" s="115">
        <f t="shared" si="202"/>
        <v>52.93465384615385</v>
      </c>
      <c r="R137" s="115">
        <f t="shared" si="202"/>
        <v>53.95776923076923</v>
      </c>
      <c r="S137" s="115">
        <f t="shared" si="202"/>
        <v>54.980884615384618</v>
      </c>
      <c r="T137" s="116">
        <f t="shared" si="202"/>
        <v>56.004000000000005</v>
      </c>
    </row>
    <row r="138" spans="1:22" s="97" customFormat="1" ht="15" customHeight="1">
      <c r="A138" s="206"/>
      <c r="B138" s="161"/>
      <c r="C138" s="123"/>
      <c r="D138" s="124"/>
      <c r="E138" s="124"/>
      <c r="F138" s="117" t="s">
        <v>114</v>
      </c>
      <c r="G138" s="118">
        <v>7401.92</v>
      </c>
      <c r="H138" s="118">
        <v>7579.26</v>
      </c>
      <c r="I138" s="118">
        <v>7756.6</v>
      </c>
      <c r="J138" s="118">
        <v>7933.94</v>
      </c>
      <c r="K138" s="118">
        <v>8111.29</v>
      </c>
      <c r="L138" s="118">
        <v>8288.6299999999992</v>
      </c>
      <c r="M138" s="118">
        <v>8465.9699999999993</v>
      </c>
      <c r="N138" s="118">
        <v>8643.31</v>
      </c>
      <c r="O138" s="118">
        <v>8820.65</v>
      </c>
      <c r="P138" s="118">
        <v>8997.99</v>
      </c>
      <c r="Q138" s="118">
        <v>9175.34</v>
      </c>
      <c r="R138" s="118">
        <v>9352.68</v>
      </c>
      <c r="S138" s="118">
        <v>9530.02</v>
      </c>
      <c r="T138" s="119">
        <v>9707.36</v>
      </c>
      <c r="U138" s="108"/>
      <c r="V138" s="99"/>
    </row>
    <row r="139" spans="1:22" s="97" customFormat="1" ht="15" customHeight="1">
      <c r="A139" s="206"/>
      <c r="B139" s="161"/>
      <c r="C139" s="123"/>
      <c r="D139" s="124"/>
      <c r="E139" s="124"/>
      <c r="F139" s="117" t="s">
        <v>115</v>
      </c>
      <c r="G139" s="118">
        <v>2130.7399999999998</v>
      </c>
      <c r="H139" s="118">
        <v>2152.1999999999998</v>
      </c>
      <c r="I139" s="118">
        <v>2173.6</v>
      </c>
      <c r="J139" s="118">
        <v>2194.85</v>
      </c>
      <c r="K139" s="118">
        <v>2216.31</v>
      </c>
      <c r="L139" s="118">
        <v>2237.5700000000002</v>
      </c>
      <c r="M139" s="118">
        <v>2258.8200000000002</v>
      </c>
      <c r="N139" s="118">
        <v>2280.2800000000002</v>
      </c>
      <c r="O139" s="118">
        <v>2301.54</v>
      </c>
      <c r="P139" s="118">
        <v>2322.79</v>
      </c>
      <c r="Q139" s="118">
        <v>2344.19</v>
      </c>
      <c r="R139" s="118">
        <v>2365.65</v>
      </c>
      <c r="S139" s="118">
        <v>2386.9</v>
      </c>
      <c r="T139" s="119">
        <v>2408.16</v>
      </c>
      <c r="U139" s="108"/>
    </row>
    <row r="140" spans="1:22" s="97" customFormat="1" ht="15" customHeight="1">
      <c r="A140" s="206"/>
      <c r="B140" s="161"/>
      <c r="C140" s="123"/>
      <c r="D140" s="124"/>
      <c r="E140" s="124"/>
      <c r="F140" s="117" t="s">
        <v>124</v>
      </c>
      <c r="G140" s="118">
        <v>4070.51</v>
      </c>
      <c r="H140" s="118">
        <v>4091.97</v>
      </c>
      <c r="I140" s="118">
        <v>4113.37</v>
      </c>
      <c r="J140" s="118">
        <v>4134.62</v>
      </c>
      <c r="K140" s="118">
        <v>4156.08</v>
      </c>
      <c r="L140" s="118">
        <v>4177.34</v>
      </c>
      <c r="M140" s="118">
        <v>4198.59</v>
      </c>
      <c r="N140" s="118">
        <v>4220.05</v>
      </c>
      <c r="O140" s="118">
        <v>4241.3100000000004</v>
      </c>
      <c r="P140" s="118">
        <v>4262.5600000000004</v>
      </c>
      <c r="Q140" s="118">
        <v>4283.96</v>
      </c>
      <c r="R140" s="118">
        <v>4305.42</v>
      </c>
      <c r="S140" s="118">
        <v>4326.67</v>
      </c>
      <c r="T140" s="119">
        <v>4347.93</v>
      </c>
      <c r="U140" s="108"/>
    </row>
    <row r="141" spans="1:22" s="97" customFormat="1" ht="15" customHeight="1">
      <c r="A141" s="206"/>
      <c r="B141" s="161"/>
      <c r="C141" s="123"/>
      <c r="D141" s="124"/>
      <c r="E141" s="124"/>
      <c r="F141" s="117" t="s">
        <v>119</v>
      </c>
      <c r="G141" s="118">
        <v>1770</v>
      </c>
      <c r="H141" s="118">
        <v>1770</v>
      </c>
      <c r="I141" s="118">
        <v>1770</v>
      </c>
      <c r="J141" s="118">
        <v>1770</v>
      </c>
      <c r="K141" s="118">
        <v>1770</v>
      </c>
      <c r="L141" s="118">
        <v>1770</v>
      </c>
      <c r="M141" s="118">
        <v>1770</v>
      </c>
      <c r="N141" s="118">
        <v>1770</v>
      </c>
      <c r="O141" s="118">
        <v>1770</v>
      </c>
      <c r="P141" s="118">
        <v>1770</v>
      </c>
      <c r="Q141" s="118">
        <v>1770</v>
      </c>
      <c r="R141" s="118">
        <v>1770</v>
      </c>
      <c r="S141" s="118">
        <v>1770</v>
      </c>
      <c r="T141" s="119">
        <v>1770</v>
      </c>
      <c r="U141" s="108"/>
    </row>
    <row r="142" spans="1:22" s="97" customFormat="1" ht="15" customHeight="1">
      <c r="A142" s="206"/>
      <c r="B142" s="161"/>
      <c r="C142" s="123"/>
      <c r="D142" s="124"/>
      <c r="E142" s="124"/>
      <c r="F142" s="117" t="s">
        <v>126</v>
      </c>
      <c r="G142" s="118">
        <f>+G138+G139+G141</f>
        <v>11302.66</v>
      </c>
      <c r="H142" s="118">
        <f t="shared" ref="H142:T142" si="203">+H138+H139+H141</f>
        <v>11501.46</v>
      </c>
      <c r="I142" s="118">
        <f t="shared" si="203"/>
        <v>11700.2</v>
      </c>
      <c r="J142" s="118">
        <f t="shared" si="203"/>
        <v>11898.789999999999</v>
      </c>
      <c r="K142" s="118">
        <f t="shared" si="203"/>
        <v>12097.6</v>
      </c>
      <c r="L142" s="118">
        <f t="shared" si="203"/>
        <v>12296.199999999999</v>
      </c>
      <c r="M142" s="118">
        <f t="shared" si="203"/>
        <v>12494.789999999999</v>
      </c>
      <c r="N142" s="118">
        <f t="shared" si="203"/>
        <v>12693.59</v>
      </c>
      <c r="O142" s="118">
        <f t="shared" si="203"/>
        <v>12892.189999999999</v>
      </c>
      <c r="P142" s="118">
        <f t="shared" si="203"/>
        <v>13090.779999999999</v>
      </c>
      <c r="Q142" s="118">
        <f t="shared" si="203"/>
        <v>13289.53</v>
      </c>
      <c r="R142" s="118">
        <f t="shared" si="203"/>
        <v>13488.33</v>
      </c>
      <c r="S142" s="118">
        <f t="shared" si="203"/>
        <v>13686.92</v>
      </c>
      <c r="T142" s="119">
        <f t="shared" si="203"/>
        <v>13885.52</v>
      </c>
    </row>
    <row r="143" spans="1:22" s="97" customFormat="1" ht="15" customHeight="1" thickBot="1">
      <c r="A143" s="207"/>
      <c r="B143" s="162"/>
      <c r="C143" s="134"/>
      <c r="D143" s="135"/>
      <c r="E143" s="135"/>
      <c r="F143" s="120" t="s">
        <v>121</v>
      </c>
      <c r="G143" s="121">
        <f>+G138+G140+G141</f>
        <v>13242.43</v>
      </c>
      <c r="H143" s="121">
        <f t="shared" ref="H143:T143" si="204">+H138+H140+H141</f>
        <v>13441.23</v>
      </c>
      <c r="I143" s="121">
        <f t="shared" si="204"/>
        <v>13639.970000000001</v>
      </c>
      <c r="J143" s="121">
        <f t="shared" si="204"/>
        <v>13838.56</v>
      </c>
      <c r="K143" s="121">
        <f t="shared" si="204"/>
        <v>14037.369999999999</v>
      </c>
      <c r="L143" s="121">
        <f t="shared" si="204"/>
        <v>14235.97</v>
      </c>
      <c r="M143" s="121">
        <f t="shared" si="204"/>
        <v>14434.56</v>
      </c>
      <c r="N143" s="121">
        <f t="shared" si="204"/>
        <v>14633.36</v>
      </c>
      <c r="O143" s="121">
        <f t="shared" si="204"/>
        <v>14831.96</v>
      </c>
      <c r="P143" s="121">
        <f t="shared" si="204"/>
        <v>15030.55</v>
      </c>
      <c r="Q143" s="121">
        <f t="shared" si="204"/>
        <v>15229.3</v>
      </c>
      <c r="R143" s="121">
        <f t="shared" si="204"/>
        <v>15428.1</v>
      </c>
      <c r="S143" s="121">
        <f t="shared" si="204"/>
        <v>15626.69</v>
      </c>
      <c r="T143" s="122">
        <f t="shared" si="204"/>
        <v>15825.29</v>
      </c>
    </row>
    <row r="144" spans="1:22" s="97" customFormat="1" ht="15" customHeight="1">
      <c r="A144" s="218" t="s">
        <v>213</v>
      </c>
      <c r="B144" s="131"/>
      <c r="C144" s="132"/>
      <c r="D144" s="133"/>
      <c r="E144" s="133"/>
      <c r="F144" s="125" t="s">
        <v>112</v>
      </c>
      <c r="G144" s="129">
        <f>G145*12/2080</f>
        <v>47.949692307692317</v>
      </c>
      <c r="H144" s="129">
        <f>H145*12/2080</f>
        <v>48.956635846153851</v>
      </c>
      <c r="I144" s="129">
        <f t="shared" ref="I144:T144" si="205">I145*12/2080</f>
        <v>49.984725198923073</v>
      </c>
      <c r="J144" s="129">
        <f t="shared" si="205"/>
        <v>51.034404428100451</v>
      </c>
      <c r="K144" s="129">
        <f t="shared" si="205"/>
        <v>52.106126921090564</v>
      </c>
      <c r="L144" s="129">
        <f t="shared" si="205"/>
        <v>53.20035558643346</v>
      </c>
      <c r="M144" s="129">
        <f t="shared" si="205"/>
        <v>54.317563053748557</v>
      </c>
      <c r="N144" s="129">
        <f t="shared" si="205"/>
        <v>55.458231877877274</v>
      </c>
      <c r="O144" s="129">
        <f t="shared" si="205"/>
        <v>56.622854747312687</v>
      </c>
      <c r="P144" s="129">
        <f t="shared" si="205"/>
        <v>57.811934697006258</v>
      </c>
      <c r="Q144" s="129">
        <f t="shared" si="205"/>
        <v>59.025985325643376</v>
      </c>
      <c r="R144" s="129">
        <f t="shared" si="205"/>
        <v>60.265531017481884</v>
      </c>
      <c r="S144" s="129">
        <f t="shared" si="205"/>
        <v>61.531107168849005</v>
      </c>
      <c r="T144" s="130">
        <f t="shared" si="205"/>
        <v>62.891423076923076</v>
      </c>
    </row>
    <row r="145" spans="1:22" s="97" customFormat="1" ht="15" customHeight="1">
      <c r="A145" s="206"/>
      <c r="B145" s="161"/>
      <c r="C145" s="123"/>
      <c r="D145" s="124"/>
      <c r="E145" s="124"/>
      <c r="F145" s="104" t="s">
        <v>114</v>
      </c>
      <c r="G145" s="105">
        <v>8311.2800000000007</v>
      </c>
      <c r="H145" s="105">
        <f>G145*1.021</f>
        <v>8485.8168800000003</v>
      </c>
      <c r="I145" s="105">
        <f t="shared" ref="I145:S145" si="206">H145*1.021</f>
        <v>8664.0190344799994</v>
      </c>
      <c r="J145" s="105">
        <f t="shared" si="206"/>
        <v>8845.963434204079</v>
      </c>
      <c r="K145" s="105">
        <f t="shared" si="206"/>
        <v>9031.728666322364</v>
      </c>
      <c r="L145" s="105">
        <f t="shared" si="206"/>
        <v>9221.3949683151332</v>
      </c>
      <c r="M145" s="105">
        <f t="shared" si="206"/>
        <v>9415.0442626497497</v>
      </c>
      <c r="N145" s="105">
        <f t="shared" si="206"/>
        <v>9612.7601921653932</v>
      </c>
      <c r="O145" s="105">
        <f t="shared" si="206"/>
        <v>9814.6281562008662</v>
      </c>
      <c r="P145" s="105">
        <f t="shared" si="206"/>
        <v>10020.735347481084</v>
      </c>
      <c r="Q145" s="105">
        <f t="shared" si="206"/>
        <v>10231.170789778185</v>
      </c>
      <c r="R145" s="105">
        <f t="shared" si="206"/>
        <v>10446.025376363526</v>
      </c>
      <c r="S145" s="105">
        <f t="shared" si="206"/>
        <v>10665.39190926716</v>
      </c>
      <c r="T145" s="110">
        <f>130814.16/12</f>
        <v>10901.18</v>
      </c>
      <c r="V145" s="99"/>
    </row>
    <row r="146" spans="1:22" s="97" customFormat="1" ht="15" customHeight="1">
      <c r="A146" s="206"/>
      <c r="B146" s="161"/>
      <c r="C146" s="123"/>
      <c r="D146" s="124"/>
      <c r="E146" s="124"/>
      <c r="F146" s="104" t="s">
        <v>115</v>
      </c>
      <c r="G146" s="105">
        <v>2240.2399999999998</v>
      </c>
      <c r="H146" s="105">
        <v>2261.29</v>
      </c>
      <c r="I146" s="105">
        <v>2282.54</v>
      </c>
      <c r="J146" s="105">
        <v>2304.56</v>
      </c>
      <c r="K146" s="105">
        <v>2327.0500000000002</v>
      </c>
      <c r="L146" s="105">
        <v>2349.7399999999998</v>
      </c>
      <c r="M146" s="105">
        <v>2373.0500000000002</v>
      </c>
      <c r="N146" s="105">
        <v>2396.91</v>
      </c>
      <c r="O146" s="105">
        <v>2421.0500000000002</v>
      </c>
      <c r="P146" s="105">
        <v>2445.9</v>
      </c>
      <c r="Q146" s="105">
        <v>2470.83</v>
      </c>
      <c r="R146" s="105">
        <v>2496.3000000000002</v>
      </c>
      <c r="S146" s="105">
        <v>2522.04</v>
      </c>
      <c r="T146" s="110">
        <v>2549.94</v>
      </c>
    </row>
    <row r="147" spans="1:22" s="97" customFormat="1" ht="15" customHeight="1">
      <c r="A147" s="206"/>
      <c r="B147" s="161"/>
      <c r="C147" s="123"/>
      <c r="D147" s="124"/>
      <c r="E147" s="124"/>
      <c r="F147" s="104" t="s">
        <v>124</v>
      </c>
      <c r="G147" s="105">
        <v>4180.01</v>
      </c>
      <c r="H147" s="105">
        <v>4201.0600000000004</v>
      </c>
      <c r="I147" s="105">
        <v>4222.3100000000004</v>
      </c>
      <c r="J147" s="105">
        <v>4244.33</v>
      </c>
      <c r="K147" s="105">
        <v>4266.82</v>
      </c>
      <c r="L147" s="105">
        <v>4289.51</v>
      </c>
      <c r="M147" s="105">
        <v>4312.82</v>
      </c>
      <c r="N147" s="105">
        <v>4336.68</v>
      </c>
      <c r="O147" s="105">
        <v>4360.82</v>
      </c>
      <c r="P147" s="105">
        <v>4385.67</v>
      </c>
      <c r="Q147" s="105">
        <v>4410.6000000000004</v>
      </c>
      <c r="R147" s="105">
        <v>4436.07</v>
      </c>
      <c r="S147" s="105">
        <v>4461.8100000000004</v>
      </c>
      <c r="T147" s="110">
        <v>4489.71</v>
      </c>
    </row>
    <row r="148" spans="1:22" s="97" customFormat="1" ht="15" customHeight="1">
      <c r="A148" s="206"/>
      <c r="B148" s="161"/>
      <c r="C148" s="123"/>
      <c r="D148" s="124"/>
      <c r="E148" s="124"/>
      <c r="F148" s="104" t="s">
        <v>119</v>
      </c>
      <c r="G148" s="105">
        <v>1770</v>
      </c>
      <c r="H148" s="105">
        <v>1770</v>
      </c>
      <c r="I148" s="105">
        <v>1770</v>
      </c>
      <c r="J148" s="105">
        <v>1770</v>
      </c>
      <c r="K148" s="105">
        <v>1770</v>
      </c>
      <c r="L148" s="105">
        <v>1770</v>
      </c>
      <c r="M148" s="105">
        <v>1770</v>
      </c>
      <c r="N148" s="105">
        <v>1770</v>
      </c>
      <c r="O148" s="105">
        <v>1770</v>
      </c>
      <c r="P148" s="105">
        <v>1770</v>
      </c>
      <c r="Q148" s="105">
        <v>1770</v>
      </c>
      <c r="R148" s="105">
        <v>1770</v>
      </c>
      <c r="S148" s="105">
        <v>1770</v>
      </c>
      <c r="T148" s="110">
        <v>1770</v>
      </c>
    </row>
    <row r="149" spans="1:22" s="97" customFormat="1" ht="15" customHeight="1">
      <c r="A149" s="206"/>
      <c r="B149" s="161"/>
      <c r="C149" s="123"/>
      <c r="D149" s="124"/>
      <c r="E149" s="124"/>
      <c r="F149" s="104" t="s">
        <v>126</v>
      </c>
      <c r="G149" s="105">
        <f>+G145+G146+G148</f>
        <v>12321.52</v>
      </c>
      <c r="H149" s="105">
        <f t="shared" ref="H149:T149" si="207">+H145+H146+H148</f>
        <v>12517.106879999999</v>
      </c>
      <c r="I149" s="105">
        <f t="shared" si="207"/>
        <v>12716.55903448</v>
      </c>
      <c r="J149" s="105">
        <f t="shared" si="207"/>
        <v>12920.523434204079</v>
      </c>
      <c r="K149" s="105">
        <f t="shared" si="207"/>
        <v>13128.778666322363</v>
      </c>
      <c r="L149" s="105">
        <f t="shared" si="207"/>
        <v>13341.134968315133</v>
      </c>
      <c r="M149" s="105">
        <f t="shared" si="207"/>
        <v>13558.094262649749</v>
      </c>
      <c r="N149" s="105">
        <f t="shared" si="207"/>
        <v>13779.670192165393</v>
      </c>
      <c r="O149" s="105">
        <f t="shared" si="207"/>
        <v>14005.678156200865</v>
      </c>
      <c r="P149" s="105">
        <f t="shared" si="207"/>
        <v>14236.635347481084</v>
      </c>
      <c r="Q149" s="105">
        <f t="shared" si="207"/>
        <v>14472.000789778185</v>
      </c>
      <c r="R149" s="105">
        <f t="shared" si="207"/>
        <v>14712.325376363526</v>
      </c>
      <c r="S149" s="105">
        <f t="shared" si="207"/>
        <v>14957.431909267161</v>
      </c>
      <c r="T149" s="110">
        <f t="shared" si="207"/>
        <v>15221.12</v>
      </c>
    </row>
    <row r="150" spans="1:22" s="97" customFormat="1" ht="15" customHeight="1" thickBot="1">
      <c r="A150" s="207"/>
      <c r="B150" s="162"/>
      <c r="C150" s="134"/>
      <c r="D150" s="135"/>
      <c r="E150" s="135"/>
      <c r="F150" s="111" t="s">
        <v>121</v>
      </c>
      <c r="G150" s="112">
        <f>+G145+G147+G148</f>
        <v>14261.29</v>
      </c>
      <c r="H150" s="112">
        <f t="shared" ref="H150:T150" si="208">+H145+H147+H148</f>
        <v>14456.87688</v>
      </c>
      <c r="I150" s="112">
        <f t="shared" si="208"/>
        <v>14656.329034480001</v>
      </c>
      <c r="J150" s="112">
        <f t="shared" si="208"/>
        <v>14860.293434204079</v>
      </c>
      <c r="K150" s="112">
        <f t="shared" si="208"/>
        <v>15068.548666322364</v>
      </c>
      <c r="L150" s="112">
        <f t="shared" si="208"/>
        <v>15280.904968315133</v>
      </c>
      <c r="M150" s="112">
        <f t="shared" si="208"/>
        <v>15497.864262649749</v>
      </c>
      <c r="N150" s="112">
        <f t="shared" si="208"/>
        <v>15719.440192165393</v>
      </c>
      <c r="O150" s="112">
        <f t="shared" si="208"/>
        <v>15945.448156200866</v>
      </c>
      <c r="P150" s="112">
        <f t="shared" si="208"/>
        <v>16176.405347481084</v>
      </c>
      <c r="Q150" s="112">
        <f t="shared" si="208"/>
        <v>16411.770789778187</v>
      </c>
      <c r="R150" s="112">
        <f t="shared" si="208"/>
        <v>16652.095376363526</v>
      </c>
      <c r="S150" s="112">
        <f t="shared" si="208"/>
        <v>16897.201909267162</v>
      </c>
      <c r="T150" s="113">
        <f t="shared" si="208"/>
        <v>17160.89</v>
      </c>
    </row>
    <row r="151" spans="1:22" s="97" customFormat="1" ht="15" customHeight="1">
      <c r="A151" s="218" t="s">
        <v>214</v>
      </c>
      <c r="B151" s="131"/>
      <c r="C151" s="132"/>
      <c r="D151" s="133"/>
      <c r="E151" s="133"/>
      <c r="F151" s="114" t="s">
        <v>112</v>
      </c>
      <c r="G151" s="115">
        <f>G152*12/2080</f>
        <v>47.949692307692317</v>
      </c>
      <c r="H151" s="115">
        <f>H152*12/2080</f>
        <v>48.956635846153851</v>
      </c>
      <c r="I151" s="115">
        <f t="shared" ref="I151:T151" si="209">I152*12/2080</f>
        <v>49.984725198923073</v>
      </c>
      <c r="J151" s="115">
        <f t="shared" si="209"/>
        <v>51.034404428100451</v>
      </c>
      <c r="K151" s="115">
        <f t="shared" si="209"/>
        <v>52.106126921090564</v>
      </c>
      <c r="L151" s="115">
        <f t="shared" si="209"/>
        <v>53.20035558643346</v>
      </c>
      <c r="M151" s="115">
        <f t="shared" si="209"/>
        <v>54.317563053748557</v>
      </c>
      <c r="N151" s="115">
        <f t="shared" si="209"/>
        <v>55.458231877877274</v>
      </c>
      <c r="O151" s="115">
        <f t="shared" si="209"/>
        <v>56.622854747312687</v>
      </c>
      <c r="P151" s="115">
        <f t="shared" si="209"/>
        <v>57.811934697006258</v>
      </c>
      <c r="Q151" s="115">
        <f t="shared" si="209"/>
        <v>59.025985325643376</v>
      </c>
      <c r="R151" s="115">
        <f t="shared" si="209"/>
        <v>60.265531017481884</v>
      </c>
      <c r="S151" s="115">
        <f t="shared" si="209"/>
        <v>61.531107168849005</v>
      </c>
      <c r="T151" s="116">
        <f t="shared" si="209"/>
        <v>62.891423076923076</v>
      </c>
      <c r="V151" s="99"/>
    </row>
    <row r="152" spans="1:22" s="97" customFormat="1" ht="15" customHeight="1">
      <c r="A152" s="206"/>
      <c r="B152" s="161"/>
      <c r="C152" s="123"/>
      <c r="D152" s="124"/>
      <c r="E152" s="124"/>
      <c r="F152" s="117" t="s">
        <v>114</v>
      </c>
      <c r="G152" s="118">
        <v>8311.2800000000007</v>
      </c>
      <c r="H152" s="118">
        <f>G152*1.021</f>
        <v>8485.8168800000003</v>
      </c>
      <c r="I152" s="118">
        <f t="shared" ref="I152" si="210">H152*1.021</f>
        <v>8664.0190344799994</v>
      </c>
      <c r="J152" s="118">
        <f t="shared" ref="J152" si="211">I152*1.021</f>
        <v>8845.963434204079</v>
      </c>
      <c r="K152" s="118">
        <f t="shared" ref="K152" si="212">J152*1.021</f>
        <v>9031.728666322364</v>
      </c>
      <c r="L152" s="118">
        <f t="shared" ref="L152" si="213">K152*1.021</f>
        <v>9221.3949683151332</v>
      </c>
      <c r="M152" s="118">
        <f t="shared" ref="M152" si="214">L152*1.021</f>
        <v>9415.0442626497497</v>
      </c>
      <c r="N152" s="118">
        <f t="shared" ref="N152" si="215">M152*1.021</f>
        <v>9612.7601921653932</v>
      </c>
      <c r="O152" s="118">
        <f t="shared" ref="O152" si="216">N152*1.021</f>
        <v>9814.6281562008662</v>
      </c>
      <c r="P152" s="118">
        <f t="shared" ref="P152" si="217">O152*1.021</f>
        <v>10020.735347481084</v>
      </c>
      <c r="Q152" s="118">
        <f t="shared" ref="Q152" si="218">P152*1.021</f>
        <v>10231.170789778185</v>
      </c>
      <c r="R152" s="118">
        <f t="shared" ref="R152" si="219">Q152*1.021</f>
        <v>10446.025376363526</v>
      </c>
      <c r="S152" s="118">
        <f t="shared" ref="S152" si="220">R152*1.021</f>
        <v>10665.39190926716</v>
      </c>
      <c r="T152" s="119">
        <f>130814.16/12</f>
        <v>10901.18</v>
      </c>
      <c r="V152" s="99"/>
    </row>
    <row r="153" spans="1:22" s="97" customFormat="1" ht="15" customHeight="1">
      <c r="A153" s="206"/>
      <c r="B153" s="161"/>
      <c r="C153" s="123"/>
      <c r="D153" s="124"/>
      <c r="E153" s="124"/>
      <c r="F153" s="117" t="s">
        <v>115</v>
      </c>
      <c r="G153" s="118">
        <v>2240.2399999999998</v>
      </c>
      <c r="H153" s="118">
        <v>2261.29</v>
      </c>
      <c r="I153" s="118">
        <v>2282.54</v>
      </c>
      <c r="J153" s="118">
        <v>2304.56</v>
      </c>
      <c r="K153" s="118">
        <v>2327.0500000000002</v>
      </c>
      <c r="L153" s="118">
        <v>2349.7399999999998</v>
      </c>
      <c r="M153" s="118">
        <v>2373.0500000000002</v>
      </c>
      <c r="N153" s="118">
        <v>2396.91</v>
      </c>
      <c r="O153" s="118">
        <v>2421.0500000000002</v>
      </c>
      <c r="P153" s="118">
        <v>2445.9</v>
      </c>
      <c r="Q153" s="118">
        <v>2470.83</v>
      </c>
      <c r="R153" s="118">
        <v>2496.3000000000002</v>
      </c>
      <c r="S153" s="118">
        <v>2522.04</v>
      </c>
      <c r="T153" s="119">
        <v>2549.94</v>
      </c>
      <c r="V153" s="99"/>
    </row>
    <row r="154" spans="1:22" s="97" customFormat="1" ht="15" customHeight="1">
      <c r="A154" s="206"/>
      <c r="B154" s="161"/>
      <c r="C154" s="123"/>
      <c r="D154" s="124"/>
      <c r="E154" s="124"/>
      <c r="F154" s="117" t="s">
        <v>124</v>
      </c>
      <c r="G154" s="118">
        <v>4180.01</v>
      </c>
      <c r="H154" s="118">
        <v>4201.0600000000004</v>
      </c>
      <c r="I154" s="118">
        <v>4222.3100000000004</v>
      </c>
      <c r="J154" s="118">
        <v>4244.33</v>
      </c>
      <c r="K154" s="118">
        <v>4266.82</v>
      </c>
      <c r="L154" s="118">
        <v>4289.51</v>
      </c>
      <c r="M154" s="118">
        <v>4312.82</v>
      </c>
      <c r="N154" s="118">
        <v>4336.68</v>
      </c>
      <c r="O154" s="118">
        <v>4360.82</v>
      </c>
      <c r="P154" s="118">
        <v>4385.67</v>
      </c>
      <c r="Q154" s="118">
        <v>4410.6000000000004</v>
      </c>
      <c r="R154" s="118">
        <v>4436.07</v>
      </c>
      <c r="S154" s="118">
        <v>4461.8100000000004</v>
      </c>
      <c r="T154" s="119">
        <v>4489.71</v>
      </c>
      <c r="V154" s="99"/>
    </row>
    <row r="155" spans="1:22" s="97" customFormat="1" ht="15" customHeight="1">
      <c r="A155" s="206"/>
      <c r="B155" s="161"/>
      <c r="C155" s="123"/>
      <c r="D155" s="124"/>
      <c r="E155" s="124"/>
      <c r="F155" s="117" t="s">
        <v>119</v>
      </c>
      <c r="G155" s="118">
        <v>1770</v>
      </c>
      <c r="H155" s="118">
        <v>1770</v>
      </c>
      <c r="I155" s="118">
        <v>1770</v>
      </c>
      <c r="J155" s="118">
        <v>1770</v>
      </c>
      <c r="K155" s="118">
        <v>1770</v>
      </c>
      <c r="L155" s="118">
        <v>1770</v>
      </c>
      <c r="M155" s="118">
        <v>1770</v>
      </c>
      <c r="N155" s="118">
        <v>1770</v>
      </c>
      <c r="O155" s="118">
        <v>1770</v>
      </c>
      <c r="P155" s="118">
        <v>1770</v>
      </c>
      <c r="Q155" s="118">
        <v>1770</v>
      </c>
      <c r="R155" s="118">
        <v>1770</v>
      </c>
      <c r="S155" s="118">
        <v>1770</v>
      </c>
      <c r="T155" s="119">
        <v>1770</v>
      </c>
      <c r="V155" s="99"/>
    </row>
    <row r="156" spans="1:22" s="97" customFormat="1" ht="15" customHeight="1">
      <c r="A156" s="206"/>
      <c r="B156" s="161"/>
      <c r="C156" s="123"/>
      <c r="D156" s="124"/>
      <c r="E156" s="124"/>
      <c r="F156" s="117" t="s">
        <v>126</v>
      </c>
      <c r="G156" s="118">
        <f>+G152+G153+G155</f>
        <v>12321.52</v>
      </c>
      <c r="H156" s="118">
        <f t="shared" ref="H156:T156" si="221">+H152+H153+H155</f>
        <v>12517.106879999999</v>
      </c>
      <c r="I156" s="118">
        <f t="shared" si="221"/>
        <v>12716.55903448</v>
      </c>
      <c r="J156" s="118">
        <f t="shared" si="221"/>
        <v>12920.523434204079</v>
      </c>
      <c r="K156" s="118">
        <f t="shared" si="221"/>
        <v>13128.778666322363</v>
      </c>
      <c r="L156" s="118">
        <f t="shared" si="221"/>
        <v>13341.134968315133</v>
      </c>
      <c r="M156" s="118">
        <f t="shared" si="221"/>
        <v>13558.094262649749</v>
      </c>
      <c r="N156" s="118">
        <f t="shared" si="221"/>
        <v>13779.670192165393</v>
      </c>
      <c r="O156" s="118">
        <f t="shared" si="221"/>
        <v>14005.678156200865</v>
      </c>
      <c r="P156" s="118">
        <f t="shared" si="221"/>
        <v>14236.635347481084</v>
      </c>
      <c r="Q156" s="118">
        <f t="shared" si="221"/>
        <v>14472.000789778185</v>
      </c>
      <c r="R156" s="118">
        <f t="shared" si="221"/>
        <v>14712.325376363526</v>
      </c>
      <c r="S156" s="118">
        <f t="shared" si="221"/>
        <v>14957.431909267161</v>
      </c>
      <c r="T156" s="119">
        <f t="shared" si="221"/>
        <v>15221.12</v>
      </c>
      <c r="V156" s="99"/>
    </row>
    <row r="157" spans="1:22" s="97" customFormat="1" ht="15" customHeight="1" thickBot="1">
      <c r="A157" s="207"/>
      <c r="B157" s="162"/>
      <c r="C157" s="134"/>
      <c r="D157" s="135"/>
      <c r="E157" s="135"/>
      <c r="F157" s="120" t="s">
        <v>121</v>
      </c>
      <c r="G157" s="121">
        <f>+G152+G154+G155</f>
        <v>14261.29</v>
      </c>
      <c r="H157" s="121">
        <f t="shared" ref="H157:T157" si="222">+H152+H154+H155</f>
        <v>14456.87688</v>
      </c>
      <c r="I157" s="121">
        <f t="shared" si="222"/>
        <v>14656.329034480001</v>
      </c>
      <c r="J157" s="121">
        <f t="shared" si="222"/>
        <v>14860.293434204079</v>
      </c>
      <c r="K157" s="121">
        <f t="shared" si="222"/>
        <v>15068.548666322364</v>
      </c>
      <c r="L157" s="121">
        <f t="shared" si="222"/>
        <v>15280.904968315133</v>
      </c>
      <c r="M157" s="121">
        <f t="shared" si="222"/>
        <v>15497.864262649749</v>
      </c>
      <c r="N157" s="121">
        <f t="shared" si="222"/>
        <v>15719.440192165393</v>
      </c>
      <c r="O157" s="121">
        <f t="shared" si="222"/>
        <v>15945.448156200866</v>
      </c>
      <c r="P157" s="121">
        <f t="shared" si="222"/>
        <v>16176.405347481084</v>
      </c>
      <c r="Q157" s="121">
        <f t="shared" si="222"/>
        <v>16411.770789778187</v>
      </c>
      <c r="R157" s="121">
        <f t="shared" si="222"/>
        <v>16652.095376363526</v>
      </c>
      <c r="S157" s="121">
        <f t="shared" si="222"/>
        <v>16897.201909267162</v>
      </c>
      <c r="T157" s="122">
        <f t="shared" si="222"/>
        <v>17160.89</v>
      </c>
      <c r="V157" s="99"/>
    </row>
    <row r="158" spans="1:22" s="97" customFormat="1" ht="15" customHeight="1">
      <c r="A158" s="218" t="s">
        <v>223</v>
      </c>
      <c r="B158" s="146"/>
      <c r="C158" s="147"/>
      <c r="D158" s="148"/>
      <c r="E158" s="148"/>
      <c r="F158" s="125" t="s">
        <v>112</v>
      </c>
      <c r="G158" s="129">
        <f>G159*12/2080</f>
        <v>47.949692307692317</v>
      </c>
      <c r="H158" s="129">
        <f>H159*12/2080</f>
        <v>48.956635846153851</v>
      </c>
      <c r="I158" s="129">
        <f t="shared" ref="I158:T158" si="223">I159*12/2080</f>
        <v>49.984725198923073</v>
      </c>
      <c r="J158" s="129">
        <f t="shared" si="223"/>
        <v>51.034404428100451</v>
      </c>
      <c r="K158" s="129">
        <f t="shared" si="223"/>
        <v>52.106126921090564</v>
      </c>
      <c r="L158" s="129">
        <f t="shared" si="223"/>
        <v>53.20035558643346</v>
      </c>
      <c r="M158" s="129">
        <f t="shared" si="223"/>
        <v>54.317563053748557</v>
      </c>
      <c r="N158" s="129">
        <f t="shared" si="223"/>
        <v>55.458231877877274</v>
      </c>
      <c r="O158" s="129">
        <f t="shared" si="223"/>
        <v>56.622854747312687</v>
      </c>
      <c r="P158" s="129">
        <f t="shared" si="223"/>
        <v>57.811934697006258</v>
      </c>
      <c r="Q158" s="129">
        <f t="shared" si="223"/>
        <v>59.025985325643376</v>
      </c>
      <c r="R158" s="129">
        <f t="shared" si="223"/>
        <v>60.265531017481884</v>
      </c>
      <c r="S158" s="129">
        <f t="shared" si="223"/>
        <v>61.531107168849005</v>
      </c>
      <c r="T158" s="130">
        <f t="shared" si="223"/>
        <v>62.891423076923076</v>
      </c>
      <c r="V158" s="99"/>
    </row>
    <row r="159" spans="1:22" s="97" customFormat="1" ht="15" customHeight="1">
      <c r="A159" s="206"/>
      <c r="B159" s="146"/>
      <c r="C159" s="147"/>
      <c r="D159" s="148"/>
      <c r="E159" s="148"/>
      <c r="F159" s="104" t="s">
        <v>114</v>
      </c>
      <c r="G159" s="105">
        <f>99735.36/12</f>
        <v>8311.2800000000007</v>
      </c>
      <c r="H159" s="105">
        <f>G159*1.021</f>
        <v>8485.8168800000003</v>
      </c>
      <c r="I159" s="105">
        <f t="shared" ref="I159:S159" si="224">H159*1.021</f>
        <v>8664.0190344799994</v>
      </c>
      <c r="J159" s="105">
        <f t="shared" si="224"/>
        <v>8845.963434204079</v>
      </c>
      <c r="K159" s="105">
        <f t="shared" si="224"/>
        <v>9031.728666322364</v>
      </c>
      <c r="L159" s="105">
        <f t="shared" si="224"/>
        <v>9221.3949683151332</v>
      </c>
      <c r="M159" s="105">
        <f t="shared" si="224"/>
        <v>9415.0442626497497</v>
      </c>
      <c r="N159" s="105">
        <f t="shared" si="224"/>
        <v>9612.7601921653932</v>
      </c>
      <c r="O159" s="105">
        <f t="shared" si="224"/>
        <v>9814.6281562008662</v>
      </c>
      <c r="P159" s="105">
        <f t="shared" si="224"/>
        <v>10020.735347481084</v>
      </c>
      <c r="Q159" s="105">
        <f t="shared" si="224"/>
        <v>10231.170789778185</v>
      </c>
      <c r="R159" s="105">
        <f t="shared" si="224"/>
        <v>10446.025376363526</v>
      </c>
      <c r="S159" s="105">
        <f t="shared" si="224"/>
        <v>10665.39190926716</v>
      </c>
      <c r="T159" s="110">
        <f>130814.16/12</f>
        <v>10901.18</v>
      </c>
      <c r="V159" s="99"/>
    </row>
    <row r="160" spans="1:22" s="97" customFormat="1" ht="15" customHeight="1">
      <c r="A160" s="206"/>
      <c r="B160" s="146"/>
      <c r="C160" s="147"/>
      <c r="D160" s="148"/>
      <c r="E160" s="148"/>
      <c r="F160" s="104" t="s">
        <v>115</v>
      </c>
      <c r="G160" s="105">
        <v>2240.2399999999998</v>
      </c>
      <c r="H160" s="105">
        <v>2261.29</v>
      </c>
      <c r="I160" s="105">
        <v>2282.54</v>
      </c>
      <c r="J160" s="105">
        <v>2304.56</v>
      </c>
      <c r="K160" s="105">
        <v>2327.0500000000002</v>
      </c>
      <c r="L160" s="105">
        <v>2349.7399999999998</v>
      </c>
      <c r="M160" s="105">
        <v>2373.0500000000002</v>
      </c>
      <c r="N160" s="105">
        <v>2396.91</v>
      </c>
      <c r="O160" s="105">
        <v>2421.0500000000002</v>
      </c>
      <c r="P160" s="105">
        <v>2445.9</v>
      </c>
      <c r="Q160" s="105">
        <v>2470.83</v>
      </c>
      <c r="R160" s="105">
        <v>2496.3000000000002</v>
      </c>
      <c r="S160" s="105">
        <v>2522.04</v>
      </c>
      <c r="T160" s="110">
        <v>2549.94</v>
      </c>
      <c r="V160" s="99"/>
    </row>
    <row r="161" spans="1:22" s="97" customFormat="1" ht="15" customHeight="1">
      <c r="A161" s="206"/>
      <c r="B161" s="146"/>
      <c r="C161" s="147"/>
      <c r="D161" s="148"/>
      <c r="E161" s="148"/>
      <c r="F161" s="104" t="s">
        <v>124</v>
      </c>
      <c r="G161" s="105">
        <v>4180.01</v>
      </c>
      <c r="H161" s="105">
        <v>4201.0600000000004</v>
      </c>
      <c r="I161" s="105">
        <v>4222.3100000000004</v>
      </c>
      <c r="J161" s="105">
        <v>4244.33</v>
      </c>
      <c r="K161" s="105">
        <v>4266.82</v>
      </c>
      <c r="L161" s="105">
        <v>4289.51</v>
      </c>
      <c r="M161" s="105">
        <v>4312.82</v>
      </c>
      <c r="N161" s="105">
        <v>4336.68</v>
      </c>
      <c r="O161" s="105">
        <v>4360.82</v>
      </c>
      <c r="P161" s="105">
        <v>4385.67</v>
      </c>
      <c r="Q161" s="105">
        <v>4410.6000000000004</v>
      </c>
      <c r="R161" s="105">
        <v>4436.07</v>
      </c>
      <c r="S161" s="105">
        <v>4461.8100000000004</v>
      </c>
      <c r="T161" s="110">
        <v>4489.71</v>
      </c>
      <c r="V161" s="99"/>
    </row>
    <row r="162" spans="1:22" s="97" customFormat="1" ht="15" customHeight="1">
      <c r="A162" s="206"/>
      <c r="B162" s="146"/>
      <c r="C162" s="147"/>
      <c r="D162" s="148"/>
      <c r="E162" s="148"/>
      <c r="F162" s="104" t="s">
        <v>119</v>
      </c>
      <c r="G162" s="105">
        <v>1770</v>
      </c>
      <c r="H162" s="105">
        <v>1770</v>
      </c>
      <c r="I162" s="105">
        <v>1770</v>
      </c>
      <c r="J162" s="105">
        <v>1770</v>
      </c>
      <c r="K162" s="105">
        <v>1770</v>
      </c>
      <c r="L162" s="105">
        <v>1770</v>
      </c>
      <c r="M162" s="105">
        <v>1770</v>
      </c>
      <c r="N162" s="105">
        <v>1770</v>
      </c>
      <c r="O162" s="105">
        <v>1770</v>
      </c>
      <c r="P162" s="105">
        <v>1770</v>
      </c>
      <c r="Q162" s="105">
        <v>1770</v>
      </c>
      <c r="R162" s="105">
        <v>1770</v>
      </c>
      <c r="S162" s="105">
        <v>1770</v>
      </c>
      <c r="T162" s="110">
        <v>1770</v>
      </c>
      <c r="V162" s="99"/>
    </row>
    <row r="163" spans="1:22" s="97" customFormat="1" ht="15" customHeight="1">
      <c r="A163" s="206"/>
      <c r="B163" s="146"/>
      <c r="C163" s="147"/>
      <c r="D163" s="148"/>
      <c r="E163" s="148"/>
      <c r="F163" s="104" t="s">
        <v>126</v>
      </c>
      <c r="G163" s="105">
        <f>+G159+G160+G162</f>
        <v>12321.52</v>
      </c>
      <c r="H163" s="105">
        <f t="shared" ref="H163:T163" si="225">+H159+H160+H162</f>
        <v>12517.106879999999</v>
      </c>
      <c r="I163" s="105">
        <f t="shared" si="225"/>
        <v>12716.55903448</v>
      </c>
      <c r="J163" s="105">
        <f t="shared" si="225"/>
        <v>12920.523434204079</v>
      </c>
      <c r="K163" s="105">
        <f t="shared" si="225"/>
        <v>13128.778666322363</v>
      </c>
      <c r="L163" s="105">
        <f t="shared" si="225"/>
        <v>13341.134968315133</v>
      </c>
      <c r="M163" s="105">
        <f t="shared" si="225"/>
        <v>13558.094262649749</v>
      </c>
      <c r="N163" s="105">
        <f t="shared" si="225"/>
        <v>13779.670192165393</v>
      </c>
      <c r="O163" s="105">
        <f t="shared" si="225"/>
        <v>14005.678156200865</v>
      </c>
      <c r="P163" s="105">
        <f t="shared" si="225"/>
        <v>14236.635347481084</v>
      </c>
      <c r="Q163" s="105">
        <f t="shared" si="225"/>
        <v>14472.000789778185</v>
      </c>
      <c r="R163" s="105">
        <f t="shared" si="225"/>
        <v>14712.325376363526</v>
      </c>
      <c r="S163" s="105">
        <f t="shared" si="225"/>
        <v>14957.431909267161</v>
      </c>
      <c r="T163" s="110">
        <f t="shared" si="225"/>
        <v>15221.12</v>
      </c>
      <c r="V163" s="99"/>
    </row>
    <row r="164" spans="1:22" s="97" customFormat="1" ht="15" customHeight="1" thickBot="1">
      <c r="A164" s="207"/>
      <c r="B164" s="146"/>
      <c r="C164" s="147"/>
      <c r="D164" s="148"/>
      <c r="E164" s="148"/>
      <c r="F164" s="111" t="s">
        <v>121</v>
      </c>
      <c r="G164" s="112">
        <f>+G159+G161+G162</f>
        <v>14261.29</v>
      </c>
      <c r="H164" s="112">
        <f t="shared" ref="H164:T164" si="226">+H159+H161+H162</f>
        <v>14456.87688</v>
      </c>
      <c r="I164" s="112">
        <f t="shared" si="226"/>
        <v>14656.329034480001</v>
      </c>
      <c r="J164" s="112">
        <f t="shared" si="226"/>
        <v>14860.293434204079</v>
      </c>
      <c r="K164" s="112">
        <f t="shared" si="226"/>
        <v>15068.548666322364</v>
      </c>
      <c r="L164" s="112">
        <f t="shared" si="226"/>
        <v>15280.904968315133</v>
      </c>
      <c r="M164" s="112">
        <f t="shared" si="226"/>
        <v>15497.864262649749</v>
      </c>
      <c r="N164" s="112">
        <f t="shared" si="226"/>
        <v>15719.440192165393</v>
      </c>
      <c r="O164" s="112">
        <f t="shared" si="226"/>
        <v>15945.448156200866</v>
      </c>
      <c r="P164" s="112">
        <f t="shared" si="226"/>
        <v>16176.405347481084</v>
      </c>
      <c r="Q164" s="112">
        <f t="shared" si="226"/>
        <v>16411.770789778187</v>
      </c>
      <c r="R164" s="112">
        <f t="shared" si="226"/>
        <v>16652.095376363526</v>
      </c>
      <c r="S164" s="112">
        <f t="shared" si="226"/>
        <v>16897.201909267162</v>
      </c>
      <c r="T164" s="113">
        <f t="shared" si="226"/>
        <v>17160.89</v>
      </c>
      <c r="V164" s="99"/>
    </row>
    <row r="165" spans="1:22" s="97" customFormat="1" ht="15" customHeight="1">
      <c r="A165" s="218" t="s">
        <v>224</v>
      </c>
      <c r="B165" s="153"/>
      <c r="C165" s="154"/>
      <c r="D165" s="155"/>
      <c r="E165" s="155"/>
      <c r="F165" s="114" t="s">
        <v>112</v>
      </c>
      <c r="G165" s="115">
        <f>G166*12/2080</f>
        <v>47.949692307692317</v>
      </c>
      <c r="H165" s="115">
        <f>H166*12/2080</f>
        <v>48.956635846153851</v>
      </c>
      <c r="I165" s="115">
        <f t="shared" ref="I165:T165" si="227">I166*12/2080</f>
        <v>49.984725198923073</v>
      </c>
      <c r="J165" s="115">
        <f t="shared" si="227"/>
        <v>51.034404428100451</v>
      </c>
      <c r="K165" s="115">
        <f t="shared" si="227"/>
        <v>52.106126921090564</v>
      </c>
      <c r="L165" s="115">
        <f t="shared" si="227"/>
        <v>53.20035558643346</v>
      </c>
      <c r="M165" s="115">
        <f t="shared" si="227"/>
        <v>54.317563053748557</v>
      </c>
      <c r="N165" s="115">
        <f t="shared" si="227"/>
        <v>55.458231877877274</v>
      </c>
      <c r="O165" s="115">
        <f t="shared" si="227"/>
        <v>56.622854747312687</v>
      </c>
      <c r="P165" s="115">
        <f t="shared" si="227"/>
        <v>57.811934697006258</v>
      </c>
      <c r="Q165" s="115">
        <f t="shared" si="227"/>
        <v>59.025985325643376</v>
      </c>
      <c r="R165" s="115">
        <f t="shared" si="227"/>
        <v>60.265531017481884</v>
      </c>
      <c r="S165" s="115">
        <f t="shared" si="227"/>
        <v>61.531107168849005</v>
      </c>
      <c r="T165" s="116">
        <f t="shared" si="227"/>
        <v>62.891423076923076</v>
      </c>
      <c r="V165" s="99"/>
    </row>
    <row r="166" spans="1:22" s="97" customFormat="1" ht="15" customHeight="1">
      <c r="A166" s="206"/>
      <c r="B166" s="146"/>
      <c r="C166" s="147"/>
      <c r="D166" s="148"/>
      <c r="E166" s="148"/>
      <c r="F166" s="117" t="s">
        <v>114</v>
      </c>
      <c r="G166" s="118">
        <f>99735.36/12</f>
        <v>8311.2800000000007</v>
      </c>
      <c r="H166" s="118">
        <f>G166*1.021</f>
        <v>8485.8168800000003</v>
      </c>
      <c r="I166" s="118">
        <f t="shared" ref="I166:S166" si="228">H166*1.021</f>
        <v>8664.0190344799994</v>
      </c>
      <c r="J166" s="118">
        <f t="shared" si="228"/>
        <v>8845.963434204079</v>
      </c>
      <c r="K166" s="118">
        <f t="shared" si="228"/>
        <v>9031.728666322364</v>
      </c>
      <c r="L166" s="118">
        <f t="shared" si="228"/>
        <v>9221.3949683151332</v>
      </c>
      <c r="M166" s="118">
        <f t="shared" si="228"/>
        <v>9415.0442626497497</v>
      </c>
      <c r="N166" s="118">
        <f t="shared" si="228"/>
        <v>9612.7601921653932</v>
      </c>
      <c r="O166" s="118">
        <f t="shared" si="228"/>
        <v>9814.6281562008662</v>
      </c>
      <c r="P166" s="118">
        <f t="shared" si="228"/>
        <v>10020.735347481084</v>
      </c>
      <c r="Q166" s="118">
        <f t="shared" si="228"/>
        <v>10231.170789778185</v>
      </c>
      <c r="R166" s="118">
        <f t="shared" si="228"/>
        <v>10446.025376363526</v>
      </c>
      <c r="S166" s="118">
        <f t="shared" si="228"/>
        <v>10665.39190926716</v>
      </c>
      <c r="T166" s="119">
        <f>130814.16/12</f>
        <v>10901.18</v>
      </c>
      <c r="V166" s="99"/>
    </row>
    <row r="167" spans="1:22" s="97" customFormat="1" ht="15" customHeight="1">
      <c r="A167" s="206"/>
      <c r="B167" s="146"/>
      <c r="C167" s="147"/>
      <c r="D167" s="148"/>
      <c r="E167" s="148"/>
      <c r="F167" s="117" t="s">
        <v>115</v>
      </c>
      <c r="G167" s="118">
        <v>2240.2399999999998</v>
      </c>
      <c r="H167" s="118">
        <v>2261.29</v>
      </c>
      <c r="I167" s="118">
        <v>2282.54</v>
      </c>
      <c r="J167" s="118">
        <v>2304.56</v>
      </c>
      <c r="K167" s="118">
        <v>2327.0500000000002</v>
      </c>
      <c r="L167" s="118">
        <v>2349.7399999999998</v>
      </c>
      <c r="M167" s="118">
        <v>2373.0500000000002</v>
      </c>
      <c r="N167" s="118">
        <v>2396.91</v>
      </c>
      <c r="O167" s="118">
        <v>2421.0500000000002</v>
      </c>
      <c r="P167" s="118">
        <v>2445.9</v>
      </c>
      <c r="Q167" s="118">
        <v>2470.83</v>
      </c>
      <c r="R167" s="118">
        <v>2496.3000000000002</v>
      </c>
      <c r="S167" s="118">
        <v>2522.04</v>
      </c>
      <c r="T167" s="119">
        <v>2549.94</v>
      </c>
      <c r="V167" s="99"/>
    </row>
    <row r="168" spans="1:22" s="97" customFormat="1" ht="15" customHeight="1">
      <c r="A168" s="206"/>
      <c r="B168" s="146"/>
      <c r="C168" s="147"/>
      <c r="D168" s="148"/>
      <c r="E168" s="148"/>
      <c r="F168" s="117" t="s">
        <v>124</v>
      </c>
      <c r="G168" s="118">
        <v>4180.01</v>
      </c>
      <c r="H168" s="118">
        <v>4201.0600000000004</v>
      </c>
      <c r="I168" s="118">
        <v>4222.3100000000004</v>
      </c>
      <c r="J168" s="118">
        <v>4244.33</v>
      </c>
      <c r="K168" s="118">
        <v>4266.82</v>
      </c>
      <c r="L168" s="118">
        <v>4289.51</v>
      </c>
      <c r="M168" s="118">
        <v>4312.82</v>
      </c>
      <c r="N168" s="118">
        <v>4336.68</v>
      </c>
      <c r="O168" s="118">
        <v>4360.82</v>
      </c>
      <c r="P168" s="118">
        <v>4385.67</v>
      </c>
      <c r="Q168" s="118">
        <v>4410.6000000000004</v>
      </c>
      <c r="R168" s="118">
        <v>4436.07</v>
      </c>
      <c r="S168" s="118">
        <v>4461.8100000000004</v>
      </c>
      <c r="T168" s="119">
        <v>4489.71</v>
      </c>
      <c r="V168" s="99"/>
    </row>
    <row r="169" spans="1:22" s="97" customFormat="1" ht="15" customHeight="1">
      <c r="A169" s="206"/>
      <c r="B169" s="146"/>
      <c r="C169" s="147"/>
      <c r="D169" s="148"/>
      <c r="E169" s="148"/>
      <c r="F169" s="117" t="s">
        <v>119</v>
      </c>
      <c r="G169" s="118">
        <v>1770</v>
      </c>
      <c r="H169" s="118">
        <v>1770</v>
      </c>
      <c r="I169" s="118">
        <v>1770</v>
      </c>
      <c r="J169" s="118">
        <v>1770</v>
      </c>
      <c r="K169" s="118">
        <v>1770</v>
      </c>
      <c r="L169" s="118">
        <v>1770</v>
      </c>
      <c r="M169" s="118">
        <v>1770</v>
      </c>
      <c r="N169" s="118">
        <v>1770</v>
      </c>
      <c r="O169" s="118">
        <v>1770</v>
      </c>
      <c r="P169" s="118">
        <v>1770</v>
      </c>
      <c r="Q169" s="118">
        <v>1770</v>
      </c>
      <c r="R169" s="118">
        <v>1770</v>
      </c>
      <c r="S169" s="118">
        <v>1770</v>
      </c>
      <c r="T169" s="119">
        <v>1770</v>
      </c>
      <c r="V169" s="99"/>
    </row>
    <row r="170" spans="1:22" s="97" customFormat="1" ht="15" customHeight="1">
      <c r="A170" s="206"/>
      <c r="B170" s="146"/>
      <c r="C170" s="147"/>
      <c r="D170" s="148"/>
      <c r="E170" s="148"/>
      <c r="F170" s="117" t="s">
        <v>126</v>
      </c>
      <c r="G170" s="118">
        <f>+G166+G167+G169</f>
        <v>12321.52</v>
      </c>
      <c r="H170" s="118">
        <f t="shared" ref="H170:T170" si="229">+H166+H167+H169</f>
        <v>12517.106879999999</v>
      </c>
      <c r="I170" s="118">
        <f t="shared" si="229"/>
        <v>12716.55903448</v>
      </c>
      <c r="J170" s="118">
        <f t="shared" si="229"/>
        <v>12920.523434204079</v>
      </c>
      <c r="K170" s="118">
        <f t="shared" si="229"/>
        <v>13128.778666322363</v>
      </c>
      <c r="L170" s="118">
        <f t="shared" si="229"/>
        <v>13341.134968315133</v>
      </c>
      <c r="M170" s="118">
        <f t="shared" si="229"/>
        <v>13558.094262649749</v>
      </c>
      <c r="N170" s="118">
        <f t="shared" si="229"/>
        <v>13779.670192165393</v>
      </c>
      <c r="O170" s="118">
        <f t="shared" si="229"/>
        <v>14005.678156200865</v>
      </c>
      <c r="P170" s="118">
        <f t="shared" si="229"/>
        <v>14236.635347481084</v>
      </c>
      <c r="Q170" s="118">
        <f t="shared" si="229"/>
        <v>14472.000789778185</v>
      </c>
      <c r="R170" s="118">
        <f t="shared" si="229"/>
        <v>14712.325376363526</v>
      </c>
      <c r="S170" s="118">
        <f t="shared" si="229"/>
        <v>14957.431909267161</v>
      </c>
      <c r="T170" s="119">
        <f t="shared" si="229"/>
        <v>15221.12</v>
      </c>
      <c r="V170" s="99"/>
    </row>
    <row r="171" spans="1:22" s="97" customFormat="1" ht="15" customHeight="1" thickBot="1">
      <c r="A171" s="207"/>
      <c r="B171" s="156"/>
      <c r="C171" s="151"/>
      <c r="D171" s="152"/>
      <c r="E171" s="152"/>
      <c r="F171" s="120" t="s">
        <v>121</v>
      </c>
      <c r="G171" s="121">
        <f>+G166+G168+G169</f>
        <v>14261.29</v>
      </c>
      <c r="H171" s="121">
        <f t="shared" ref="H171:T171" si="230">+H166+H168+H169</f>
        <v>14456.87688</v>
      </c>
      <c r="I171" s="121">
        <f t="shared" si="230"/>
        <v>14656.329034480001</v>
      </c>
      <c r="J171" s="121">
        <f t="shared" si="230"/>
        <v>14860.293434204079</v>
      </c>
      <c r="K171" s="121">
        <f t="shared" si="230"/>
        <v>15068.548666322364</v>
      </c>
      <c r="L171" s="121">
        <f t="shared" si="230"/>
        <v>15280.904968315133</v>
      </c>
      <c r="M171" s="121">
        <f t="shared" si="230"/>
        <v>15497.864262649749</v>
      </c>
      <c r="N171" s="121">
        <f t="shared" si="230"/>
        <v>15719.440192165393</v>
      </c>
      <c r="O171" s="121">
        <f t="shared" si="230"/>
        <v>15945.448156200866</v>
      </c>
      <c r="P171" s="121">
        <f t="shared" si="230"/>
        <v>16176.405347481084</v>
      </c>
      <c r="Q171" s="121">
        <f t="shared" si="230"/>
        <v>16411.770789778187</v>
      </c>
      <c r="R171" s="121">
        <f t="shared" si="230"/>
        <v>16652.095376363526</v>
      </c>
      <c r="S171" s="121">
        <f t="shared" si="230"/>
        <v>16897.201909267162</v>
      </c>
      <c r="T171" s="122">
        <f t="shared" si="230"/>
        <v>17160.89</v>
      </c>
      <c r="V171" s="99"/>
    </row>
    <row r="172" spans="1:22" s="97" customFormat="1" ht="15" customHeight="1">
      <c r="A172" s="218" t="s">
        <v>225</v>
      </c>
      <c r="B172" s="153"/>
      <c r="C172" s="154"/>
      <c r="D172" s="155"/>
      <c r="E172" s="155"/>
      <c r="F172" s="104" t="s">
        <v>112</v>
      </c>
      <c r="G172" s="129">
        <v>35.07</v>
      </c>
      <c r="H172" s="129">
        <v>35.910000000000004</v>
      </c>
      <c r="I172" s="129">
        <v>36.750000000000007</v>
      </c>
      <c r="J172" s="129">
        <v>37.590000000000011</v>
      </c>
      <c r="K172" s="129">
        <v>38.430000000000014</v>
      </c>
      <c r="L172" s="129">
        <v>39.270000000000017</v>
      </c>
      <c r="M172" s="129">
        <v>40.110000000000021</v>
      </c>
      <c r="N172" s="129">
        <v>40.950000000000024</v>
      </c>
      <c r="O172" s="129">
        <v>41.790000000000028</v>
      </c>
      <c r="P172" s="129">
        <v>42.630000000000031</v>
      </c>
      <c r="Q172" s="129">
        <v>43.470000000000034</v>
      </c>
      <c r="R172" s="129">
        <v>44.310000000000038</v>
      </c>
      <c r="S172" s="130">
        <v>45.150000000000041</v>
      </c>
      <c r="T172" s="130">
        <v>45.990000000000045</v>
      </c>
      <c r="V172" s="99"/>
    </row>
    <row r="173" spans="1:22" s="97" customFormat="1" ht="15" customHeight="1">
      <c r="A173" s="206"/>
      <c r="B173" s="146"/>
      <c r="C173" s="147"/>
      <c r="D173" s="148"/>
      <c r="E173" s="148"/>
      <c r="F173" s="104" t="s">
        <v>114</v>
      </c>
      <c r="G173" s="105">
        <v>6077.36</v>
      </c>
      <c r="H173" s="105">
        <v>6223.0099999999993</v>
      </c>
      <c r="I173" s="105">
        <v>6368.6599999999989</v>
      </c>
      <c r="J173" s="105">
        <v>6514.3099999999986</v>
      </c>
      <c r="K173" s="105">
        <v>6659.9599999999982</v>
      </c>
      <c r="L173" s="105">
        <v>6805.6099999999979</v>
      </c>
      <c r="M173" s="105">
        <v>6951.2599999999975</v>
      </c>
      <c r="N173" s="105">
        <v>7096.9099999999971</v>
      </c>
      <c r="O173" s="105">
        <v>7242.5599999999968</v>
      </c>
      <c r="P173" s="105">
        <v>7388.2099999999964</v>
      </c>
      <c r="Q173" s="105">
        <v>7533.859999999996</v>
      </c>
      <c r="R173" s="105">
        <v>7679.5099999999957</v>
      </c>
      <c r="S173" s="110">
        <v>7825.1599999999953</v>
      </c>
      <c r="T173" s="110">
        <v>7970.8199999999952</v>
      </c>
      <c r="V173" s="99"/>
    </row>
    <row r="174" spans="1:22" s="97" customFormat="1" ht="15" customHeight="1">
      <c r="A174" s="206"/>
      <c r="B174" s="146"/>
      <c r="C174" s="147"/>
      <c r="D174" s="148"/>
      <c r="E174" s="148"/>
      <c r="F174" s="104" t="s">
        <v>115</v>
      </c>
      <c r="G174" s="105">
        <v>1971.6</v>
      </c>
      <c r="H174" s="105">
        <v>1989.15</v>
      </c>
      <c r="I174" s="105">
        <v>2006.71</v>
      </c>
      <c r="J174" s="105">
        <v>2024.26</v>
      </c>
      <c r="K174" s="105">
        <v>2041.67</v>
      </c>
      <c r="L174" s="105">
        <v>2059.23</v>
      </c>
      <c r="M174" s="105">
        <v>2076.7800000000002</v>
      </c>
      <c r="N174" s="105">
        <v>2094.34</v>
      </c>
      <c r="O174" s="105">
        <v>2111.75</v>
      </c>
      <c r="P174" s="105">
        <v>2129.3000000000002</v>
      </c>
      <c r="Q174" s="105">
        <v>2146.86</v>
      </c>
      <c r="R174" s="105">
        <v>2164.41</v>
      </c>
      <c r="S174" s="110">
        <v>2181.8200000000002</v>
      </c>
      <c r="T174" s="110">
        <v>2199.37</v>
      </c>
      <c r="V174" s="99"/>
    </row>
    <row r="175" spans="1:22" s="97" customFormat="1" ht="15" customHeight="1">
      <c r="A175" s="206"/>
      <c r="B175" s="146"/>
      <c r="C175" s="147"/>
      <c r="D175" s="148"/>
      <c r="E175" s="148"/>
      <c r="F175" s="104" t="s">
        <v>124</v>
      </c>
      <c r="G175" s="105">
        <v>3911.37</v>
      </c>
      <c r="H175" s="105">
        <v>3928.92</v>
      </c>
      <c r="I175" s="105">
        <v>3946.48</v>
      </c>
      <c r="J175" s="105">
        <v>3964.03</v>
      </c>
      <c r="K175" s="105">
        <v>3981.44</v>
      </c>
      <c r="L175" s="105">
        <v>3999</v>
      </c>
      <c r="M175" s="105">
        <v>4016.55</v>
      </c>
      <c r="N175" s="105">
        <v>4034.11</v>
      </c>
      <c r="O175" s="105">
        <v>4051.52</v>
      </c>
      <c r="P175" s="105">
        <v>4069.07</v>
      </c>
      <c r="Q175" s="105">
        <v>4086.63</v>
      </c>
      <c r="R175" s="105">
        <v>4104.18</v>
      </c>
      <c r="S175" s="110">
        <v>4121.59</v>
      </c>
      <c r="T175" s="110">
        <v>4139.1400000000003</v>
      </c>
      <c r="V175" s="99"/>
    </row>
    <row r="176" spans="1:22" s="97" customFormat="1" ht="15" customHeight="1">
      <c r="A176" s="206"/>
      <c r="B176" s="146"/>
      <c r="C176" s="147"/>
      <c r="D176" s="148"/>
      <c r="E176" s="148"/>
      <c r="F176" s="104" t="s">
        <v>119</v>
      </c>
      <c r="G176" s="105">
        <v>1770</v>
      </c>
      <c r="H176" s="105">
        <v>1770</v>
      </c>
      <c r="I176" s="105">
        <v>1770</v>
      </c>
      <c r="J176" s="105">
        <v>1770</v>
      </c>
      <c r="K176" s="105">
        <v>1770</v>
      </c>
      <c r="L176" s="105">
        <v>1770</v>
      </c>
      <c r="M176" s="105">
        <v>1770</v>
      </c>
      <c r="N176" s="105">
        <v>1770</v>
      </c>
      <c r="O176" s="105">
        <v>1770</v>
      </c>
      <c r="P176" s="105">
        <v>1770</v>
      </c>
      <c r="Q176" s="105">
        <v>1770</v>
      </c>
      <c r="R176" s="105">
        <v>1770</v>
      </c>
      <c r="S176" s="110">
        <v>1770</v>
      </c>
      <c r="T176" s="110">
        <v>1770</v>
      </c>
      <c r="V176" s="99"/>
    </row>
    <row r="177" spans="1:22" s="97" customFormat="1" ht="15" customHeight="1">
      <c r="A177" s="206"/>
      <c r="B177" s="146"/>
      <c r="C177" s="147"/>
      <c r="D177" s="148"/>
      <c r="E177" s="148"/>
      <c r="F177" s="104" t="s">
        <v>126</v>
      </c>
      <c r="G177" s="105">
        <v>9818.9599999999991</v>
      </c>
      <c r="H177" s="105">
        <v>9982.16</v>
      </c>
      <c r="I177" s="105">
        <v>10145.369999999999</v>
      </c>
      <c r="J177" s="105">
        <v>10308.569999999998</v>
      </c>
      <c r="K177" s="105">
        <v>10471.629999999997</v>
      </c>
      <c r="L177" s="105">
        <v>10634.839999999998</v>
      </c>
      <c r="M177" s="105">
        <v>10798.039999999997</v>
      </c>
      <c r="N177" s="105">
        <v>10961.249999999996</v>
      </c>
      <c r="O177" s="105">
        <v>11124.309999999998</v>
      </c>
      <c r="P177" s="105">
        <v>11287.509999999997</v>
      </c>
      <c r="Q177" s="105">
        <v>11450.719999999996</v>
      </c>
      <c r="R177" s="105">
        <v>11613.919999999995</v>
      </c>
      <c r="S177" s="110">
        <v>11776.979999999996</v>
      </c>
      <c r="T177" s="110">
        <v>11940.189999999995</v>
      </c>
      <c r="V177" s="99"/>
    </row>
    <row r="178" spans="1:22" s="97" customFormat="1" ht="15" customHeight="1" thickBot="1">
      <c r="A178" s="207"/>
      <c r="B178" s="156"/>
      <c r="C178" s="151"/>
      <c r="D178" s="152"/>
      <c r="E178" s="152"/>
      <c r="F178" s="111" t="s">
        <v>121</v>
      </c>
      <c r="G178" s="112">
        <v>11758.73</v>
      </c>
      <c r="H178" s="112">
        <v>11921.93</v>
      </c>
      <c r="I178" s="112">
        <v>12085.14</v>
      </c>
      <c r="J178" s="112">
        <v>12248.339999999998</v>
      </c>
      <c r="K178" s="112">
        <v>12411.399999999998</v>
      </c>
      <c r="L178" s="112">
        <v>12574.609999999997</v>
      </c>
      <c r="M178" s="112">
        <v>12737.809999999998</v>
      </c>
      <c r="N178" s="112">
        <v>12901.019999999997</v>
      </c>
      <c r="O178" s="112">
        <v>13064.079999999996</v>
      </c>
      <c r="P178" s="112">
        <v>13227.279999999997</v>
      </c>
      <c r="Q178" s="112">
        <v>13390.489999999996</v>
      </c>
      <c r="R178" s="112">
        <v>13553.689999999995</v>
      </c>
      <c r="S178" s="113">
        <v>13716.749999999996</v>
      </c>
      <c r="T178" s="113">
        <v>13879.959999999995</v>
      </c>
      <c r="V178" s="99"/>
    </row>
    <row r="179" spans="1:22" s="97" customFormat="1" ht="15" customHeight="1">
      <c r="A179" s="218" t="s">
        <v>226</v>
      </c>
      <c r="B179" s="157"/>
      <c r="C179" s="154"/>
      <c r="D179" s="155"/>
      <c r="E179" s="155"/>
      <c r="F179" s="114" t="s">
        <v>112</v>
      </c>
      <c r="G179" s="115">
        <v>34.380000000000003</v>
      </c>
      <c r="H179" s="115">
        <v>35.200000000000003</v>
      </c>
      <c r="I179" s="115">
        <v>36.020000000000003</v>
      </c>
      <c r="J179" s="115">
        <v>36.840000000000003</v>
      </c>
      <c r="K179" s="115">
        <v>37.660000000000004</v>
      </c>
      <c r="L179" s="115">
        <v>38.480000000000004</v>
      </c>
      <c r="M179" s="115">
        <v>39.300000000000004</v>
      </c>
      <c r="N179" s="115">
        <v>40.120000000000005</v>
      </c>
      <c r="O179" s="115">
        <v>40.940000000000005</v>
      </c>
      <c r="P179" s="115">
        <v>41.760000000000005</v>
      </c>
      <c r="Q179" s="115">
        <v>42.580000000000005</v>
      </c>
      <c r="R179" s="115">
        <v>43.400000000000006</v>
      </c>
      <c r="S179" s="115">
        <v>44.220000000000006</v>
      </c>
      <c r="T179" s="116">
        <v>45.09</v>
      </c>
      <c r="V179" s="99"/>
    </row>
    <row r="180" spans="1:22" s="97" customFormat="1" ht="15" customHeight="1">
      <c r="A180" s="206"/>
      <c r="B180" s="149"/>
      <c r="C180" s="147"/>
      <c r="D180" s="148"/>
      <c r="E180" s="148"/>
      <c r="F180" s="117" t="s">
        <v>114</v>
      </c>
      <c r="G180" s="118">
        <v>5958.46</v>
      </c>
      <c r="H180" s="118">
        <v>6101.26</v>
      </c>
      <c r="I180" s="118">
        <v>6244.06</v>
      </c>
      <c r="J180" s="118">
        <v>6386.8600000000006</v>
      </c>
      <c r="K180" s="118">
        <v>6529.6600000000008</v>
      </c>
      <c r="L180" s="118">
        <v>6672.4600000000009</v>
      </c>
      <c r="M180" s="118">
        <v>6815.2600000000011</v>
      </c>
      <c r="N180" s="118">
        <v>6958.0600000000013</v>
      </c>
      <c r="O180" s="118">
        <v>7100.8600000000015</v>
      </c>
      <c r="P180" s="118">
        <v>7243.6600000000017</v>
      </c>
      <c r="Q180" s="118">
        <v>7386.4600000000019</v>
      </c>
      <c r="R180" s="118">
        <v>7529.260000000002</v>
      </c>
      <c r="S180" s="118">
        <v>7672.0600000000022</v>
      </c>
      <c r="T180" s="119">
        <v>7814.92</v>
      </c>
      <c r="V180" s="99"/>
    </row>
    <row r="181" spans="1:22" s="97" customFormat="1" ht="15" customHeight="1">
      <c r="A181" s="206"/>
      <c r="B181" s="149"/>
      <c r="C181" s="147"/>
      <c r="D181" s="148"/>
      <c r="E181" s="148"/>
      <c r="F181" s="117" t="s">
        <v>115</v>
      </c>
      <c r="G181" s="118">
        <v>1957.27</v>
      </c>
      <c r="H181" s="118">
        <v>1974.41</v>
      </c>
      <c r="I181" s="118">
        <v>1991.41</v>
      </c>
      <c r="J181" s="118">
        <v>2008.56</v>
      </c>
      <c r="K181" s="118">
        <v>2025.7</v>
      </c>
      <c r="L181" s="118">
        <v>2042.84</v>
      </c>
      <c r="M181" s="118">
        <v>2059.84</v>
      </c>
      <c r="N181" s="118">
        <v>2076.9899999999998</v>
      </c>
      <c r="O181" s="118">
        <v>2094.13</v>
      </c>
      <c r="P181" s="118">
        <v>2111.13</v>
      </c>
      <c r="Q181" s="118">
        <v>2128.27</v>
      </c>
      <c r="R181" s="118">
        <v>2145.42</v>
      </c>
      <c r="S181" s="118">
        <v>2162.42</v>
      </c>
      <c r="T181" s="119">
        <v>2180.59</v>
      </c>
      <c r="V181" s="99"/>
    </row>
    <row r="182" spans="1:22" s="97" customFormat="1" ht="15" customHeight="1">
      <c r="A182" s="206"/>
      <c r="B182" s="149"/>
      <c r="C182" s="147"/>
      <c r="D182" s="148"/>
      <c r="E182" s="148"/>
      <c r="F182" s="117" t="s">
        <v>124</v>
      </c>
      <c r="G182" s="118">
        <v>3897.04</v>
      </c>
      <c r="H182" s="118">
        <v>3914.18</v>
      </c>
      <c r="I182" s="118">
        <v>3931.18</v>
      </c>
      <c r="J182" s="118">
        <v>3948.33</v>
      </c>
      <c r="K182" s="118">
        <v>3965.47</v>
      </c>
      <c r="L182" s="118">
        <v>3982.61</v>
      </c>
      <c r="M182" s="118">
        <v>3999.61</v>
      </c>
      <c r="N182" s="118">
        <v>4016.76</v>
      </c>
      <c r="O182" s="118">
        <v>4033.9</v>
      </c>
      <c r="P182" s="118">
        <v>4050.9</v>
      </c>
      <c r="Q182" s="118">
        <v>4068.04</v>
      </c>
      <c r="R182" s="118">
        <v>4085.19</v>
      </c>
      <c r="S182" s="118">
        <v>4102.1899999999996</v>
      </c>
      <c r="T182" s="119">
        <v>4120.3599999999997</v>
      </c>
      <c r="V182" s="99"/>
    </row>
    <row r="183" spans="1:22" s="97" customFormat="1" ht="15" customHeight="1">
      <c r="A183" s="206"/>
      <c r="B183" s="149"/>
      <c r="C183" s="147"/>
      <c r="D183" s="148"/>
      <c r="E183" s="148"/>
      <c r="F183" s="117" t="s">
        <v>119</v>
      </c>
      <c r="G183" s="118">
        <v>1770</v>
      </c>
      <c r="H183" s="118">
        <v>1770</v>
      </c>
      <c r="I183" s="118">
        <v>1770</v>
      </c>
      <c r="J183" s="118">
        <v>1770</v>
      </c>
      <c r="K183" s="118">
        <v>1770</v>
      </c>
      <c r="L183" s="118">
        <v>1770</v>
      </c>
      <c r="M183" s="118">
        <v>1770</v>
      </c>
      <c r="N183" s="118">
        <v>1770</v>
      </c>
      <c r="O183" s="118">
        <v>1770</v>
      </c>
      <c r="P183" s="118">
        <v>1770</v>
      </c>
      <c r="Q183" s="118">
        <v>1770</v>
      </c>
      <c r="R183" s="118">
        <v>1770</v>
      </c>
      <c r="S183" s="118">
        <v>1770</v>
      </c>
      <c r="T183" s="119">
        <v>1770</v>
      </c>
      <c r="V183" s="99"/>
    </row>
    <row r="184" spans="1:22" s="97" customFormat="1" ht="15" customHeight="1">
      <c r="A184" s="206"/>
      <c r="B184" s="149"/>
      <c r="C184" s="147"/>
      <c r="D184" s="148"/>
      <c r="E184" s="148"/>
      <c r="F184" s="117" t="s">
        <v>126</v>
      </c>
      <c r="G184" s="118">
        <v>9685.73</v>
      </c>
      <c r="H184" s="118">
        <v>9845.67</v>
      </c>
      <c r="I184" s="118">
        <v>10005.470000000001</v>
      </c>
      <c r="J184" s="118">
        <v>10165.42</v>
      </c>
      <c r="K184" s="118">
        <v>10325.36</v>
      </c>
      <c r="L184" s="118">
        <v>10485.300000000001</v>
      </c>
      <c r="M184" s="118">
        <v>10645.100000000002</v>
      </c>
      <c r="N184" s="118">
        <v>10805.050000000001</v>
      </c>
      <c r="O184" s="118">
        <v>10964.990000000002</v>
      </c>
      <c r="P184" s="118">
        <v>11124.79</v>
      </c>
      <c r="Q184" s="118">
        <v>11284.730000000001</v>
      </c>
      <c r="R184" s="118">
        <v>11444.680000000002</v>
      </c>
      <c r="S184" s="118">
        <v>11604.480000000003</v>
      </c>
      <c r="T184" s="119">
        <v>11765.51</v>
      </c>
      <c r="V184" s="99"/>
    </row>
    <row r="185" spans="1:22" s="97" customFormat="1" ht="15" customHeight="1" thickBot="1">
      <c r="A185" s="207"/>
      <c r="B185" s="150"/>
      <c r="C185" s="151"/>
      <c r="D185" s="152"/>
      <c r="E185" s="152"/>
      <c r="F185" s="120" t="s">
        <v>121</v>
      </c>
      <c r="G185" s="121">
        <v>11625.5</v>
      </c>
      <c r="H185" s="121">
        <v>11785.44</v>
      </c>
      <c r="I185" s="121">
        <v>11945.24</v>
      </c>
      <c r="J185" s="121">
        <v>12105.19</v>
      </c>
      <c r="K185" s="121">
        <v>12265.130000000001</v>
      </c>
      <c r="L185" s="121">
        <v>12425.070000000002</v>
      </c>
      <c r="M185" s="121">
        <v>12584.87</v>
      </c>
      <c r="N185" s="121">
        <v>12744.820000000002</v>
      </c>
      <c r="O185" s="121">
        <v>12904.760000000002</v>
      </c>
      <c r="P185" s="121">
        <v>13064.560000000001</v>
      </c>
      <c r="Q185" s="121">
        <v>13224.500000000002</v>
      </c>
      <c r="R185" s="121">
        <v>13384.450000000003</v>
      </c>
      <c r="S185" s="121">
        <v>13544.250000000002</v>
      </c>
      <c r="T185" s="122">
        <v>13705.279999999999</v>
      </c>
      <c r="V185" s="99"/>
    </row>
    <row r="186" spans="1:22" s="97" customFormat="1" ht="15" customHeight="1">
      <c r="A186" s="206" t="s">
        <v>56</v>
      </c>
      <c r="B186" s="222" t="s">
        <v>57</v>
      </c>
      <c r="C186" s="225" t="s">
        <v>58</v>
      </c>
      <c r="D186" s="222">
        <v>149</v>
      </c>
      <c r="E186" s="222">
        <v>45</v>
      </c>
      <c r="F186" s="126" t="s">
        <v>112</v>
      </c>
      <c r="G186" s="127">
        <v>18.736699999999999</v>
      </c>
      <c r="H186" s="127">
        <v>19.2318</v>
      </c>
      <c r="I186" s="127">
        <v>19.740400000000001</v>
      </c>
      <c r="J186" s="127">
        <v>20.262899999999998</v>
      </c>
      <c r="K186" s="127">
        <v>20.7986</v>
      </c>
      <c r="L186" s="127">
        <v>21.3508</v>
      </c>
      <c r="M186" s="127">
        <v>21.916899999999998</v>
      </c>
      <c r="N186" s="127">
        <v>22.4984</v>
      </c>
      <c r="O186" s="127">
        <v>23.0959</v>
      </c>
      <c r="P186" s="127">
        <v>23.708300000000001</v>
      </c>
      <c r="Q186" s="127">
        <v>24.351800000000001</v>
      </c>
      <c r="R186" s="127">
        <v>25.011700000000001</v>
      </c>
      <c r="S186" s="128">
        <v>25.689499999999999</v>
      </c>
      <c r="T186" s="128">
        <v>26.3857</v>
      </c>
      <c r="U186" s="97" t="s">
        <v>139</v>
      </c>
    </row>
    <row r="187" spans="1:22" s="97" customFormat="1" ht="15" customHeight="1">
      <c r="A187" s="206"/>
      <c r="B187" s="223"/>
      <c r="C187" s="226"/>
      <c r="D187" s="223"/>
      <c r="E187" s="223"/>
      <c r="F187" s="104" t="s">
        <v>114</v>
      </c>
      <c r="G187" s="105">
        <f>G186*2080/12</f>
        <v>3247.6946666666663</v>
      </c>
      <c r="H187" s="105">
        <f t="shared" ref="H187:T187" si="231">H186*2080/12</f>
        <v>3333.5120000000002</v>
      </c>
      <c r="I187" s="105">
        <f t="shared" si="231"/>
        <v>3421.6693333333333</v>
      </c>
      <c r="J187" s="105">
        <f t="shared" si="231"/>
        <v>3512.2359999999994</v>
      </c>
      <c r="K187" s="105">
        <f t="shared" si="231"/>
        <v>3605.0906666666669</v>
      </c>
      <c r="L187" s="105">
        <f t="shared" si="231"/>
        <v>3700.8053333333332</v>
      </c>
      <c r="M187" s="105">
        <f t="shared" si="231"/>
        <v>3798.929333333333</v>
      </c>
      <c r="N187" s="105">
        <f t="shared" si="231"/>
        <v>3899.7226666666666</v>
      </c>
      <c r="O187" s="105">
        <f t="shared" si="231"/>
        <v>4003.2893333333336</v>
      </c>
      <c r="P187" s="105">
        <f t="shared" si="231"/>
        <v>4109.4386666666669</v>
      </c>
      <c r="Q187" s="105">
        <f t="shared" si="231"/>
        <v>4220.9786666666669</v>
      </c>
      <c r="R187" s="105">
        <f t="shared" si="231"/>
        <v>4335.3613333333333</v>
      </c>
      <c r="S187" s="110">
        <f t="shared" si="231"/>
        <v>4452.8466666666664</v>
      </c>
      <c r="T187" s="110">
        <f t="shared" si="231"/>
        <v>4573.5213333333331</v>
      </c>
    </row>
    <row r="188" spans="1:22" s="97" customFormat="1" ht="15" customHeight="1">
      <c r="A188" s="206"/>
      <c r="B188" s="223"/>
      <c r="C188" s="226"/>
      <c r="D188" s="223"/>
      <c r="E188" s="223"/>
      <c r="F188" s="104" t="s">
        <v>115</v>
      </c>
      <c r="G188" s="105">
        <v>1631.03</v>
      </c>
      <c r="H188" s="105">
        <v>1641.25</v>
      </c>
      <c r="I188" s="105">
        <v>1652.02</v>
      </c>
      <c r="J188" s="105">
        <v>1662.85</v>
      </c>
      <c r="K188" s="105">
        <v>1674.1</v>
      </c>
      <c r="L188" s="105">
        <v>1685.55</v>
      </c>
      <c r="M188" s="105">
        <v>1697.41</v>
      </c>
      <c r="N188" s="105">
        <v>1709.47</v>
      </c>
      <c r="O188" s="105">
        <v>1722.09</v>
      </c>
      <c r="P188" s="105">
        <v>1734.78</v>
      </c>
      <c r="Q188" s="105">
        <v>1748.08</v>
      </c>
      <c r="R188" s="105">
        <v>1761.93</v>
      </c>
      <c r="S188" s="110">
        <v>1776.05</v>
      </c>
      <c r="T188" s="110">
        <v>1790.58</v>
      </c>
    </row>
    <row r="189" spans="1:22" s="97" customFormat="1" ht="15" customHeight="1">
      <c r="A189" s="206"/>
      <c r="B189" s="223"/>
      <c r="C189" s="226"/>
      <c r="D189" s="223"/>
      <c r="E189" s="223"/>
      <c r="F189" s="104" t="s">
        <v>124</v>
      </c>
      <c r="G189" s="105">
        <v>3570.8</v>
      </c>
      <c r="H189" s="105">
        <v>3581.02</v>
      </c>
      <c r="I189" s="105">
        <v>3591.79</v>
      </c>
      <c r="J189" s="105">
        <v>3602.62</v>
      </c>
      <c r="K189" s="105">
        <v>3613.87</v>
      </c>
      <c r="L189" s="105">
        <v>3625.32</v>
      </c>
      <c r="M189" s="105">
        <v>3637.18</v>
      </c>
      <c r="N189" s="105">
        <v>3649.24</v>
      </c>
      <c r="O189" s="105">
        <v>3661.86</v>
      </c>
      <c r="P189" s="105">
        <v>3674.55</v>
      </c>
      <c r="Q189" s="105">
        <v>3687.85</v>
      </c>
      <c r="R189" s="105">
        <v>3701.7</v>
      </c>
      <c r="S189" s="110">
        <v>3715.82</v>
      </c>
      <c r="T189" s="110">
        <v>3730.35</v>
      </c>
    </row>
    <row r="190" spans="1:22" s="97" customFormat="1" ht="15" customHeight="1">
      <c r="A190" s="206"/>
      <c r="B190" s="223"/>
      <c r="C190" s="226"/>
      <c r="D190" s="223"/>
      <c r="E190" s="223"/>
      <c r="F190" s="104" t="s">
        <v>119</v>
      </c>
      <c r="G190" s="105">
        <v>1770</v>
      </c>
      <c r="H190" s="105">
        <v>1770</v>
      </c>
      <c r="I190" s="105">
        <v>1770</v>
      </c>
      <c r="J190" s="105">
        <v>1770</v>
      </c>
      <c r="K190" s="105">
        <v>1770</v>
      </c>
      <c r="L190" s="105">
        <v>1770</v>
      </c>
      <c r="M190" s="105">
        <v>1770</v>
      </c>
      <c r="N190" s="105">
        <v>1770</v>
      </c>
      <c r="O190" s="105">
        <v>1770</v>
      </c>
      <c r="P190" s="105">
        <v>1770</v>
      </c>
      <c r="Q190" s="105">
        <v>1770</v>
      </c>
      <c r="R190" s="105">
        <v>1770</v>
      </c>
      <c r="S190" s="110">
        <v>1770</v>
      </c>
      <c r="T190" s="110">
        <v>1770</v>
      </c>
    </row>
    <row r="191" spans="1:22" s="97" customFormat="1" ht="15" customHeight="1" thickBot="1">
      <c r="A191" s="206"/>
      <c r="B191" s="223"/>
      <c r="C191" s="226"/>
      <c r="D191" s="223"/>
      <c r="E191" s="223"/>
      <c r="F191" s="111" t="s">
        <v>120</v>
      </c>
      <c r="G191" s="105">
        <f>G187+G188+G190</f>
        <v>6648.7246666666661</v>
      </c>
      <c r="H191" s="105">
        <f t="shared" ref="H191" si="232">H187+H188+H190</f>
        <v>6744.7620000000006</v>
      </c>
      <c r="I191" s="105">
        <f t="shared" ref="I191" si="233">I187+I188+I190</f>
        <v>6843.6893333333337</v>
      </c>
      <c r="J191" s="105">
        <f t="shared" ref="J191" si="234">J187+J188+J190</f>
        <v>6945.0859999999993</v>
      </c>
      <c r="K191" s="105">
        <f t="shared" ref="K191" si="235">K187+K188+K190</f>
        <v>7049.1906666666673</v>
      </c>
      <c r="L191" s="105">
        <f t="shared" ref="L191" si="236">L187+L188+L190</f>
        <v>7156.355333333333</v>
      </c>
      <c r="M191" s="105">
        <f t="shared" ref="M191" si="237">M187+M188+M190</f>
        <v>7266.3393333333333</v>
      </c>
      <c r="N191" s="105">
        <f t="shared" ref="N191" si="238">N187+N188+N190</f>
        <v>7379.1926666666668</v>
      </c>
      <c r="O191" s="105">
        <f t="shared" ref="O191" si="239">O187+O188+O190</f>
        <v>7495.3793333333333</v>
      </c>
      <c r="P191" s="105">
        <f t="shared" ref="P191" si="240">P187+P188+P190</f>
        <v>7614.2186666666666</v>
      </c>
      <c r="Q191" s="105">
        <f t="shared" ref="Q191" si="241">Q187+Q188+Q190</f>
        <v>7739.0586666666668</v>
      </c>
      <c r="R191" s="105">
        <f t="shared" ref="R191" si="242">R187+R188+R190</f>
        <v>7867.2913333333336</v>
      </c>
      <c r="S191" s="110">
        <f t="shared" ref="S191" si="243">S187+S188+S190</f>
        <v>7998.8966666666665</v>
      </c>
      <c r="T191" s="110">
        <f t="shared" ref="T191" si="244">T187+T188+T190</f>
        <v>8134.1013333333331</v>
      </c>
    </row>
    <row r="192" spans="1:22" s="97" customFormat="1" ht="15" customHeight="1" thickBot="1">
      <c r="A192" s="207"/>
      <c r="B192" s="224"/>
      <c r="C192" s="227"/>
      <c r="D192" s="224"/>
      <c r="E192" s="224"/>
      <c r="F192" s="125" t="s">
        <v>121</v>
      </c>
      <c r="G192" s="112">
        <f t="shared" ref="G192:T192" si="245">G187+G189+G190</f>
        <v>8588.4946666666656</v>
      </c>
      <c r="H192" s="112">
        <f t="shared" si="245"/>
        <v>8684.5319999999992</v>
      </c>
      <c r="I192" s="112">
        <f t="shared" si="245"/>
        <v>8783.4593333333323</v>
      </c>
      <c r="J192" s="112">
        <f t="shared" si="245"/>
        <v>8884.8559999999998</v>
      </c>
      <c r="K192" s="112">
        <f t="shared" si="245"/>
        <v>8988.9606666666659</v>
      </c>
      <c r="L192" s="112">
        <f t="shared" si="245"/>
        <v>9096.1253333333334</v>
      </c>
      <c r="M192" s="112">
        <f t="shared" si="245"/>
        <v>9206.1093333333338</v>
      </c>
      <c r="N192" s="112">
        <f t="shared" si="245"/>
        <v>9318.9626666666663</v>
      </c>
      <c r="O192" s="112">
        <f t="shared" si="245"/>
        <v>9435.1493333333347</v>
      </c>
      <c r="P192" s="112">
        <f t="shared" si="245"/>
        <v>9553.988666666668</v>
      </c>
      <c r="Q192" s="112">
        <f t="shared" si="245"/>
        <v>9678.8286666666663</v>
      </c>
      <c r="R192" s="112">
        <f t="shared" si="245"/>
        <v>9807.0613333333331</v>
      </c>
      <c r="S192" s="113">
        <f t="shared" si="245"/>
        <v>9938.6666666666661</v>
      </c>
      <c r="T192" s="113">
        <f t="shared" si="245"/>
        <v>10073.871333333333</v>
      </c>
    </row>
    <row r="193" spans="1:21" s="97" customFormat="1" ht="15" customHeight="1">
      <c r="A193" s="218" t="s">
        <v>92</v>
      </c>
      <c r="B193" s="157"/>
      <c r="C193" s="154"/>
      <c r="D193" s="155"/>
      <c r="E193" s="155"/>
      <c r="F193" s="114" t="s">
        <v>112</v>
      </c>
      <c r="G193" s="115">
        <v>16.11</v>
      </c>
      <c r="H193" s="115">
        <f>G193*1.025</f>
        <v>16.512749999999997</v>
      </c>
      <c r="I193" s="115">
        <f t="shared" ref="I193:T193" si="246">H193*1.025</f>
        <v>16.925568749999996</v>
      </c>
      <c r="J193" s="115">
        <f t="shared" si="246"/>
        <v>17.348707968749995</v>
      </c>
      <c r="K193" s="115">
        <f t="shared" si="246"/>
        <v>17.782425667968742</v>
      </c>
      <c r="L193" s="115">
        <f t="shared" si="246"/>
        <v>18.226986309667957</v>
      </c>
      <c r="M193" s="115">
        <f t="shared" si="246"/>
        <v>18.682660967409653</v>
      </c>
      <c r="N193" s="115">
        <f t="shared" si="246"/>
        <v>19.149727491594891</v>
      </c>
      <c r="O193" s="115">
        <f t="shared" si="246"/>
        <v>19.628470678884764</v>
      </c>
      <c r="P193" s="115">
        <f t="shared" si="246"/>
        <v>20.119182445856882</v>
      </c>
      <c r="Q193" s="115">
        <f t="shared" si="246"/>
        <v>20.622162007003304</v>
      </c>
      <c r="R193" s="115">
        <f t="shared" si="246"/>
        <v>21.137716057178384</v>
      </c>
      <c r="S193" s="115">
        <f t="shared" si="246"/>
        <v>21.666158958607841</v>
      </c>
      <c r="T193" s="116">
        <f t="shared" si="246"/>
        <v>22.207812932573034</v>
      </c>
      <c r="U193" s="97" t="s">
        <v>140</v>
      </c>
    </row>
    <row r="194" spans="1:21" s="97" customFormat="1" ht="15" customHeight="1">
      <c r="A194" s="206"/>
      <c r="B194" s="149"/>
      <c r="C194" s="147"/>
      <c r="D194" s="148"/>
      <c r="E194" s="148"/>
      <c r="F194" s="117" t="s">
        <v>114</v>
      </c>
      <c r="G194" s="118">
        <f>G193*2080/12</f>
        <v>2792.3999999999996</v>
      </c>
      <c r="H194" s="118">
        <f t="shared" ref="H194:T194" si="247">H193*2080/12</f>
        <v>2862.2099999999996</v>
      </c>
      <c r="I194" s="118">
        <f t="shared" si="247"/>
        <v>2933.765249999999</v>
      </c>
      <c r="J194" s="118">
        <f t="shared" si="247"/>
        <v>3007.1093812499989</v>
      </c>
      <c r="K194" s="118">
        <f t="shared" si="247"/>
        <v>3082.2871157812483</v>
      </c>
      <c r="L194" s="118">
        <f t="shared" si="247"/>
        <v>3159.3442936757797</v>
      </c>
      <c r="M194" s="118">
        <f t="shared" si="247"/>
        <v>3238.3279010176734</v>
      </c>
      <c r="N194" s="118">
        <f t="shared" si="247"/>
        <v>3319.2860985431143</v>
      </c>
      <c r="O194" s="118">
        <f t="shared" si="247"/>
        <v>3402.268251006692</v>
      </c>
      <c r="P194" s="118">
        <f t="shared" si="247"/>
        <v>3487.32495728186</v>
      </c>
      <c r="Q194" s="118">
        <f t="shared" si="247"/>
        <v>3574.5080812139058</v>
      </c>
      <c r="R194" s="118">
        <f t="shared" si="247"/>
        <v>3663.8707832442528</v>
      </c>
      <c r="S194" s="118">
        <f t="shared" si="247"/>
        <v>3755.4675528253592</v>
      </c>
      <c r="T194" s="119">
        <f t="shared" si="247"/>
        <v>3849.3542416459927</v>
      </c>
    </row>
    <row r="195" spans="1:21" s="97" customFormat="1" ht="15" customHeight="1">
      <c r="A195" s="206"/>
      <c r="B195" s="149"/>
      <c r="C195" s="147"/>
      <c r="D195" s="148"/>
      <c r="E195" s="148"/>
      <c r="F195" s="117" t="s">
        <v>115</v>
      </c>
      <c r="G195" s="118">
        <v>1576.25</v>
      </c>
      <c r="H195" s="118">
        <v>1584.62</v>
      </c>
      <c r="I195" s="118">
        <v>1593.39</v>
      </c>
      <c r="J195" s="118">
        <v>1602.17</v>
      </c>
      <c r="K195" s="118">
        <v>1611.01</v>
      </c>
      <c r="L195" s="118">
        <v>1620.4</v>
      </c>
      <c r="M195" s="118">
        <v>1629.8</v>
      </c>
      <c r="N195" s="118">
        <v>1639.6</v>
      </c>
      <c r="O195" s="118">
        <v>1649.61</v>
      </c>
      <c r="P195" s="118">
        <v>1659.83</v>
      </c>
      <c r="Q195" s="118">
        <v>1670.25</v>
      </c>
      <c r="R195" s="118">
        <v>1681.08</v>
      </c>
      <c r="S195" s="118">
        <v>1692.27</v>
      </c>
      <c r="T195" s="119">
        <v>1703.51</v>
      </c>
    </row>
    <row r="196" spans="1:21" s="97" customFormat="1" ht="15" customHeight="1">
      <c r="A196" s="206"/>
      <c r="B196" s="149"/>
      <c r="C196" s="147"/>
      <c r="D196" s="148"/>
      <c r="E196" s="148"/>
      <c r="F196" s="117" t="s">
        <v>124</v>
      </c>
      <c r="G196" s="118">
        <v>3516.02</v>
      </c>
      <c r="H196" s="118">
        <v>3524.39</v>
      </c>
      <c r="I196" s="118">
        <v>3533.16</v>
      </c>
      <c r="J196" s="118">
        <v>3541.94</v>
      </c>
      <c r="K196" s="118">
        <v>3550.78</v>
      </c>
      <c r="L196" s="118">
        <v>3560.17</v>
      </c>
      <c r="M196" s="118">
        <v>3569.57</v>
      </c>
      <c r="N196" s="118">
        <v>3579.37</v>
      </c>
      <c r="O196" s="118">
        <v>3589.38</v>
      </c>
      <c r="P196" s="118">
        <v>3599.6</v>
      </c>
      <c r="Q196" s="118">
        <v>3610.02</v>
      </c>
      <c r="R196" s="118">
        <v>3620.85</v>
      </c>
      <c r="S196" s="118">
        <v>3632.04</v>
      </c>
      <c r="T196" s="119">
        <v>3643.28</v>
      </c>
    </row>
    <row r="197" spans="1:21" s="97" customFormat="1" ht="15" customHeight="1">
      <c r="A197" s="206"/>
      <c r="B197" s="149"/>
      <c r="C197" s="147"/>
      <c r="D197" s="148"/>
      <c r="E197" s="148"/>
      <c r="F197" s="117" t="s">
        <v>119</v>
      </c>
      <c r="G197" s="118">
        <v>1770</v>
      </c>
      <c r="H197" s="118">
        <v>1770</v>
      </c>
      <c r="I197" s="118">
        <v>1770</v>
      </c>
      <c r="J197" s="118">
        <v>1770</v>
      </c>
      <c r="K197" s="118">
        <v>1770</v>
      </c>
      <c r="L197" s="118">
        <v>1770</v>
      </c>
      <c r="M197" s="118">
        <v>1770</v>
      </c>
      <c r="N197" s="118">
        <v>1770</v>
      </c>
      <c r="O197" s="118">
        <v>1770</v>
      </c>
      <c r="P197" s="118">
        <v>1770</v>
      </c>
      <c r="Q197" s="118">
        <v>1770</v>
      </c>
      <c r="R197" s="118">
        <v>1770</v>
      </c>
      <c r="S197" s="118">
        <v>1770</v>
      </c>
      <c r="T197" s="119">
        <v>1770</v>
      </c>
    </row>
    <row r="198" spans="1:21" s="97" customFormat="1" ht="15" customHeight="1">
      <c r="A198" s="206"/>
      <c r="B198" s="149"/>
      <c r="C198" s="147"/>
      <c r="D198" s="148"/>
      <c r="E198" s="148"/>
      <c r="F198" s="117" t="s">
        <v>120</v>
      </c>
      <c r="G198" s="118">
        <f>G194+G195+G197</f>
        <v>6138.65</v>
      </c>
      <c r="H198" s="118">
        <f t="shared" ref="H198:T198" si="248">H194+H195+H197</f>
        <v>6216.83</v>
      </c>
      <c r="I198" s="118">
        <f t="shared" si="248"/>
        <v>6297.1552499999989</v>
      </c>
      <c r="J198" s="118">
        <f t="shared" si="248"/>
        <v>6379.2793812499986</v>
      </c>
      <c r="K198" s="118">
        <f t="shared" si="248"/>
        <v>6463.2971157812481</v>
      </c>
      <c r="L198" s="118">
        <f t="shared" si="248"/>
        <v>6549.7442936757798</v>
      </c>
      <c r="M198" s="118">
        <f t="shared" si="248"/>
        <v>6638.1279010176731</v>
      </c>
      <c r="N198" s="118">
        <f t="shared" si="248"/>
        <v>6728.8860985431147</v>
      </c>
      <c r="O198" s="118">
        <f t="shared" si="248"/>
        <v>6821.8782510066922</v>
      </c>
      <c r="P198" s="118">
        <f t="shared" si="248"/>
        <v>6917.1549572818603</v>
      </c>
      <c r="Q198" s="118">
        <f t="shared" si="248"/>
        <v>7014.7580812139058</v>
      </c>
      <c r="R198" s="118">
        <f t="shared" si="248"/>
        <v>7114.9507832442523</v>
      </c>
      <c r="S198" s="118">
        <f t="shared" si="248"/>
        <v>7217.7375528253597</v>
      </c>
      <c r="T198" s="119">
        <f t="shared" si="248"/>
        <v>7322.8642416459925</v>
      </c>
    </row>
    <row r="199" spans="1:21" s="97" customFormat="1" ht="15" customHeight="1" thickBot="1">
      <c r="A199" s="207"/>
      <c r="B199" s="150"/>
      <c r="C199" s="151"/>
      <c r="D199" s="152"/>
      <c r="E199" s="152"/>
      <c r="F199" s="120" t="s">
        <v>121</v>
      </c>
      <c r="G199" s="121">
        <f t="shared" ref="G199:T199" si="249">G194+G196+G197</f>
        <v>8078.42</v>
      </c>
      <c r="H199" s="121">
        <f t="shared" si="249"/>
        <v>8156.5999999999995</v>
      </c>
      <c r="I199" s="121">
        <f t="shared" si="249"/>
        <v>8236.9252499999984</v>
      </c>
      <c r="J199" s="121">
        <f t="shared" si="249"/>
        <v>8319.049381249999</v>
      </c>
      <c r="K199" s="121">
        <f t="shared" si="249"/>
        <v>8403.0671157812485</v>
      </c>
      <c r="L199" s="121">
        <f t="shared" si="249"/>
        <v>8489.5142936757802</v>
      </c>
      <c r="M199" s="121">
        <f t="shared" si="249"/>
        <v>8577.8979010176736</v>
      </c>
      <c r="N199" s="121">
        <f t="shared" si="249"/>
        <v>8668.6560985431133</v>
      </c>
      <c r="O199" s="121">
        <f t="shared" si="249"/>
        <v>8761.6482510066926</v>
      </c>
      <c r="P199" s="121">
        <f t="shared" si="249"/>
        <v>8856.924957281859</v>
      </c>
      <c r="Q199" s="121">
        <f t="shared" si="249"/>
        <v>8954.5280812139063</v>
      </c>
      <c r="R199" s="121">
        <f t="shared" si="249"/>
        <v>9054.7207832442527</v>
      </c>
      <c r="S199" s="121">
        <f t="shared" si="249"/>
        <v>9157.5075528253583</v>
      </c>
      <c r="T199" s="122">
        <f t="shared" si="249"/>
        <v>9262.634241645992</v>
      </c>
    </row>
    <row r="200" spans="1:21" s="97" customFormat="1" ht="15" hidden="1" customHeight="1">
      <c r="A200" s="206" t="s">
        <v>59</v>
      </c>
      <c r="B200" s="208" t="s">
        <v>60</v>
      </c>
      <c r="C200" s="211" t="s">
        <v>61</v>
      </c>
      <c r="D200" s="208" t="s">
        <v>62</v>
      </c>
      <c r="E200" s="219">
        <v>75</v>
      </c>
      <c r="F200" s="140" t="s">
        <v>112</v>
      </c>
      <c r="G200" s="141">
        <v>41.0852</v>
      </c>
      <c r="H200" s="141">
        <v>42.198300000000003</v>
      </c>
      <c r="I200" s="141">
        <v>43.330500000000001</v>
      </c>
      <c r="J200" s="141">
        <v>44.494300000000003</v>
      </c>
      <c r="K200" s="142">
        <v>45.589300000000001</v>
      </c>
      <c r="L200" s="142">
        <v>46.916400000000003</v>
      </c>
      <c r="M200" s="142">
        <v>48.177900000000001</v>
      </c>
      <c r="N200" s="142">
        <v>49.472200000000001</v>
      </c>
      <c r="O200" s="142">
        <v>50.812899999999999</v>
      </c>
      <c r="P200" s="142">
        <v>52.1798</v>
      </c>
      <c r="Q200" s="142">
        <v>53.5839</v>
      </c>
      <c r="R200" s="142">
        <v>55.025700000000001</v>
      </c>
      <c r="S200" s="142">
        <v>56.506999999999998</v>
      </c>
      <c r="T200" s="143">
        <v>58.028199999999998</v>
      </c>
    </row>
    <row r="201" spans="1:21" s="97" customFormat="1" hidden="1">
      <c r="A201" s="206"/>
      <c r="B201" s="209"/>
      <c r="C201" s="212"/>
      <c r="D201" s="209"/>
      <c r="E201" s="219"/>
      <c r="F201" s="117" t="s">
        <v>114</v>
      </c>
      <c r="G201" s="118">
        <f>G200*2080/12</f>
        <v>7121.434666666667</v>
      </c>
      <c r="H201" s="118">
        <f t="shared" ref="H201:T201" si="250">H200*2080/12</f>
        <v>7314.3720000000003</v>
      </c>
      <c r="I201" s="118">
        <f t="shared" si="250"/>
        <v>7510.62</v>
      </c>
      <c r="J201" s="118">
        <f t="shared" si="250"/>
        <v>7712.3453333333337</v>
      </c>
      <c r="K201" s="118">
        <f t="shared" si="250"/>
        <v>7902.1453333333338</v>
      </c>
      <c r="L201" s="118">
        <f t="shared" si="250"/>
        <v>8132.1760000000004</v>
      </c>
      <c r="M201" s="118">
        <f t="shared" si="250"/>
        <v>8350.8360000000011</v>
      </c>
      <c r="N201" s="118">
        <f t="shared" si="250"/>
        <v>8575.1813333333339</v>
      </c>
      <c r="O201" s="118">
        <f t="shared" si="250"/>
        <v>8807.5693333333329</v>
      </c>
      <c r="P201" s="118">
        <f t="shared" si="250"/>
        <v>9044.4986666666664</v>
      </c>
      <c r="Q201" s="118">
        <f t="shared" si="250"/>
        <v>9287.8760000000002</v>
      </c>
      <c r="R201" s="118">
        <f t="shared" si="250"/>
        <v>9537.7880000000005</v>
      </c>
      <c r="S201" s="118">
        <f t="shared" si="250"/>
        <v>9794.5466666666671</v>
      </c>
      <c r="T201" s="119">
        <f t="shared" si="250"/>
        <v>10058.221333333333</v>
      </c>
    </row>
    <row r="202" spans="1:21" s="97" customFormat="1" hidden="1">
      <c r="A202" s="206"/>
      <c r="B202" s="209"/>
      <c r="C202" s="212"/>
      <c r="D202" s="209"/>
      <c r="E202" s="219"/>
      <c r="F202" s="117" t="s">
        <v>115</v>
      </c>
      <c r="G202" s="118">
        <v>2097.21</v>
      </c>
      <c r="H202" s="118">
        <v>2120.3200000000002</v>
      </c>
      <c r="I202" s="118">
        <v>2143.98</v>
      </c>
      <c r="J202" s="118">
        <v>2168.11</v>
      </c>
      <c r="K202" s="118">
        <v>2191.0100000000002</v>
      </c>
      <c r="L202" s="118">
        <v>2218.7800000000002</v>
      </c>
      <c r="M202" s="118">
        <v>2245.11</v>
      </c>
      <c r="N202" s="118">
        <v>2271.92</v>
      </c>
      <c r="O202" s="118">
        <v>2299.89</v>
      </c>
      <c r="P202" s="118">
        <v>2328.48</v>
      </c>
      <c r="Q202" s="118">
        <v>2399.38</v>
      </c>
      <c r="R202" s="118">
        <v>2387.9299999999998</v>
      </c>
      <c r="S202" s="118">
        <v>2418.79</v>
      </c>
      <c r="T202" s="119">
        <v>2450.35</v>
      </c>
    </row>
    <row r="203" spans="1:21" s="97" customFormat="1" hidden="1">
      <c r="A203" s="206"/>
      <c r="B203" s="209"/>
      <c r="C203" s="212"/>
      <c r="D203" s="209"/>
      <c r="E203" s="219"/>
      <c r="F203" s="117" t="s">
        <v>124</v>
      </c>
      <c r="G203" s="118">
        <v>4036.98</v>
      </c>
      <c r="H203" s="118">
        <v>4060.09</v>
      </c>
      <c r="I203" s="118">
        <v>4083.75</v>
      </c>
      <c r="J203" s="118">
        <v>4107.88</v>
      </c>
      <c r="K203" s="118">
        <v>4130.78</v>
      </c>
      <c r="L203" s="118">
        <v>4158.55</v>
      </c>
      <c r="M203" s="118">
        <v>4184.88</v>
      </c>
      <c r="N203" s="118">
        <v>4211.6899999999996</v>
      </c>
      <c r="O203" s="118">
        <v>4238.66</v>
      </c>
      <c r="P203" s="118">
        <v>4268.25</v>
      </c>
      <c r="Q203" s="118">
        <v>4339.1499999999996</v>
      </c>
      <c r="R203" s="118">
        <v>4327.7</v>
      </c>
      <c r="S203" s="118">
        <v>4358.5600000000004</v>
      </c>
      <c r="T203" s="119">
        <v>4390.12</v>
      </c>
    </row>
    <row r="204" spans="1:21" s="97" customFormat="1" hidden="1">
      <c r="A204" s="206"/>
      <c r="B204" s="209"/>
      <c r="C204" s="212"/>
      <c r="D204" s="209"/>
      <c r="E204" s="219"/>
      <c r="F204" s="117" t="s">
        <v>119</v>
      </c>
      <c r="G204" s="118">
        <v>1770</v>
      </c>
      <c r="H204" s="118">
        <v>1770</v>
      </c>
      <c r="I204" s="118">
        <v>1770</v>
      </c>
      <c r="J204" s="118">
        <v>1770</v>
      </c>
      <c r="K204" s="118">
        <v>1770</v>
      </c>
      <c r="L204" s="118">
        <v>1770</v>
      </c>
      <c r="M204" s="118">
        <v>1770</v>
      </c>
      <c r="N204" s="118">
        <v>1770</v>
      </c>
      <c r="O204" s="118">
        <v>1770</v>
      </c>
      <c r="P204" s="118">
        <v>1770</v>
      </c>
      <c r="Q204" s="118">
        <v>1770</v>
      </c>
      <c r="R204" s="118">
        <v>1770</v>
      </c>
      <c r="S204" s="118">
        <v>1770</v>
      </c>
      <c r="T204" s="118">
        <v>1770</v>
      </c>
    </row>
    <row r="205" spans="1:21" s="97" customFormat="1" hidden="1">
      <c r="A205" s="206"/>
      <c r="B205" s="209"/>
      <c r="C205" s="212"/>
      <c r="D205" s="209"/>
      <c r="E205" s="219"/>
      <c r="F205" s="117" t="s">
        <v>120</v>
      </c>
      <c r="G205" s="118">
        <f>G201+G202+G204</f>
        <v>10988.644666666667</v>
      </c>
      <c r="H205" s="118">
        <f t="shared" ref="H205" si="251">H201+H202+H204</f>
        <v>11204.692000000001</v>
      </c>
      <c r="I205" s="118">
        <f t="shared" ref="I205" si="252">I201+I202+I204</f>
        <v>11424.6</v>
      </c>
      <c r="J205" s="118">
        <f t="shared" ref="J205" si="253">J201+J202+J204</f>
        <v>11650.455333333333</v>
      </c>
      <c r="K205" s="118">
        <f t="shared" ref="K205" si="254">K201+K202+K204</f>
        <v>11863.155333333334</v>
      </c>
      <c r="L205" s="118">
        <f t="shared" ref="L205" si="255">L201+L202+L204</f>
        <v>12120.956</v>
      </c>
      <c r="M205" s="118">
        <f t="shared" ref="M205" si="256">M201+M202+M204</f>
        <v>12365.946000000002</v>
      </c>
      <c r="N205" s="118">
        <f t="shared" ref="N205" si="257">N201+N202+N204</f>
        <v>12617.101333333334</v>
      </c>
      <c r="O205" s="118">
        <f t="shared" ref="O205" si="258">O201+O202+O204</f>
        <v>12877.459333333332</v>
      </c>
      <c r="P205" s="118">
        <f t="shared" ref="P205" si="259">P201+P202+P204</f>
        <v>13142.978666666666</v>
      </c>
      <c r="Q205" s="118">
        <f t="shared" ref="Q205" si="260">Q201+Q202+Q204</f>
        <v>13457.256000000001</v>
      </c>
      <c r="R205" s="118">
        <f t="shared" ref="R205" si="261">R201+R202+R204</f>
        <v>13695.718000000001</v>
      </c>
      <c r="S205" s="118">
        <f t="shared" ref="S205" si="262">S201+S202+S204</f>
        <v>13983.336666666666</v>
      </c>
      <c r="T205" s="119">
        <f t="shared" ref="T205" si="263">T201+T202+T204</f>
        <v>14278.571333333333</v>
      </c>
    </row>
    <row r="206" spans="1:21" s="97" customFormat="1" ht="15.75" hidden="1" thickBot="1">
      <c r="A206" s="207"/>
      <c r="B206" s="210"/>
      <c r="C206" s="213"/>
      <c r="D206" s="210"/>
      <c r="E206" s="220"/>
      <c r="F206" s="120" t="s">
        <v>121</v>
      </c>
      <c r="G206" s="121">
        <f t="shared" ref="G206:T206" si="264">G201+G203+G204</f>
        <v>12928.414666666667</v>
      </c>
      <c r="H206" s="121">
        <f t="shared" si="264"/>
        <v>13144.462</v>
      </c>
      <c r="I206" s="121">
        <f t="shared" si="264"/>
        <v>13364.369999999999</v>
      </c>
      <c r="J206" s="121">
        <f t="shared" si="264"/>
        <v>13590.225333333334</v>
      </c>
      <c r="K206" s="121">
        <f t="shared" si="264"/>
        <v>13802.925333333333</v>
      </c>
      <c r="L206" s="121">
        <f t="shared" si="264"/>
        <v>14060.726000000001</v>
      </c>
      <c r="M206" s="121">
        <f t="shared" si="264"/>
        <v>14305.716</v>
      </c>
      <c r="N206" s="121">
        <f t="shared" si="264"/>
        <v>14556.871333333333</v>
      </c>
      <c r="O206" s="121">
        <f t="shared" si="264"/>
        <v>14816.229333333333</v>
      </c>
      <c r="P206" s="121">
        <f t="shared" si="264"/>
        <v>15082.748666666666</v>
      </c>
      <c r="Q206" s="121">
        <f t="shared" si="264"/>
        <v>15397.026</v>
      </c>
      <c r="R206" s="121">
        <f t="shared" si="264"/>
        <v>15635.488000000001</v>
      </c>
      <c r="S206" s="121">
        <f t="shared" si="264"/>
        <v>15923.106666666667</v>
      </c>
      <c r="T206" s="122">
        <f t="shared" si="264"/>
        <v>16218.341333333334</v>
      </c>
    </row>
    <row r="210" spans="7:7">
      <c r="G210" s="103"/>
    </row>
    <row r="211" spans="7:7">
      <c r="G211" s="103"/>
    </row>
  </sheetData>
  <mergeCells count="70">
    <mergeCell ref="G9:G10"/>
    <mergeCell ref="A4:A10"/>
    <mergeCell ref="B4:B10"/>
    <mergeCell ref="C4:C10"/>
    <mergeCell ref="D4:D10"/>
    <mergeCell ref="E4:E10"/>
    <mergeCell ref="D25:D31"/>
    <mergeCell ref="E25:E31"/>
    <mergeCell ref="A32:A38"/>
    <mergeCell ref="B32:B38"/>
    <mergeCell ref="C32:C38"/>
    <mergeCell ref="D32:D38"/>
    <mergeCell ref="E32:E38"/>
    <mergeCell ref="A25:A31"/>
    <mergeCell ref="B25:B31"/>
    <mergeCell ref="C25:C31"/>
    <mergeCell ref="E39:E45"/>
    <mergeCell ref="A102:A108"/>
    <mergeCell ref="B102:B108"/>
    <mergeCell ref="C102:C108"/>
    <mergeCell ref="D102:D108"/>
    <mergeCell ref="E102:E108"/>
    <mergeCell ref="A67:A73"/>
    <mergeCell ref="A95:A101"/>
    <mergeCell ref="A74:A80"/>
    <mergeCell ref="A81:A87"/>
    <mergeCell ref="A88:A94"/>
    <mergeCell ref="A46:A52"/>
    <mergeCell ref="A53:A59"/>
    <mergeCell ref="A60:A66"/>
    <mergeCell ref="D39:D45"/>
    <mergeCell ref="E109:E115"/>
    <mergeCell ref="A116:A122"/>
    <mergeCell ref="B116:B122"/>
    <mergeCell ref="C116:C122"/>
    <mergeCell ref="D116:D122"/>
    <mergeCell ref="E116:E122"/>
    <mergeCell ref="C109:C115"/>
    <mergeCell ref="D109:D115"/>
    <mergeCell ref="E200:E206"/>
    <mergeCell ref="A123:A129"/>
    <mergeCell ref="B123:B129"/>
    <mergeCell ref="C123:C129"/>
    <mergeCell ref="D123:D129"/>
    <mergeCell ref="E123:E129"/>
    <mergeCell ref="A186:A192"/>
    <mergeCell ref="B186:B192"/>
    <mergeCell ref="C186:C192"/>
    <mergeCell ref="D186:D192"/>
    <mergeCell ref="E186:E192"/>
    <mergeCell ref="A193:A199"/>
    <mergeCell ref="D200:D206"/>
    <mergeCell ref="A137:A143"/>
    <mergeCell ref="A144:A150"/>
    <mergeCell ref="A130:A136"/>
    <mergeCell ref="A11:A17"/>
    <mergeCell ref="A200:A206"/>
    <mergeCell ref="B200:B206"/>
    <mergeCell ref="C200:C206"/>
    <mergeCell ref="A39:A45"/>
    <mergeCell ref="B39:B45"/>
    <mergeCell ref="C39:C45"/>
    <mergeCell ref="A18:A24"/>
    <mergeCell ref="A165:A171"/>
    <mergeCell ref="A172:A178"/>
    <mergeCell ref="A179:A185"/>
    <mergeCell ref="A151:A157"/>
    <mergeCell ref="A158:A164"/>
    <mergeCell ref="A109:A115"/>
    <mergeCell ref="B109:B115"/>
  </mergeCells>
  <pageMargins left="0.25" right="0.25" top="0.75" bottom="0.75" header="0.3" footer="0.3"/>
  <pageSetup paperSize="5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9"/>
  <sheetViews>
    <sheetView showGridLines="0" zoomScale="90" zoomScaleNormal="90" workbookViewId="0">
      <selection activeCell="C6" sqref="C6"/>
    </sheetView>
  </sheetViews>
  <sheetFormatPr defaultRowHeight="15"/>
  <cols>
    <col min="1" max="1" width="2.140625" customWidth="1"/>
    <col min="2" max="2" width="24.7109375" customWidth="1"/>
    <col min="3" max="3" width="19.5703125" customWidth="1"/>
    <col min="4" max="4" width="15.85546875" customWidth="1"/>
    <col min="5" max="5" width="11.7109375" customWidth="1"/>
    <col min="6" max="6" width="12.7109375" customWidth="1"/>
    <col min="7" max="7" width="15" bestFit="1" customWidth="1"/>
    <col min="8" max="8" width="9.42578125" style="19" customWidth="1"/>
    <col min="9" max="9" width="15.42578125" customWidth="1"/>
  </cols>
  <sheetData>
    <row r="1" spans="2:10">
      <c r="B1" s="17" t="s">
        <v>63</v>
      </c>
      <c r="C1" s="15"/>
      <c r="D1" s="15"/>
      <c r="E1" s="15"/>
      <c r="F1" s="15"/>
      <c r="G1" s="15"/>
      <c r="H1" s="21"/>
      <c r="I1" s="15"/>
      <c r="J1" s="20"/>
    </row>
    <row r="2" spans="2:10">
      <c r="B2" s="17" t="s">
        <v>141</v>
      </c>
      <c r="C2" s="15"/>
      <c r="D2" s="15"/>
      <c r="E2" s="15"/>
      <c r="F2" s="15"/>
      <c r="G2" s="15"/>
      <c r="H2" s="21"/>
      <c r="I2" s="15"/>
    </row>
    <row r="4" spans="2:10" s="16" customFormat="1" ht="31.5" customHeight="1">
      <c r="B4" s="18" t="s">
        <v>142</v>
      </c>
      <c r="C4" s="18" t="s">
        <v>143</v>
      </c>
      <c r="D4" s="18" t="s">
        <v>67</v>
      </c>
      <c r="E4" s="25" t="s">
        <v>68</v>
      </c>
      <c r="F4" s="18" t="s">
        <v>144</v>
      </c>
      <c r="G4" s="18" t="s">
        <v>145</v>
      </c>
      <c r="H4" s="27" t="s">
        <v>146</v>
      </c>
      <c r="I4" s="18" t="s">
        <v>71</v>
      </c>
    </row>
    <row r="5" spans="2:10" ht="24" customHeight="1">
      <c r="B5" s="29" t="s">
        <v>50</v>
      </c>
      <c r="C5" s="30" t="s">
        <v>147</v>
      </c>
      <c r="D5" s="41">
        <v>42219</v>
      </c>
      <c r="E5" s="40" t="s">
        <v>74</v>
      </c>
      <c r="F5" s="23">
        <f>'Exhibit A Table 2 Salary Sched'!J$117+'Exhibit A Table 2 Salary Sched'!J$118+'Exhibit A Table 2 Salary Sched'!J$120</f>
        <v>8329.0300000000007</v>
      </c>
      <c r="G5" s="23">
        <f>'Exhibit A Table 2 Salary Sched'!J$117+'Exhibit A Table 2 Salary Sched'!J$119+'Exhibit A Table 2 Salary Sched'!J$120</f>
        <v>10268.799999999999</v>
      </c>
      <c r="H5" s="42">
        <v>4</v>
      </c>
      <c r="I5" s="40" t="s">
        <v>148</v>
      </c>
    </row>
    <row r="6" spans="2:10" ht="24" customHeight="1">
      <c r="B6" s="29" t="s">
        <v>50</v>
      </c>
      <c r="C6" s="30" t="s">
        <v>135</v>
      </c>
      <c r="D6" s="41">
        <v>42219</v>
      </c>
      <c r="E6" s="40" t="s">
        <v>74</v>
      </c>
      <c r="F6" s="23">
        <f>'Exhibit A Table 2 Salary Sched'!J$117+'Exhibit A Table 2 Salary Sched'!J$118+'Exhibit A Table 2 Salary Sched'!J$120</f>
        <v>8329.0300000000007</v>
      </c>
      <c r="G6" s="23">
        <f>'Exhibit A Table 2 Salary Sched'!J$117+'Exhibit A Table 2 Salary Sched'!J$119+'Exhibit A Table 2 Salary Sched'!J$120</f>
        <v>10268.799999999999</v>
      </c>
      <c r="H6" s="42">
        <v>4</v>
      </c>
      <c r="I6" s="40" t="s">
        <v>148</v>
      </c>
    </row>
    <row r="7" spans="2:10" ht="24" customHeight="1">
      <c r="B7" s="29" t="s">
        <v>50</v>
      </c>
      <c r="C7" s="30" t="s">
        <v>136</v>
      </c>
      <c r="D7" s="41">
        <v>42219</v>
      </c>
      <c r="E7" s="40" t="s">
        <v>74</v>
      </c>
      <c r="F7" s="23">
        <f>'Exhibit A Table 2 Salary Sched'!J$117+'Exhibit A Table 2 Salary Sched'!J$118+'Exhibit A Table 2 Salary Sched'!J$120</f>
        <v>8329.0300000000007</v>
      </c>
      <c r="G7" s="23">
        <f>'Exhibit A Table 2 Salary Sched'!J$117+'Exhibit A Table 2 Salary Sched'!J$119+'Exhibit A Table 2 Salary Sched'!J$120</f>
        <v>10268.799999999999</v>
      </c>
      <c r="H7" s="42">
        <v>4</v>
      </c>
      <c r="I7" s="40" t="s">
        <v>148</v>
      </c>
    </row>
    <row r="8" spans="2:10" ht="24" customHeight="1">
      <c r="B8" s="29" t="s">
        <v>50</v>
      </c>
      <c r="C8" s="30" t="s">
        <v>133</v>
      </c>
      <c r="D8" s="41">
        <v>42278</v>
      </c>
      <c r="E8" s="40" t="s">
        <v>74</v>
      </c>
      <c r="F8" s="23">
        <f>'Exhibit A Table 2 Salary Sched'!$G$117+'Exhibit A Table 2 Salary Sched'!$G$118+'Exhibit A Table 2 Salary Sched'!$G$120</f>
        <v>7944.5500000000011</v>
      </c>
      <c r="G8" s="23">
        <f>'Exhibit A Table 2 Salary Sched'!$G$117+'Exhibit A Table 2 Salary Sched'!$G$119+'Exhibit A Table 2 Salary Sched'!$G$120</f>
        <v>9884.32</v>
      </c>
      <c r="H8" s="42">
        <v>1</v>
      </c>
      <c r="I8" s="40" t="s">
        <v>148</v>
      </c>
    </row>
    <row r="9" spans="2:10" ht="24" customHeight="1">
      <c r="B9" s="29" t="s">
        <v>50</v>
      </c>
      <c r="C9" s="30" t="s">
        <v>149</v>
      </c>
      <c r="D9" s="41">
        <v>42044</v>
      </c>
      <c r="E9" s="40" t="s">
        <v>74</v>
      </c>
      <c r="F9" s="23">
        <f>'Exhibit A Table 2 Salary Sched'!$M$117+'Exhibit A Table 2 Salary Sched'!$M118+'Exhibit A Table 2 Salary Sched'!$M120</f>
        <v>8725.2799999999988</v>
      </c>
      <c r="G9" s="23">
        <f>'Exhibit A Table 2 Salary Sched'!$M$117+'Exhibit A Table 2 Salary Sched'!$M119+'Exhibit A Table 2 Salary Sched'!$M120</f>
        <v>10665.05</v>
      </c>
      <c r="H9" s="42">
        <v>7</v>
      </c>
      <c r="I9" s="40" t="s">
        <v>148</v>
      </c>
    </row>
    <row r="10" spans="2:10" ht="24" customHeight="1">
      <c r="B10" s="29" t="s">
        <v>50</v>
      </c>
      <c r="C10" s="30" t="s">
        <v>134</v>
      </c>
      <c r="D10" s="41">
        <v>42044</v>
      </c>
      <c r="E10" s="40" t="s">
        <v>74</v>
      </c>
      <c r="F10" s="23">
        <f>'Exhibit A Table 2 Salary Sched'!$G$117+'Exhibit A Table 2 Salary Sched'!$G$118+'Exhibit A Table 2 Salary Sched'!$G$120</f>
        <v>7944.5500000000011</v>
      </c>
      <c r="G10" s="23">
        <f>'Exhibit A Table 2 Salary Sched'!$G$117+'Exhibit A Table 2 Salary Sched'!$G$119+'Exhibit A Table 2 Salary Sched'!$G$120</f>
        <v>9884.32</v>
      </c>
      <c r="H10" s="42">
        <v>1</v>
      </c>
      <c r="I10" s="40" t="s">
        <v>148</v>
      </c>
    </row>
    <row r="11" spans="2:10" ht="24" customHeight="1">
      <c r="B11" s="29" t="s">
        <v>50</v>
      </c>
      <c r="C11" s="30" t="s">
        <v>137</v>
      </c>
      <c r="D11" s="41">
        <v>42219</v>
      </c>
      <c r="E11" s="40" t="s">
        <v>74</v>
      </c>
      <c r="F11" s="23">
        <f>'Exhibit A Table 2 Salary Sched'!J$117+'Exhibit A Table 2 Salary Sched'!J$118+'Exhibit A Table 2 Salary Sched'!J$120</f>
        <v>8329.0300000000007</v>
      </c>
      <c r="G11" s="23">
        <f>'Exhibit A Table 2 Salary Sched'!J$117+'Exhibit A Table 2 Salary Sched'!J$119+'Exhibit A Table 2 Salary Sched'!J$120</f>
        <v>10268.799999999999</v>
      </c>
      <c r="H11" s="42">
        <v>4</v>
      </c>
      <c r="I11" s="40" t="s">
        <v>148</v>
      </c>
    </row>
    <row r="12" spans="2:10" ht="24" customHeight="1">
      <c r="B12" s="29" t="s">
        <v>76</v>
      </c>
      <c r="C12" s="30" t="s">
        <v>130</v>
      </c>
      <c r="D12" s="41">
        <v>42394</v>
      </c>
      <c r="E12" s="40" t="s">
        <v>74</v>
      </c>
      <c r="F12" s="23">
        <f>'Exhibit A Table 2 Salary Sched'!$R103+'Exhibit A Table 2 Salary Sched'!$R104+'Exhibit A Table 2 Salary Sched'!$R106</f>
        <v>11271.05</v>
      </c>
      <c r="G12" s="23">
        <f>'Exhibit A Table 2 Salary Sched'!$R103+'Exhibit A Table 2 Salary Sched'!$R105+'Exhibit A Table 2 Salary Sched'!$R106</f>
        <v>13210.82</v>
      </c>
      <c r="H12" s="42">
        <v>12</v>
      </c>
      <c r="I12" s="40" t="s">
        <v>148</v>
      </c>
    </row>
    <row r="13" spans="2:10" ht="34.5" customHeight="1">
      <c r="B13" s="29" t="s">
        <v>150</v>
      </c>
      <c r="C13" s="30" t="s">
        <v>113</v>
      </c>
      <c r="D13" s="41">
        <v>42005</v>
      </c>
      <c r="E13" s="40" t="s">
        <v>74</v>
      </c>
      <c r="F13" s="24">
        <v>19408</v>
      </c>
      <c r="G13" s="24">
        <v>19408</v>
      </c>
      <c r="H13" s="22" t="s">
        <v>83</v>
      </c>
      <c r="I13" s="28" t="s">
        <v>151</v>
      </c>
    </row>
    <row r="14" spans="2:10" ht="24" customHeight="1">
      <c r="B14" s="29" t="s">
        <v>27</v>
      </c>
      <c r="C14" s="30" t="s">
        <v>123</v>
      </c>
      <c r="D14" s="41">
        <v>42461</v>
      </c>
      <c r="E14" s="41" t="s">
        <v>74</v>
      </c>
      <c r="F14" s="24" t="e">
        <f>'Exhibit A Table 2 Salary Sched'!#REF!+'Exhibit A Table 2 Salary Sched'!#REF!+'Exhibit A Table 2 Salary Sched'!#REF!</f>
        <v>#REF!</v>
      </c>
      <c r="G14" s="24" t="e">
        <f>'Exhibit A Table 2 Salary Sched'!#REF!+'Exhibit A Table 2 Salary Sched'!#REF!+'Exhibit A Table 2 Salary Sched'!#REF!</f>
        <v>#REF!</v>
      </c>
      <c r="H14" s="26">
        <v>6</v>
      </c>
      <c r="I14" s="40" t="s">
        <v>148</v>
      </c>
    </row>
    <row r="15" spans="2:10" ht="24" customHeight="1">
      <c r="B15" s="29" t="s">
        <v>56</v>
      </c>
      <c r="C15" s="30" t="s">
        <v>152</v>
      </c>
      <c r="D15" s="41">
        <v>42156</v>
      </c>
      <c r="E15" s="40" t="s">
        <v>74</v>
      </c>
      <c r="F15" s="23">
        <f>'Exhibit A Table 2 Salary Sched'!$M187+'Exhibit A Table 2 Salary Sched'!$M188+'Exhibit A Table 2 Salary Sched'!$M190</f>
        <v>7266.3393333333333</v>
      </c>
      <c r="G15" s="23">
        <f>'Exhibit A Table 2 Salary Sched'!$M187+'Exhibit A Table 2 Salary Sched'!$M189+'Exhibit A Table 2 Salary Sched'!$M190</f>
        <v>9206.1093333333338</v>
      </c>
      <c r="H15" s="42">
        <v>7</v>
      </c>
      <c r="I15" s="40" t="s">
        <v>148</v>
      </c>
    </row>
    <row r="16" spans="2:10" ht="24" customHeight="1">
      <c r="B16" s="29" t="s">
        <v>34</v>
      </c>
      <c r="C16" s="30" t="s">
        <v>127</v>
      </c>
      <c r="D16" s="41">
        <v>42009</v>
      </c>
      <c r="E16" s="40" t="s">
        <v>74</v>
      </c>
      <c r="F16" s="23">
        <f>'Exhibit A Table 2 Salary Sched'!$M$33+'Exhibit A Table 2 Salary Sched'!$M34+'Exhibit A Table 2 Salary Sched'!$M36</f>
        <v>10313.736666666668</v>
      </c>
      <c r="G16" s="23">
        <f>'Exhibit A Table 2 Salary Sched'!$M$33+'Exhibit A Table 2 Salary Sched'!$M35+'Exhibit A Table 2 Salary Sched'!$M36</f>
        <v>12253.506666666666</v>
      </c>
      <c r="H16" s="42">
        <v>7</v>
      </c>
      <c r="I16" s="40" t="s">
        <v>148</v>
      </c>
    </row>
    <row r="17" spans="2:9" ht="24" customHeight="1">
      <c r="B17" s="29" t="s">
        <v>53</v>
      </c>
      <c r="C17" s="30" t="s">
        <v>138</v>
      </c>
      <c r="D17" s="41">
        <v>42005</v>
      </c>
      <c r="E17" s="40" t="s">
        <v>74</v>
      </c>
      <c r="F17" s="23">
        <f>'Exhibit A Table 2 Salary Sched'!$Q124+'Exhibit A Table 2 Salary Sched'!$Q125+'Exhibit A Table 2 Salary Sched'!$Q127</f>
        <v>10313.736666666668</v>
      </c>
      <c r="G17" s="23">
        <f>'Exhibit A Table 2 Salary Sched'!$Q124+'Exhibit A Table 2 Salary Sched'!$Q126+'Exhibit A Table 2 Salary Sched'!$Q127</f>
        <v>12253.506666666666</v>
      </c>
      <c r="H17" s="42">
        <v>11</v>
      </c>
      <c r="I17" s="40" t="s">
        <v>148</v>
      </c>
    </row>
    <row r="18" spans="2:9" ht="24" customHeight="1">
      <c r="B18" s="29" t="s">
        <v>37</v>
      </c>
      <c r="C18" s="30" t="s">
        <v>128</v>
      </c>
      <c r="D18" s="41">
        <v>42005</v>
      </c>
      <c r="E18" s="40" t="s">
        <v>74</v>
      </c>
      <c r="F18" s="23">
        <f>'Exhibit A Table 2 Salary Sched'!$M$40+'Exhibit A Table 2 Salary Sched'!$M34+'Exhibit A Table 2 Salary Sched'!$M36</f>
        <v>12773.336666666666</v>
      </c>
      <c r="G18" s="23">
        <f>'Exhibit A Table 2 Salary Sched'!$M$40+'Exhibit A Table 2 Salary Sched'!$M35+'Exhibit A Table 2 Salary Sched'!$M36</f>
        <v>14713.106666666667</v>
      </c>
      <c r="H18" s="42">
        <v>7</v>
      </c>
      <c r="I18" s="40" t="s">
        <v>153</v>
      </c>
    </row>
    <row r="19" spans="2:9" ht="24" customHeight="1">
      <c r="B19" s="29" t="s">
        <v>91</v>
      </c>
      <c r="C19" s="30" t="s">
        <v>154</v>
      </c>
      <c r="D19" s="41">
        <v>42324</v>
      </c>
      <c r="E19" s="40" t="s">
        <v>87</v>
      </c>
      <c r="F19" s="24">
        <v>185</v>
      </c>
      <c r="G19" s="24">
        <v>185</v>
      </c>
      <c r="H19" s="42" t="s">
        <v>83</v>
      </c>
      <c r="I19" s="40" t="s">
        <v>148</v>
      </c>
    </row>
  </sheetData>
  <pageMargins left="0.7" right="0.7" top="0.75" bottom="0.75" header="0.3" footer="0.3"/>
  <pageSetup orientation="portrait" r:id="rId1"/>
  <ignoredErrors>
    <ignoredError sqref="F9:G9" formula="1"/>
  </ignoredErrors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V35"/>
  <sheetViews>
    <sheetView showGridLines="0" zoomScaleNormal="100" workbookViewId="0">
      <selection activeCell="E38" sqref="E38"/>
    </sheetView>
  </sheetViews>
  <sheetFormatPr defaultRowHeight="15"/>
  <cols>
    <col min="1" max="1" width="2.140625" customWidth="1"/>
    <col min="2" max="2" width="35.7109375" bestFit="1" customWidth="1"/>
    <col min="3" max="3" width="18.7109375" customWidth="1"/>
    <col min="4" max="4" width="12.140625" style="33" customWidth="1"/>
    <col min="5" max="6" width="12.7109375" style="33" customWidth="1"/>
    <col min="7" max="7" width="12.28515625" style="33" customWidth="1"/>
    <col min="8" max="8" width="12" customWidth="1"/>
    <col min="9" max="9" width="13.28515625" customWidth="1"/>
    <col min="10" max="10" width="12.28515625" customWidth="1"/>
    <col min="11" max="11" width="11.5703125" customWidth="1"/>
    <col min="12" max="12" width="11.42578125" style="19" customWidth="1"/>
    <col min="13" max="13" width="15.85546875" customWidth="1"/>
    <col min="15" max="15" width="13.28515625" customWidth="1"/>
    <col min="16" max="16" width="11.42578125" style="34" customWidth="1"/>
    <col min="17" max="17" width="1.5703125" hidden="1" customWidth="1"/>
    <col min="18" max="18" width="12" hidden="1" customWidth="1"/>
    <col min="19" max="19" width="0" hidden="1" customWidth="1"/>
    <col min="20" max="20" width="12.140625" hidden="1" customWidth="1"/>
    <col min="21" max="21" width="0" hidden="1" customWidth="1"/>
    <col min="22" max="22" width="10" hidden="1" customWidth="1"/>
  </cols>
  <sheetData>
    <row r="1" spans="1:22">
      <c r="A1" s="242" t="s">
        <v>155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</row>
    <row r="2" spans="1:22">
      <c r="A2" s="202" t="s">
        <v>204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</row>
    <row r="3" spans="1:22" ht="15.75" thickBot="1">
      <c r="A3" s="241" t="s">
        <v>156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</row>
    <row r="4" spans="1:22" s="16" customFormat="1" ht="58.5" customHeight="1">
      <c r="B4" s="63" t="s">
        <v>157</v>
      </c>
      <c r="C4" s="64" t="s">
        <v>143</v>
      </c>
      <c r="D4" s="64" t="s">
        <v>158</v>
      </c>
      <c r="E4" s="64" t="s">
        <v>159</v>
      </c>
      <c r="F4" s="64" t="s">
        <v>160</v>
      </c>
      <c r="G4" s="64" t="s">
        <v>161</v>
      </c>
      <c r="H4" s="64" t="s">
        <v>162</v>
      </c>
      <c r="I4" s="64" t="s">
        <v>68</v>
      </c>
      <c r="J4" s="64" t="s">
        <v>205</v>
      </c>
      <c r="K4" s="64" t="s">
        <v>163</v>
      </c>
      <c r="L4" s="64" t="s">
        <v>164</v>
      </c>
      <c r="M4" s="64" t="s">
        <v>165</v>
      </c>
      <c r="N4" s="65" t="s">
        <v>206</v>
      </c>
      <c r="O4" s="64" t="s">
        <v>166</v>
      </c>
      <c r="P4" s="66" t="s">
        <v>167</v>
      </c>
    </row>
    <row r="5" spans="1:22" ht="24" customHeight="1">
      <c r="B5" s="67" t="s">
        <v>46</v>
      </c>
      <c r="C5" s="30" t="s">
        <v>168</v>
      </c>
      <c r="D5" s="41">
        <v>42219</v>
      </c>
      <c r="E5" s="41">
        <v>42219</v>
      </c>
      <c r="F5" s="44">
        <f ca="1">(TODAY()-Table134[[#This Row],[C-IV Project Start Date
(Use for Vacation Accrual)]])*0.0328767</f>
        <v>48.920529600000002</v>
      </c>
      <c r="G5" s="46">
        <f t="shared" ref="G5:G16" ca="1" si="0">IF($F5&gt;120,$T$12,IF($F5&gt;61,$T$11,IF($F5&lt;60,$T$10)))</f>
        <v>4.6153846153846156E-2</v>
      </c>
      <c r="H5" s="41">
        <v>43525</v>
      </c>
      <c r="I5" s="40" t="s">
        <v>74</v>
      </c>
      <c r="J5" s="24">
        <f>'Exhibit A Table 2 Salary Sched'!J110</f>
        <v>5492.9333333333334</v>
      </c>
      <c r="K5" s="24">
        <v>1901.11</v>
      </c>
      <c r="L5" s="24">
        <v>1770</v>
      </c>
      <c r="M5" s="55">
        <f>ROUND(SUM(Table134[[#This Row],[Salary as of 7/19/19]:[RGS Fee]]),0)</f>
        <v>9164</v>
      </c>
      <c r="N5" s="42">
        <v>4</v>
      </c>
      <c r="O5" s="56">
        <v>0</v>
      </c>
      <c r="P5" s="68">
        <f>Table134[[#This Row],[Annual Travel Budget]]/12</f>
        <v>0</v>
      </c>
    </row>
    <row r="6" spans="1:22" ht="24" customHeight="1">
      <c r="B6" s="67" t="s">
        <v>46</v>
      </c>
      <c r="C6" s="30" t="s">
        <v>169</v>
      </c>
      <c r="D6" s="41"/>
      <c r="E6" s="41"/>
      <c r="F6" s="44"/>
      <c r="G6" s="46">
        <f t="shared" si="0"/>
        <v>4.6153846153846156E-2</v>
      </c>
      <c r="H6" s="41"/>
      <c r="I6" s="40" t="s">
        <v>74</v>
      </c>
      <c r="J6" s="24">
        <v>0</v>
      </c>
      <c r="K6" s="24">
        <v>0</v>
      </c>
      <c r="L6" s="24">
        <v>0</v>
      </c>
      <c r="M6" s="55">
        <f>ROUND(SUM(Table134[[#This Row],[Salary as of 7/19/19]:[RGS Fee]]),0)</f>
        <v>0</v>
      </c>
      <c r="N6" s="42" t="s">
        <v>83</v>
      </c>
      <c r="O6" s="56">
        <v>0</v>
      </c>
      <c r="P6" s="68">
        <f>Table134[[#This Row],[Annual Travel Budget]]/12</f>
        <v>0</v>
      </c>
    </row>
    <row r="7" spans="1:22" ht="24" customHeight="1">
      <c r="B7" s="67" t="s">
        <v>46</v>
      </c>
      <c r="C7" s="30" t="s">
        <v>170</v>
      </c>
      <c r="D7" s="41">
        <v>42005</v>
      </c>
      <c r="E7" s="41">
        <v>42016</v>
      </c>
      <c r="F7" s="44">
        <f ca="1">(TODAY()-Table134[[#This Row],[C-IV Project Start Date
(Use for Vacation Accrual)]])*0.0328767</f>
        <v>55.5944997</v>
      </c>
      <c r="G7" s="46">
        <f t="shared" ca="1" si="0"/>
        <v>4.6153846153846156E-2</v>
      </c>
      <c r="H7" s="41">
        <v>43525</v>
      </c>
      <c r="I7" s="40" t="s">
        <v>74</v>
      </c>
      <c r="J7" s="24">
        <f>'Exhibit A Table 2 Salary Sched'!J110</f>
        <v>5492.9333333333334</v>
      </c>
      <c r="K7" s="24">
        <v>2645.2</v>
      </c>
      <c r="L7" s="24">
        <v>1770</v>
      </c>
      <c r="M7" s="55">
        <f>ROUNDUP(SUM(Table134[[#This Row],[Salary as of 7/19/19]:[RGS Fee]]),0)</f>
        <v>9909</v>
      </c>
      <c r="N7" s="42">
        <v>4</v>
      </c>
      <c r="O7" s="56">
        <v>0</v>
      </c>
      <c r="P7" s="68">
        <f>Table134[[#This Row],[Annual Travel Budget]]/12</f>
        <v>0</v>
      </c>
    </row>
    <row r="8" spans="1:22" ht="24" customHeight="1">
      <c r="B8" s="67" t="s">
        <v>46</v>
      </c>
      <c r="C8" s="30" t="s">
        <v>171</v>
      </c>
      <c r="D8" s="41">
        <v>42044</v>
      </c>
      <c r="E8" s="41">
        <v>42044</v>
      </c>
      <c r="F8" s="44">
        <f ca="1">(TODAY()-Table134[[#This Row],[C-IV Project Start Date
(Use for Vacation Accrual)]])*0.0328767</f>
        <v>54.673952100000001</v>
      </c>
      <c r="G8" s="46">
        <f t="shared" ca="1" si="0"/>
        <v>4.6153846153846156E-2</v>
      </c>
      <c r="H8" s="41">
        <v>43525</v>
      </c>
      <c r="I8" s="40" t="s">
        <v>74</v>
      </c>
      <c r="J8" s="24">
        <f>'Exhibit A Table 2 Salary Sched'!J110</f>
        <v>5492.9333333333334</v>
      </c>
      <c r="K8" s="24">
        <v>3118.88</v>
      </c>
      <c r="L8" s="24">
        <v>1770</v>
      </c>
      <c r="M8" s="55">
        <f>ROUND(SUM(Table134[[#This Row],[Salary as of 7/19/19]:[RGS Fee]]),0)</f>
        <v>10382</v>
      </c>
      <c r="N8" s="42">
        <v>4</v>
      </c>
      <c r="O8" s="56">
        <v>0</v>
      </c>
      <c r="P8" s="68">
        <f>Table134[[#This Row],[Annual Travel Budget]]/12</f>
        <v>0</v>
      </c>
      <c r="Q8" s="38">
        <v>2</v>
      </c>
    </row>
    <row r="9" spans="1:22" ht="24" customHeight="1">
      <c r="B9" s="67" t="s">
        <v>46</v>
      </c>
      <c r="C9" s="30" t="s">
        <v>172</v>
      </c>
      <c r="D9" s="41">
        <v>42219</v>
      </c>
      <c r="E9" s="41">
        <v>42219</v>
      </c>
      <c r="F9" s="44">
        <f ca="1">(TODAY()-Table134[[#This Row],[C-IV Project Start Date
(Use for Vacation Accrual)]])*0.0328767</f>
        <v>48.920529600000002</v>
      </c>
      <c r="G9" s="46">
        <f t="shared" ca="1" si="0"/>
        <v>4.6153846153846156E-2</v>
      </c>
      <c r="H9" s="41">
        <v>43525</v>
      </c>
      <c r="I9" s="40" t="s">
        <v>74</v>
      </c>
      <c r="J9" s="24">
        <f>'Exhibit A Table 2 Salary Sched'!J110</f>
        <v>5492.9333333333334</v>
      </c>
      <c r="K9" s="24">
        <v>3118.88</v>
      </c>
      <c r="L9" s="24">
        <v>1770</v>
      </c>
      <c r="M9" s="55">
        <f>ROUND(SUM(Table134[[#This Row],[Salary as of 7/19/19]:[RGS Fee]]),0)</f>
        <v>10382</v>
      </c>
      <c r="N9" s="42">
        <v>4</v>
      </c>
      <c r="O9" s="56">
        <v>0</v>
      </c>
      <c r="P9" s="68">
        <f>Table134[[#This Row],[Annual Travel Budget]]/12</f>
        <v>0</v>
      </c>
      <c r="R9" s="85" t="s">
        <v>173</v>
      </c>
      <c r="S9" s="45" t="s">
        <v>174</v>
      </c>
      <c r="T9" s="85" t="s">
        <v>175</v>
      </c>
      <c r="U9" s="45" t="s">
        <v>176</v>
      </c>
      <c r="V9" s="45" t="s">
        <v>177</v>
      </c>
    </row>
    <row r="10" spans="1:22" ht="24" customHeight="1">
      <c r="B10" s="67" t="s">
        <v>46</v>
      </c>
      <c r="C10" s="30" t="s">
        <v>178</v>
      </c>
      <c r="D10" s="41">
        <v>42005</v>
      </c>
      <c r="E10" s="41">
        <v>42009</v>
      </c>
      <c r="F10" s="44">
        <f ca="1">(TODAY()-Table134[[#This Row],[C-IV Project Start Date
(Use for Vacation Accrual)]])*0.0328767</f>
        <v>55.824636600000005</v>
      </c>
      <c r="G10" s="46">
        <f t="shared" ca="1" si="0"/>
        <v>4.6153846153846156E-2</v>
      </c>
      <c r="H10" s="41">
        <v>43525</v>
      </c>
      <c r="I10" s="40" t="s">
        <v>74</v>
      </c>
      <c r="J10" s="24">
        <f>'Exhibit A Table 2 Salary Sched'!J110</f>
        <v>5492.9333333333334</v>
      </c>
      <c r="K10" s="24">
        <v>1901.11</v>
      </c>
      <c r="L10" s="24">
        <v>1770</v>
      </c>
      <c r="M10" s="55">
        <f>ROUND(SUM(Table134[[#This Row],[Salary as of 7/19/19]:[RGS Fee]]),0)</f>
        <v>9164</v>
      </c>
      <c r="N10" s="42">
        <v>4</v>
      </c>
      <c r="O10" s="56">
        <v>2000</v>
      </c>
      <c r="P10" s="68">
        <f>Table134[[#This Row],[Annual Travel Budget]]/12</f>
        <v>166.66666666666666</v>
      </c>
      <c r="Q10" s="38">
        <v>1</v>
      </c>
      <c r="R10" s="43">
        <v>96</v>
      </c>
      <c r="S10" s="43">
        <v>2080</v>
      </c>
      <c r="T10" s="47">
        <f>R10/S10</f>
        <v>4.6153846153846156E-2</v>
      </c>
      <c r="U10" s="43" t="s">
        <v>179</v>
      </c>
      <c r="V10" s="49">
        <f>R10/8</f>
        <v>12</v>
      </c>
    </row>
    <row r="11" spans="1:22" ht="24" customHeight="1">
      <c r="B11" s="67" t="s">
        <v>76</v>
      </c>
      <c r="C11" s="30" t="s">
        <v>180</v>
      </c>
      <c r="D11" s="41">
        <v>42736</v>
      </c>
      <c r="E11" s="41">
        <v>36983</v>
      </c>
      <c r="F11" s="44">
        <f ca="1">(TODAY()-Table134[[#This Row],[C-IV Project Start Date
(Use for Vacation Accrual)]])*0.0328767</f>
        <v>221.0629308</v>
      </c>
      <c r="G11" s="46">
        <f t="shared" ca="1" si="0"/>
        <v>7.6923076923076927E-2</v>
      </c>
      <c r="H11" s="41">
        <v>43525</v>
      </c>
      <c r="I11" s="41" t="s">
        <v>74</v>
      </c>
      <c r="J11" s="24">
        <f>'Exhibit A Table 2 Salary Sched'!P103</f>
        <v>7018.2666666666664</v>
      </c>
      <c r="K11" s="24">
        <v>2084.7399999999998</v>
      </c>
      <c r="L11" s="24">
        <v>1770</v>
      </c>
      <c r="M11" s="55">
        <f>ROUND(SUM(Table134[[#This Row],[Salary as of 7/19/19]:[RGS Fee]]),0)</f>
        <v>10873</v>
      </c>
      <c r="N11" s="42">
        <v>10</v>
      </c>
      <c r="O11" s="56">
        <v>0</v>
      </c>
      <c r="P11" s="68">
        <f>Table134[[#This Row],[Annual Travel Budget]]/12</f>
        <v>0</v>
      </c>
      <c r="R11" s="43">
        <v>148</v>
      </c>
      <c r="S11" s="43">
        <v>2080</v>
      </c>
      <c r="T11" s="47">
        <f t="shared" ref="T11:T12" si="1">R11/S11</f>
        <v>7.1153846153846151E-2</v>
      </c>
      <c r="U11" s="43" t="s">
        <v>181</v>
      </c>
      <c r="V11" s="49">
        <f t="shared" ref="V11:V12" si="2">R11/8</f>
        <v>18.5</v>
      </c>
    </row>
    <row r="12" spans="1:22" ht="24" customHeight="1">
      <c r="B12" s="67" t="s">
        <v>76</v>
      </c>
      <c r="C12" s="30" t="s">
        <v>182</v>
      </c>
      <c r="D12" s="41">
        <v>42394</v>
      </c>
      <c r="E12" s="41">
        <v>39329</v>
      </c>
      <c r="F12" s="44">
        <f ca="1">(TODAY()-Table134[[#This Row],[C-IV Project Start Date
(Use for Vacation Accrual)]])*0.0328767</f>
        <v>143.93419260000002</v>
      </c>
      <c r="G12" s="46">
        <f t="shared" ca="1" si="0"/>
        <v>7.6923076923076927E-2</v>
      </c>
      <c r="H12" s="41">
        <v>43466</v>
      </c>
      <c r="I12" s="40" t="s">
        <v>74</v>
      </c>
      <c r="J12" s="24">
        <f>'Exhibit A Table 2 Salary Sched'!T103</f>
        <v>7744.5333333333328</v>
      </c>
      <c r="K12" s="24">
        <v>2916.1</v>
      </c>
      <c r="L12" s="24">
        <v>1770</v>
      </c>
      <c r="M12" s="55">
        <f>ROUND(SUM(Table134[[#This Row],[Salary as of 7/19/19]:[RGS Fee]]),0)</f>
        <v>12431</v>
      </c>
      <c r="N12" s="42">
        <v>14</v>
      </c>
      <c r="O12" s="56">
        <v>3835</v>
      </c>
      <c r="P12" s="68">
        <f>Table134[[#This Row],[Annual Travel Budget]]/12</f>
        <v>319.58333333333331</v>
      </c>
      <c r="R12" s="43">
        <v>160</v>
      </c>
      <c r="S12" s="43">
        <v>2080</v>
      </c>
      <c r="T12" s="47">
        <f t="shared" si="1"/>
        <v>7.6923076923076927E-2</v>
      </c>
      <c r="U12" s="43" t="s">
        <v>183</v>
      </c>
      <c r="V12" s="49">
        <f t="shared" si="2"/>
        <v>20</v>
      </c>
    </row>
    <row r="13" spans="1:22" ht="24" customHeight="1">
      <c r="B13" s="67" t="s">
        <v>76</v>
      </c>
      <c r="C13" s="30" t="s">
        <v>184</v>
      </c>
      <c r="D13" s="41">
        <v>42736</v>
      </c>
      <c r="E13" s="41">
        <v>42736</v>
      </c>
      <c r="F13" s="44">
        <f ca="1">(TODAY()-Table134[[#This Row],[C-IV Project Start Date
(Use for Vacation Accrual)]])*0.0328767</f>
        <v>31.923275700000001</v>
      </c>
      <c r="G13" s="46">
        <f t="shared" ca="1" si="0"/>
        <v>4.6153846153846156E-2</v>
      </c>
      <c r="H13" s="41">
        <v>43525</v>
      </c>
      <c r="I13" s="41" t="s">
        <v>74</v>
      </c>
      <c r="J13" s="24">
        <f>'Exhibit A Table 2 Salary Sched'!R103</f>
        <v>7373.5999999999995</v>
      </c>
      <c r="K13" s="24">
        <v>2214.37</v>
      </c>
      <c r="L13" s="24">
        <v>1770</v>
      </c>
      <c r="M13" s="55">
        <f>ROUND(SUM(Table134[[#This Row],[Salary as of 7/19/19]:[RGS Fee]]),0)</f>
        <v>11358</v>
      </c>
      <c r="N13" s="42">
        <v>12</v>
      </c>
      <c r="O13" s="56">
        <v>0</v>
      </c>
      <c r="P13" s="68">
        <f>Table134[[#This Row],[Annual Travel Budget]]/12</f>
        <v>0</v>
      </c>
      <c r="R13" s="48"/>
    </row>
    <row r="14" spans="1:22" ht="24" customHeight="1">
      <c r="B14" s="67" t="s">
        <v>122</v>
      </c>
      <c r="C14" s="30" t="s">
        <v>185</v>
      </c>
      <c r="D14" s="41">
        <v>42461</v>
      </c>
      <c r="E14" s="41">
        <v>36955</v>
      </c>
      <c r="F14" s="44">
        <f ca="1">(TODAY()-Table134[[#This Row],[C-IV Project Start Date
(Use for Vacation Accrual)]])*0.0328767</f>
        <v>221.98347840000002</v>
      </c>
      <c r="G14" s="46">
        <f t="shared" ca="1" si="0"/>
        <v>7.6923076923076927E-2</v>
      </c>
      <c r="H14" s="41">
        <v>43525</v>
      </c>
      <c r="I14" s="41" t="s">
        <v>74</v>
      </c>
      <c r="J14" s="24">
        <f>'Exhibit A Table 2 Salary Sched'!R12</f>
        <v>12431.466666666667</v>
      </c>
      <c r="K14" s="24">
        <v>2731</v>
      </c>
      <c r="L14" s="24">
        <v>1770</v>
      </c>
      <c r="M14" s="55">
        <f>ROUNDUP(SUM(Table134[[#This Row],[Salary as of 7/19/19]:[RGS Fee]]),0)</f>
        <v>16933</v>
      </c>
      <c r="N14" s="26">
        <v>12</v>
      </c>
      <c r="O14" s="56">
        <f>4820*12</f>
        <v>57840</v>
      </c>
      <c r="P14" s="68">
        <f>Table134[[#This Row],[Annual Travel Budget]]/12</f>
        <v>4820</v>
      </c>
      <c r="R14" s="48"/>
    </row>
    <row r="15" spans="1:22" ht="24" customHeight="1">
      <c r="B15" s="67" t="s">
        <v>150</v>
      </c>
      <c r="C15" s="30" t="s">
        <v>186</v>
      </c>
      <c r="D15" s="41">
        <v>41884</v>
      </c>
      <c r="E15" s="41">
        <v>41884</v>
      </c>
      <c r="F15" s="44">
        <f ca="1">(TODAY()-Table134[[#This Row],[C-IV Project Start Date
(Use for Vacation Accrual)]])*0.0328767</f>
        <v>59.934224100000002</v>
      </c>
      <c r="G15" s="46">
        <f t="shared" ca="1" si="0"/>
        <v>4.6153846153846156E-2</v>
      </c>
      <c r="H15" s="41">
        <v>43466</v>
      </c>
      <c r="I15" s="40" t="s">
        <v>74</v>
      </c>
      <c r="J15" s="24">
        <f>19408-3617-1624</f>
        <v>14167</v>
      </c>
      <c r="K15" s="24">
        <v>5159.13</v>
      </c>
      <c r="L15" s="24">
        <v>1770</v>
      </c>
      <c r="M15" s="55">
        <f>ROUND(SUM(Table134[[#This Row],[Salary as of 7/19/19]:[RGS Fee]]),0)</f>
        <v>21096</v>
      </c>
      <c r="N15" s="22" t="s">
        <v>83</v>
      </c>
      <c r="O15" s="56">
        <v>12000</v>
      </c>
      <c r="P15" s="68">
        <f>Table134[[#This Row],[Annual Travel Budget]]/12</f>
        <v>1000</v>
      </c>
      <c r="R15" s="48"/>
    </row>
    <row r="16" spans="1:22" ht="24" customHeight="1">
      <c r="B16" s="67" t="s">
        <v>56</v>
      </c>
      <c r="C16" s="30" t="s">
        <v>169</v>
      </c>
      <c r="D16" s="41"/>
      <c r="E16" s="41"/>
      <c r="F16" s="44"/>
      <c r="G16" s="46">
        <f t="shared" si="0"/>
        <v>4.6153846153846156E-2</v>
      </c>
      <c r="H16" s="41"/>
      <c r="I16" s="40" t="s">
        <v>74</v>
      </c>
      <c r="J16" s="24">
        <v>0</v>
      </c>
      <c r="K16" s="24">
        <v>0</v>
      </c>
      <c r="L16" s="24">
        <v>0</v>
      </c>
      <c r="M16" s="55">
        <f>ROUNDUP(SUM(Table134[[#This Row],[Salary as of 7/19/19]:[RGS Fee]]),0)</f>
        <v>0</v>
      </c>
      <c r="N16" s="42" t="s">
        <v>83</v>
      </c>
      <c r="O16" s="56">
        <v>0</v>
      </c>
      <c r="P16" s="68">
        <f>Table134[[#This Row],[Annual Travel Budget]]/12</f>
        <v>0</v>
      </c>
      <c r="R16" s="48"/>
    </row>
    <row r="17" spans="2:18" ht="24" customHeight="1">
      <c r="B17" s="67" t="s">
        <v>91</v>
      </c>
      <c r="C17" s="30" t="s">
        <v>187</v>
      </c>
      <c r="D17" s="41">
        <v>42324</v>
      </c>
      <c r="E17" s="40" t="s">
        <v>83</v>
      </c>
      <c r="F17" s="44" t="s">
        <v>83</v>
      </c>
      <c r="G17" s="44" t="s">
        <v>83</v>
      </c>
      <c r="H17" s="41">
        <v>42430</v>
      </c>
      <c r="I17" s="40" t="s">
        <v>87</v>
      </c>
      <c r="J17" s="24">
        <v>185</v>
      </c>
      <c r="K17" s="24">
        <v>0</v>
      </c>
      <c r="L17" s="24">
        <v>0</v>
      </c>
      <c r="M17" s="55">
        <v>0</v>
      </c>
      <c r="N17" s="42" t="s">
        <v>83</v>
      </c>
      <c r="O17" s="56">
        <f>2333*12</f>
        <v>27996</v>
      </c>
      <c r="P17" s="68">
        <f>Table134[[#This Row],[Annual Travel Budget]]/12</f>
        <v>2333</v>
      </c>
      <c r="R17" s="48"/>
    </row>
    <row r="18" spans="2:18" ht="24" customHeight="1">
      <c r="B18" s="67" t="s">
        <v>92</v>
      </c>
      <c r="C18" s="30" t="s">
        <v>188</v>
      </c>
      <c r="D18" s="41">
        <v>43431</v>
      </c>
      <c r="E18" s="41">
        <v>43431</v>
      </c>
      <c r="F18" s="44">
        <f ca="1">(TODAY()-Table134[[#This Row],[C-IV Project Start Date
(Use for Vacation Accrual)]])*0.0328767</f>
        <v>9.0739692000000005</v>
      </c>
      <c r="G18" s="46">
        <f ca="1">IF($F18&gt;120,$T$12,IF($F18&gt;61,$T$11,IF($F18&lt;60,$T$10)))</f>
        <v>4.6153846153846156E-2</v>
      </c>
      <c r="H18" s="41">
        <v>43466</v>
      </c>
      <c r="I18" s="41" t="s">
        <v>74</v>
      </c>
      <c r="J18" s="24">
        <f>'Exhibit A Table 2 Salary Sched'!G194</f>
        <v>2792.3999999999996</v>
      </c>
      <c r="K18" s="24">
        <v>1846.25</v>
      </c>
      <c r="L18" s="24">
        <v>1770</v>
      </c>
      <c r="M18" s="55">
        <f>ROUND(SUM(Table134[[#This Row],[Salary as of 7/19/19]:[RGS Fee]]),0)</f>
        <v>6409</v>
      </c>
      <c r="N18" s="42">
        <v>1</v>
      </c>
      <c r="O18" s="56">
        <v>0</v>
      </c>
      <c r="P18" s="68">
        <f>Table134[[#This Row],[Annual Travel Budget]]/12</f>
        <v>0</v>
      </c>
      <c r="R18" s="48"/>
    </row>
    <row r="19" spans="2:18" ht="24" customHeight="1">
      <c r="B19" s="67" t="s">
        <v>95</v>
      </c>
      <c r="C19" s="30" t="s">
        <v>189</v>
      </c>
      <c r="D19" s="41">
        <v>42005</v>
      </c>
      <c r="E19" s="41">
        <v>38291</v>
      </c>
      <c r="F19" s="44">
        <f ca="1">(TODAY()-Table134[[#This Row],[C-IV Project Start Date
(Use for Vacation Accrual)]])*0.0328767</f>
        <v>178.06020720000001</v>
      </c>
      <c r="G19" s="46">
        <f ca="1">IF($F19&gt;120,$T$12,IF($F19&gt;61,$T$11,IF($F19&lt;60,$T$10)))</f>
        <v>7.6923076923076927E-2</v>
      </c>
      <c r="H19" s="41">
        <v>43525</v>
      </c>
      <c r="I19" s="40" t="s">
        <v>74</v>
      </c>
      <c r="J19" s="24">
        <f>'Exhibit A Table 2 Salary Sched'!S33</f>
        <v>7555.6000000000013</v>
      </c>
      <c r="K19" s="24">
        <v>2149.3200000000002</v>
      </c>
      <c r="L19" s="24">
        <v>1770</v>
      </c>
      <c r="M19" s="55">
        <f>ROUND(SUM(Table134[[#This Row],[Salary as of 7/19/19]:[RGS Fee]]),0)</f>
        <v>11475</v>
      </c>
      <c r="N19" s="42">
        <v>13</v>
      </c>
      <c r="O19" s="56">
        <v>12000</v>
      </c>
      <c r="P19" s="68">
        <f>Table134[[#This Row],[Annual Travel Budget]]/12</f>
        <v>1000</v>
      </c>
      <c r="R19" s="48"/>
    </row>
    <row r="20" spans="2:18" ht="24" customHeight="1">
      <c r="B20" s="67" t="s">
        <v>53</v>
      </c>
      <c r="C20" s="30" t="s">
        <v>190</v>
      </c>
      <c r="D20" s="41">
        <v>41821</v>
      </c>
      <c r="E20" s="41">
        <v>39329</v>
      </c>
      <c r="F20" s="44">
        <f ca="1">(TODAY()-Table134[[#This Row],[C-IV Project Start Date
(Use for Vacation Accrual)]])*0.0328767</f>
        <v>143.93419260000002</v>
      </c>
      <c r="G20" s="46">
        <f ca="1">IF($F20&gt;120,$T$12,IF($F20&gt;61,$T$11,IF($F20&lt;60,$T$10)))</f>
        <v>7.6923076923076927E-2</v>
      </c>
      <c r="H20" s="41">
        <v>43525</v>
      </c>
      <c r="I20" s="40" t="s">
        <v>74</v>
      </c>
      <c r="J20" s="24">
        <f>'Exhibit A Table 2 Salary Sched'!T124</f>
        <v>7018.2666666666664</v>
      </c>
      <c r="K20" s="24">
        <v>2828.83</v>
      </c>
      <c r="L20" s="24">
        <v>1770</v>
      </c>
      <c r="M20" s="55">
        <f>ROUND(SUM(Table134[[#This Row],[Salary as of 7/19/19]:[RGS Fee]]),0)</f>
        <v>11617</v>
      </c>
      <c r="N20" s="42">
        <v>14</v>
      </c>
      <c r="O20" s="56">
        <v>0</v>
      </c>
      <c r="P20" s="68">
        <f>Table134[[#This Row],[Annual Travel Budget]]/12</f>
        <v>0</v>
      </c>
      <c r="R20" s="48"/>
    </row>
    <row r="21" spans="2:18" ht="24" customHeight="1">
      <c r="B21" s="67" t="s">
        <v>37</v>
      </c>
      <c r="C21" s="30" t="s">
        <v>191</v>
      </c>
      <c r="D21" s="41">
        <v>41505</v>
      </c>
      <c r="E21" s="41">
        <v>39329</v>
      </c>
      <c r="F21" s="44">
        <f ca="1">(TODAY()-Table134[[#This Row],[C-IV Project Start Date
(Use for Vacation Accrual)]])*0.0328767</f>
        <v>143.93419260000002</v>
      </c>
      <c r="G21" s="46">
        <f ca="1">IF($F21&gt;120,$T$12,IF($F21&gt;61,$T$11,IF($F21&lt;60,$T$10)))</f>
        <v>7.6923076923076927E-2</v>
      </c>
      <c r="H21" s="41">
        <v>43525</v>
      </c>
      <c r="I21" s="40" t="s">
        <v>74</v>
      </c>
      <c r="J21" s="24">
        <f>'Exhibit A Table 2 Salary Sched'!S40</f>
        <v>10419.066666666668</v>
      </c>
      <c r="K21" s="24">
        <v>3146.16</v>
      </c>
      <c r="L21" s="24">
        <v>1770</v>
      </c>
      <c r="M21" s="55">
        <f>ROUND(SUM(Table134[[#This Row],[Salary as of 7/19/19]:[RGS Fee]]),0)</f>
        <v>15335</v>
      </c>
      <c r="N21" s="42">
        <v>13</v>
      </c>
      <c r="O21" s="56">
        <v>0</v>
      </c>
      <c r="P21" s="68">
        <f>Table134[[#This Row],[Annual Travel Budget]]/12</f>
        <v>0</v>
      </c>
      <c r="R21" s="48"/>
    </row>
    <row r="22" spans="2:18" s="87" customFormat="1" ht="24" customHeight="1">
      <c r="B22" s="67" t="s">
        <v>207</v>
      </c>
      <c r="C22" s="88" t="s">
        <v>192</v>
      </c>
      <c r="D22" s="41">
        <v>43668</v>
      </c>
      <c r="E22" s="40" t="s">
        <v>83</v>
      </c>
      <c r="F22" s="44" t="s">
        <v>83</v>
      </c>
      <c r="G22" s="44" t="s">
        <v>83</v>
      </c>
      <c r="H22" s="41">
        <v>43668</v>
      </c>
      <c r="I22" s="40" t="s">
        <v>87</v>
      </c>
      <c r="J22" s="24">
        <v>140</v>
      </c>
      <c r="K22" s="24">
        <v>0</v>
      </c>
      <c r="L22" s="24">
        <v>1770</v>
      </c>
      <c r="M22" s="55">
        <v>0</v>
      </c>
      <c r="N22" s="42" t="s">
        <v>83</v>
      </c>
      <c r="O22" s="56">
        <v>0</v>
      </c>
      <c r="P22" s="68">
        <v>0</v>
      </c>
      <c r="R22" s="89"/>
    </row>
    <row r="23" spans="2:18" s="87" customFormat="1" ht="24" customHeight="1">
      <c r="B23" s="67" t="s">
        <v>208</v>
      </c>
      <c r="C23" s="30" t="s">
        <v>193</v>
      </c>
      <c r="D23" s="41">
        <v>43678</v>
      </c>
      <c r="E23" s="40" t="s">
        <v>83</v>
      </c>
      <c r="F23" s="44" t="s">
        <v>83</v>
      </c>
      <c r="G23" s="44" t="s">
        <v>83</v>
      </c>
      <c r="H23" s="41">
        <v>43678</v>
      </c>
      <c r="I23" s="40" t="s">
        <v>87</v>
      </c>
      <c r="J23" s="24">
        <v>125</v>
      </c>
      <c r="K23" s="24">
        <v>0</v>
      </c>
      <c r="L23" s="24">
        <v>1770</v>
      </c>
      <c r="M23" s="55">
        <v>0</v>
      </c>
      <c r="N23" s="42" t="s">
        <v>83</v>
      </c>
      <c r="O23" s="56">
        <v>0</v>
      </c>
      <c r="P23" s="68">
        <v>0</v>
      </c>
      <c r="R23" s="89"/>
    </row>
    <row r="24" spans="2:18" ht="14.25" customHeight="1">
      <c r="B24" s="69"/>
      <c r="C24" s="70"/>
      <c r="D24" s="71"/>
      <c r="E24" s="71"/>
      <c r="F24" s="71"/>
      <c r="G24" s="71"/>
      <c r="H24" s="70"/>
      <c r="I24" s="70"/>
      <c r="J24" s="72"/>
      <c r="K24" s="72"/>
      <c r="L24" s="72"/>
      <c r="M24" s="72"/>
      <c r="N24" s="70"/>
      <c r="O24" s="72"/>
      <c r="P24" s="73"/>
      <c r="R24" s="48"/>
    </row>
    <row r="25" spans="2:18" ht="15.75" thickBot="1">
      <c r="B25" s="74" t="s">
        <v>194</v>
      </c>
      <c r="C25" s="75"/>
      <c r="D25" s="76"/>
      <c r="E25" s="76"/>
      <c r="F25" s="76"/>
      <c r="G25" s="76"/>
      <c r="H25" s="75"/>
      <c r="I25" s="75"/>
      <c r="J25" s="77">
        <f>SUM(J5,J7,J9,J10,J12,J13,J15,J16,J17,J18,J20,J21,J11,J8,J6,J14)</f>
        <v>96614.266666666663</v>
      </c>
      <c r="K25" s="77">
        <f>SUM(Table134[Current Benefits
(Per Jeff on 4/24/19)])</f>
        <v>37761.08</v>
      </c>
      <c r="L25" s="77">
        <f>SUM(Table134[RGS Fee])</f>
        <v>28320</v>
      </c>
      <c r="M25" s="77">
        <f>SUM(Table134[Total Monthly Budget 
(Salary + Benefits + Fees)])</f>
        <v>166528</v>
      </c>
      <c r="N25" s="75"/>
      <c r="O25" s="78"/>
      <c r="P25" s="79">
        <f>SUM(Table134[Monthly Travel Budget])</f>
        <v>9639.25</v>
      </c>
      <c r="R25" s="48"/>
    </row>
    <row r="26" spans="2:18">
      <c r="B26" s="35"/>
      <c r="C26" s="35"/>
      <c r="D26" s="36"/>
      <c r="E26" s="36"/>
      <c r="F26" s="36"/>
      <c r="G26" s="36"/>
      <c r="H26" s="35"/>
      <c r="I26" s="35"/>
      <c r="J26" s="37"/>
      <c r="K26" s="37"/>
      <c r="L26" s="37"/>
      <c r="M26" s="37"/>
      <c r="N26" s="35"/>
      <c r="O26" s="35"/>
      <c r="P26" s="37"/>
      <c r="R26" s="48"/>
    </row>
    <row r="27" spans="2:18">
      <c r="D27" s="43"/>
      <c r="E27" s="43"/>
      <c r="F27" s="43"/>
      <c r="G27" s="43"/>
      <c r="M27" s="39">
        <f>SUM(J25,K25,L25)-1624</f>
        <v>161071.34666666668</v>
      </c>
      <c r="R27" s="48"/>
    </row>
    <row r="28" spans="2:18">
      <c r="D28" s="43"/>
      <c r="E28" s="43"/>
      <c r="F28" s="43"/>
      <c r="G28" s="43"/>
      <c r="R28" s="48"/>
    </row>
    <row r="29" spans="2:18">
      <c r="D29" s="43"/>
      <c r="E29" s="43"/>
      <c r="F29" s="43"/>
      <c r="G29" s="43"/>
      <c r="R29" s="48"/>
    </row>
    <row r="30" spans="2:18">
      <c r="D30" s="43"/>
      <c r="E30" s="43"/>
      <c r="F30" s="43"/>
      <c r="G30" s="43"/>
      <c r="R30" s="48"/>
    </row>
    <row r="31" spans="2:18">
      <c r="D31" s="43"/>
      <c r="E31" s="43"/>
      <c r="F31" s="43"/>
      <c r="G31" s="43"/>
      <c r="R31" s="48"/>
    </row>
    <row r="35" spans="10:10">
      <c r="J35" s="50"/>
    </row>
  </sheetData>
  <mergeCells count="3">
    <mergeCell ref="A3:P3"/>
    <mergeCell ref="A2:P2"/>
    <mergeCell ref="A1:P1"/>
  </mergeCells>
  <pageMargins left="0.7" right="0.7" top="0.75" bottom="0.75" header="0.3" footer="0.3"/>
  <pageSetup paperSize="5" scale="75" fitToHeight="0" orientation="landscape" r:id="rId1"/>
  <ignoredErrors>
    <ignoredError sqref="M6:M17 M18:M23 P22:P23 G5:G21 G22:G23" calculatedColumn="1"/>
  </ignoredErrors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showGridLines="0" workbookViewId="0">
      <selection activeCell="C18" sqref="C18"/>
    </sheetView>
  </sheetViews>
  <sheetFormatPr defaultRowHeight="15"/>
  <cols>
    <col min="1" max="1" width="18" bestFit="1" customWidth="1"/>
    <col min="4" max="4" width="11.5703125" customWidth="1"/>
    <col min="6" max="6" width="2" customWidth="1"/>
    <col min="7" max="7" width="8.5703125" customWidth="1"/>
    <col min="8" max="8" width="9.85546875" customWidth="1"/>
  </cols>
  <sheetData>
    <row r="1" spans="1:8" ht="15.75">
      <c r="A1" s="54" t="s">
        <v>195</v>
      </c>
    </row>
    <row r="3" spans="1:8" ht="53.25" customHeight="1">
      <c r="A3" s="16" t="s">
        <v>196</v>
      </c>
      <c r="B3" s="58" t="s">
        <v>197</v>
      </c>
      <c r="C3" s="58" t="s">
        <v>198</v>
      </c>
      <c r="D3" s="59" t="s">
        <v>199</v>
      </c>
      <c r="E3" s="53" t="s">
        <v>200</v>
      </c>
      <c r="G3" s="60" t="s">
        <v>201</v>
      </c>
      <c r="H3" s="60" t="s">
        <v>202</v>
      </c>
    </row>
    <row r="4" spans="1:8">
      <c r="A4" t="s">
        <v>180</v>
      </c>
      <c r="B4" s="52">
        <v>10502</v>
      </c>
      <c r="C4" s="52">
        <f>Budget!M5</f>
        <v>9164</v>
      </c>
      <c r="D4" s="52">
        <f>C4-B4</f>
        <v>-1338</v>
      </c>
      <c r="E4" s="61">
        <f>D4/B4</f>
        <v>-0.12740430394210628</v>
      </c>
      <c r="G4" s="52">
        <f>'Exhibit A Table 2 Salary Sched'!P103-'Exhibit A Table 2 Salary Sched'!N103</f>
        <v>331.06666666666661</v>
      </c>
      <c r="H4" s="52">
        <f>Table1[[#This Row],[Total Increase / (Decrease)]]-Table6[[#This Row],[Salary Increase]]</f>
        <v>-1669.0666666666666</v>
      </c>
    </row>
    <row r="5" spans="1:8">
      <c r="A5" t="s">
        <v>168</v>
      </c>
      <c r="B5" s="52">
        <v>8869</v>
      </c>
      <c r="C5" s="52">
        <f>Budget!M6</f>
        <v>0</v>
      </c>
      <c r="D5" s="52">
        <f t="shared" ref="D5:D17" si="0">C5-B5</f>
        <v>-8869</v>
      </c>
      <c r="E5" s="61">
        <f t="shared" ref="E5:E17" si="1">D5/B5</f>
        <v>-1</v>
      </c>
      <c r="G5" s="52">
        <f>'Exhibit A Table 2 Salary Sched'!J110-'Exhibit A Table 2 Salary Sched'!H110</f>
        <v>263.46666666666624</v>
      </c>
      <c r="H5" s="52">
        <f>Table1[[#This Row],[Total Increase / (Decrease)]]-Table6[[#This Row],[Salary Increase]]</f>
        <v>-9132.4666666666672</v>
      </c>
    </row>
    <row r="6" spans="1:8">
      <c r="A6" t="s">
        <v>188</v>
      </c>
      <c r="B6" s="52">
        <v>6409</v>
      </c>
      <c r="C6" s="52">
        <f>Budget!M7</f>
        <v>9909</v>
      </c>
      <c r="D6" s="52">
        <f t="shared" si="0"/>
        <v>3500</v>
      </c>
      <c r="E6" s="61">
        <f t="shared" si="1"/>
        <v>0.5461070369792479</v>
      </c>
      <c r="G6" s="52">
        <v>0</v>
      </c>
      <c r="H6" s="52">
        <f>Table1[[#This Row],[Total Increase / (Decrease)]]-Table6[[#This Row],[Salary Increase]]</f>
        <v>3500</v>
      </c>
    </row>
    <row r="7" spans="1:8">
      <c r="A7" t="s">
        <v>182</v>
      </c>
      <c r="B7" s="52">
        <v>12431</v>
      </c>
      <c r="C7" s="52">
        <f>Budget!M8</f>
        <v>10382</v>
      </c>
      <c r="D7" s="52">
        <f t="shared" si="0"/>
        <v>-2049</v>
      </c>
      <c r="E7" s="61">
        <f t="shared" si="1"/>
        <v>-0.16482986083179149</v>
      </c>
      <c r="G7" s="52">
        <v>0</v>
      </c>
      <c r="H7" s="52">
        <f>Table1[[#This Row],[Total Increase / (Decrease)]]-Table6[[#This Row],[Salary Increase]]</f>
        <v>-2049</v>
      </c>
    </row>
    <row r="8" spans="1:8">
      <c r="A8" t="s">
        <v>191</v>
      </c>
      <c r="B8" s="52">
        <v>14769</v>
      </c>
      <c r="C8" s="52">
        <f>Budget!M9</f>
        <v>10382</v>
      </c>
      <c r="D8" s="52">
        <f t="shared" si="0"/>
        <v>-4387</v>
      </c>
      <c r="E8" s="61">
        <f t="shared" si="1"/>
        <v>-0.29704109960051461</v>
      </c>
      <c r="G8" s="52">
        <f>'Exhibit A Table 2 Salary Sched'!S40-'Exhibit A Table 2 Salary Sched'!Q40</f>
        <v>506.13333333333503</v>
      </c>
      <c r="H8" s="52">
        <f>Table1[[#This Row],[Total Increase / (Decrease)]]-Table6[[#This Row],[Salary Increase]]</f>
        <v>-4893.133333333335</v>
      </c>
    </row>
    <row r="9" spans="1:8">
      <c r="A9" t="s">
        <v>186</v>
      </c>
      <c r="B9" s="52">
        <v>20813</v>
      </c>
      <c r="C9" s="52">
        <f>Budget!M10</f>
        <v>9164</v>
      </c>
      <c r="D9" s="52">
        <f t="shared" si="0"/>
        <v>-11649</v>
      </c>
      <c r="E9" s="61">
        <f t="shared" si="1"/>
        <v>-0.55969826550713497</v>
      </c>
      <c r="G9" s="52">
        <v>0</v>
      </c>
      <c r="H9" s="52">
        <f>Table1[[#This Row],[Total Increase / (Decrease)]]-Table6[[#This Row],[Salary Increase]]</f>
        <v>-11649</v>
      </c>
    </row>
    <row r="10" spans="1:8">
      <c r="A10" t="s">
        <v>189</v>
      </c>
      <c r="B10" s="52">
        <v>11069</v>
      </c>
      <c r="C10" s="52">
        <f>Budget!M11</f>
        <v>10873</v>
      </c>
      <c r="D10" s="52">
        <f t="shared" si="0"/>
        <v>-196</v>
      </c>
      <c r="E10" s="61">
        <f t="shared" si="1"/>
        <v>-1.7707109946697986E-2</v>
      </c>
      <c r="G10" s="52">
        <f>'Exhibit A Table 2 Salary Sched'!S33-'Exhibit A Table 2 Salary Sched'!Q33</f>
        <v>362.26666666666824</v>
      </c>
      <c r="H10" s="52">
        <f>Table1[[#This Row],[Total Increase / (Decrease)]]-Table6[[#This Row],[Salary Increase]]</f>
        <v>-558.26666666666824</v>
      </c>
    </row>
    <row r="11" spans="1:8">
      <c r="A11" t="s">
        <v>190</v>
      </c>
      <c r="B11" s="52">
        <v>11617</v>
      </c>
      <c r="C11" s="52">
        <f>Budget!M13</f>
        <v>11358</v>
      </c>
      <c r="D11" s="52">
        <f t="shared" si="0"/>
        <v>-259</v>
      </c>
      <c r="E11" s="61">
        <f t="shared" si="1"/>
        <v>-2.2294912628045106E-2</v>
      </c>
      <c r="G11" s="52">
        <v>0</v>
      </c>
      <c r="H11" s="52">
        <f>Table1[[#This Row],[Total Increase / (Decrease)]]-Table6[[#This Row],[Salary Increase]]</f>
        <v>-259</v>
      </c>
    </row>
    <row r="12" spans="1:8">
      <c r="A12" t="s">
        <v>184</v>
      </c>
      <c r="B12" s="52">
        <v>10936</v>
      </c>
      <c r="C12" s="52">
        <f>Budget!M14</f>
        <v>16933</v>
      </c>
      <c r="D12" s="52">
        <f t="shared" si="0"/>
        <v>5997</v>
      </c>
      <c r="E12" s="61">
        <f t="shared" si="1"/>
        <v>0.54837234820775416</v>
      </c>
      <c r="G12" s="52">
        <f>'Exhibit A Table 2 Salary Sched'!R103-'Exhibit A Table 2 Salary Sched'!P103</f>
        <v>355.33333333333303</v>
      </c>
      <c r="H12" s="52">
        <f>Table1[[#This Row],[Total Increase / (Decrease)]]-Table6[[#This Row],[Salary Increase]]</f>
        <v>5641.666666666667</v>
      </c>
    </row>
    <row r="13" spans="1:8">
      <c r="A13" t="s">
        <v>185</v>
      </c>
      <c r="B13" s="52">
        <v>14969</v>
      </c>
      <c r="C13" s="52">
        <f>Budget!M15</f>
        <v>21096</v>
      </c>
      <c r="D13" s="52">
        <f t="shared" si="0"/>
        <v>6127</v>
      </c>
      <c r="E13" s="61">
        <f t="shared" si="1"/>
        <v>0.4093125793306166</v>
      </c>
      <c r="G13" s="52" t="e">
        <f>'Exhibit A Table 2 Salary Sched'!#REF!-'Exhibit A Table 2 Salary Sched'!#REF!</f>
        <v>#REF!</v>
      </c>
      <c r="H13" s="52" t="e">
        <f>Table1[[#This Row],[Total Increase / (Decrease)]]-Table6[[#This Row],[Salary Increase]]</f>
        <v>#REF!</v>
      </c>
    </row>
    <row r="14" spans="1:8">
      <c r="A14" t="s">
        <v>170</v>
      </c>
      <c r="B14" s="52">
        <v>9613</v>
      </c>
      <c r="C14" s="52">
        <f>Budget!M16</f>
        <v>0</v>
      </c>
      <c r="D14" s="52">
        <f t="shared" si="0"/>
        <v>-9613</v>
      </c>
      <c r="E14" s="61">
        <f t="shared" si="1"/>
        <v>-1</v>
      </c>
      <c r="G14" s="52">
        <f>'Exhibit A Table 2 Salary Sched'!J110-'Exhibit A Table 2 Salary Sched'!H110</f>
        <v>263.46666666666624</v>
      </c>
      <c r="H14" s="52">
        <f>Table1[[#This Row],[Total Increase / (Decrease)]]-Table6[[#This Row],[Salary Increase]]</f>
        <v>-9876.4666666666672</v>
      </c>
    </row>
    <row r="15" spans="1:8">
      <c r="A15" t="s">
        <v>171</v>
      </c>
      <c r="B15" s="52">
        <v>10087</v>
      </c>
      <c r="C15" s="52">
        <f>Budget!M17</f>
        <v>0</v>
      </c>
      <c r="D15" s="52">
        <f t="shared" si="0"/>
        <v>-10087</v>
      </c>
      <c r="E15" s="61">
        <f t="shared" si="1"/>
        <v>-1</v>
      </c>
      <c r="G15" s="52">
        <f>'Exhibit A Table 2 Salary Sched'!J110-'Exhibit A Table 2 Salary Sched'!H110</f>
        <v>263.46666666666624</v>
      </c>
      <c r="H15" s="52">
        <f>Table1[[#This Row],[Total Increase / (Decrease)]]-Table6[[#This Row],[Salary Increase]]</f>
        <v>-10350.466666666667</v>
      </c>
    </row>
    <row r="16" spans="1:8">
      <c r="A16" t="s">
        <v>172</v>
      </c>
      <c r="B16" s="52">
        <v>10087</v>
      </c>
      <c r="C16" s="52">
        <f>Budget!M20</f>
        <v>11617</v>
      </c>
      <c r="D16" s="52">
        <f t="shared" si="0"/>
        <v>1530</v>
      </c>
      <c r="E16" s="61">
        <f t="shared" si="1"/>
        <v>0.15168038068801429</v>
      </c>
      <c r="G16" s="52">
        <f>'Exhibit A Table 2 Salary Sched'!J110-'Exhibit A Table 2 Salary Sched'!H110</f>
        <v>263.46666666666624</v>
      </c>
      <c r="H16" s="52">
        <f>Table1[[#This Row],[Total Increase / (Decrease)]]-Table6[[#This Row],[Salary Increase]]</f>
        <v>1266.5333333333338</v>
      </c>
    </row>
    <row r="17" spans="1:8">
      <c r="A17" t="s">
        <v>178</v>
      </c>
      <c r="B17" s="52">
        <v>8869</v>
      </c>
      <c r="C17" s="52">
        <f>Budget!M21</f>
        <v>15335</v>
      </c>
      <c r="D17" s="52">
        <f t="shared" si="0"/>
        <v>6466</v>
      </c>
      <c r="E17" s="61">
        <f t="shared" si="1"/>
        <v>0.7290562633893336</v>
      </c>
      <c r="G17" s="52">
        <f>'Exhibit A Table 2 Salary Sched'!J110-'Exhibit A Table 2 Salary Sched'!H110</f>
        <v>263.46666666666624</v>
      </c>
      <c r="H17" s="52">
        <f>Table1[[#This Row],[Total Increase / (Decrease)]]-Table6[[#This Row],[Salary Increase]]</f>
        <v>6202.5333333333338</v>
      </c>
    </row>
    <row r="18" spans="1:8">
      <c r="A18" t="s">
        <v>203</v>
      </c>
      <c r="B18" s="52">
        <f>SUBTOTAL(109,Table1[1/1/2019])</f>
        <v>161040</v>
      </c>
      <c r="C18" s="52">
        <f>SUBTOTAL(109,Table1[3/1/2019])</f>
        <v>136213</v>
      </c>
      <c r="D18" s="52">
        <f>SUBTOTAL(109,Table1[Total Increase / (Decrease)])</f>
        <v>-24827</v>
      </c>
      <c r="E18" s="62">
        <f>SUBTOTAL(101,Table1[%])</f>
        <v>-0.12888906741866599</v>
      </c>
      <c r="G18" s="52" t="e">
        <f>SUBTOTAL(9,Table6[Salary Increase])</f>
        <v>#REF!</v>
      </c>
      <c r="H18" s="52" t="e">
        <f>SUBTOTAL(9,Table6[Benefit Increase])</f>
        <v>#REF!</v>
      </c>
    </row>
    <row r="19" spans="1:8">
      <c r="B19" s="52"/>
      <c r="C19" s="52"/>
      <c r="D19" s="52"/>
    </row>
  </sheetData>
  <pageMargins left="0.7" right="0.7" top="0.75" bottom="0.75" header="0.3" footer="0.3"/>
  <pageSetup orientation="portrait" r:id="rId1"/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4297237612FFB4DBC44B55A432B190E" ma:contentTypeVersion="6" ma:contentTypeDescription="Create a new document." ma:contentTypeScope="" ma:versionID="35ffc9842233265cf26f6cbe9728dc70">
  <xsd:schema xmlns:xsd="http://www.w3.org/2001/XMLSchema" xmlns:xs="http://www.w3.org/2001/XMLSchema" xmlns:p="http://schemas.microsoft.com/office/2006/metadata/properties" xmlns:ns2="0cffa99d-8075-4957-a3f9-38d6e57d32c9" xmlns:ns3="f6b1d80a-5717-428b-b7f8-dfb6a276f7b9" targetNamespace="http://schemas.microsoft.com/office/2006/metadata/properties" ma:root="true" ma:fieldsID="caef3eeb5124dedf557f394f2450d075" ns2:_="" ns3:_="">
    <xsd:import namespace="0cffa99d-8075-4957-a3f9-38d6e57d32c9"/>
    <xsd:import namespace="f6b1d80a-5717-428b-b7f8-dfb6a276f7b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ffa99d-8075-4957-a3f9-38d6e57d32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1d80a-5717-428b-b7f8-dfb6a276f7b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4162E07-D71A-47E4-8B48-1CD78B97FF9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E3F181A-9F55-4338-86DC-E420B8DEB14B}">
  <ds:schemaRefs>
    <ds:schemaRef ds:uri="http://schemas.microsoft.com/office/2006/metadata/properties"/>
    <ds:schemaRef ds:uri="http://purl.org/dc/elements/1.1/"/>
    <ds:schemaRef ds:uri="http://schemas.microsoft.com/office/2006/documentManagement/types"/>
    <ds:schemaRef ds:uri="f6b1d80a-5717-428b-b7f8-dfb6a276f7b9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0cffa99d-8075-4957-a3f9-38d6e57d32c9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4BD3AB5-B874-4EEB-BFAD-42E0D2CFB8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ffa99d-8075-4957-a3f9-38d6e57d32c9"/>
    <ds:schemaRef ds:uri="f6b1d80a-5717-428b-b7f8-dfb6a276f7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Salary</vt:lpstr>
      <vt:lpstr>Exhibit A Table 1 Rate Ranges</vt:lpstr>
      <vt:lpstr>Exhibit A Table 2 Salary Sched</vt:lpstr>
      <vt:lpstr>Exhibit A -1</vt:lpstr>
      <vt:lpstr>Budget</vt:lpstr>
      <vt:lpstr>Comparison</vt:lpstr>
      <vt:lpstr>Budget!Print_Area</vt:lpstr>
      <vt:lpstr>'Exhibit A Table 2 Salary Sched'!Print_Area</vt:lpstr>
      <vt:lpstr>Salary!Print_Area</vt:lpstr>
    </vt:vector>
  </TitlesOfParts>
  <Manager/>
  <Company>C-IV 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Karen J. Rapponotti</dc:creator>
  <cp:keywords/>
  <dc:description/>
  <cp:lastModifiedBy>Sarah Hudgins</cp:lastModifiedBy>
  <cp:revision/>
  <cp:lastPrinted>2019-08-30T18:11:56Z</cp:lastPrinted>
  <dcterms:created xsi:type="dcterms:W3CDTF">2016-01-11T20:18:45Z</dcterms:created>
  <dcterms:modified xsi:type="dcterms:W3CDTF">2019-08-30T19:26:40Z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0x01010064297237612FFB4DBC44B55A432B190E</vt:lpwstr>
  </property>
</Properties>
</file>