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mc:AlternateContent xmlns:mc="http://schemas.openxmlformats.org/markup-compatibility/2006">
    <mc:Choice Requires="x15">
      <x15ac:absPath xmlns:x15ac="http://schemas.microsoft.com/office/spreadsheetml/2010/11/ac" url="A:\Accenture\Contracts\LRS Agreement\Amendments\Amendment 21 - Analytics\FDS\Exh X\"/>
    </mc:Choice>
  </mc:AlternateContent>
  <xr:revisionPtr revIDLastSave="0" documentId="13_ncr:1_{FAF96ED3-7D84-47BB-866B-C062D1768632}" xr6:coauthVersionLast="41" xr6:coauthVersionMax="41" xr10:uidLastSave="{00000000-0000-0000-0000-000000000000}"/>
  <bookViews>
    <workbookView xWindow="-120" yWindow="-120" windowWidth="29040" windowHeight="17325" tabRatio="772" xr2:uid="{00000000-000D-0000-FFFF-FFFF00000000}"/>
  </bookViews>
  <sheets>
    <sheet name="1. Exh X - Charges Summary" sheetId="1" r:id="rId1"/>
    <sheet name="2. App Maint" sheetId="36" r:id="rId2"/>
    <sheet name="3A. Prod Ops" sheetId="40" r:id="rId3"/>
    <sheet name=" 3A. Prod Ops - Orig" sheetId="34" state="hidden" r:id="rId4"/>
    <sheet name="3B. Innovation Lab" sheetId="39" r:id="rId5"/>
    <sheet name="4. Prod Ops Old" sheetId="5" state="hidden" r:id="rId6"/>
    <sheet name="4. Prod Ops" sheetId="41" r:id="rId7"/>
    <sheet name="5. HW &amp; SW" sheetId="4" r:id="rId8"/>
    <sheet name="6. Facilities" sheetId="3" r:id="rId9"/>
    <sheet name="7. Hourly Rate Card" sheetId="37" r:id="rId10"/>
    <sheet name="8. Change Order Rate Card"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1000___Project_Management" localSheetId="2">#REF!</definedName>
    <definedName name="_1000___Project_Management" localSheetId="4">#REF!</definedName>
    <definedName name="_1000___Project_Management" localSheetId="6">#REF!</definedName>
    <definedName name="_1000___Project_Management">#REF!</definedName>
    <definedName name="_1100__Project_Initiation" localSheetId="2">#REF!</definedName>
    <definedName name="_1100__Project_Initiation" localSheetId="4">#REF!</definedName>
    <definedName name="_1100__Project_Initiation" localSheetId="6">#REF!</definedName>
    <definedName name="_1100__Project_Initiation">#REF!</definedName>
    <definedName name="_1200__Confirm_Project_Expectations" localSheetId="2">#REF!</definedName>
    <definedName name="_1200__Confirm_Project_Expectations" localSheetId="4">#REF!</definedName>
    <definedName name="_1200__Confirm_Project_Expectations" localSheetId="6">#REF!</definedName>
    <definedName name="_1200__Confirm_Project_Expectations">#REF!</definedName>
    <definedName name="_1300__Project_Management_Processes" localSheetId="2">#REF!</definedName>
    <definedName name="_1300__Project_Management_Processes" localSheetId="4">#REF!</definedName>
    <definedName name="_1300__Project_Management_Processes" localSheetId="6">#REF!</definedName>
    <definedName name="_1300__Project_Management_Processes">#REF!</definedName>
    <definedName name="_1400__Status_Meetings" localSheetId="2">#REF!</definedName>
    <definedName name="_1400__Status_Meetings" localSheetId="4">#REF!</definedName>
    <definedName name="_1400__Status_Meetings" localSheetId="6">#REF!</definedName>
    <definedName name="_1400__Status_Meetings">#REF!</definedName>
    <definedName name="_1500_Change_Management" localSheetId="2">#REF!</definedName>
    <definedName name="_1500_Change_Management" localSheetId="4">#REF!</definedName>
    <definedName name="_1500_Change_Management" localSheetId="6">#REF!</definedName>
    <definedName name="_1500_Change_Management">#REF!</definedName>
    <definedName name="_1600_Planning" localSheetId="2">#REF!</definedName>
    <definedName name="_1600_Planning" localSheetId="4">#REF!</definedName>
    <definedName name="_1600_Planning" localSheetId="6">#REF!</definedName>
    <definedName name="_1600_Planning">#REF!</definedName>
    <definedName name="_1700__CQMA" localSheetId="2">#REF!</definedName>
    <definedName name="_1700__CQMA" localSheetId="4">#REF!</definedName>
    <definedName name="_1700__CQMA" localSheetId="6">#REF!</definedName>
    <definedName name="_1700__CQMA">#REF!</definedName>
    <definedName name="_1800__Certification_Support" localSheetId="2">#REF!</definedName>
    <definedName name="_1800__Certification_Support" localSheetId="4">#REF!</definedName>
    <definedName name="_1800__Certification_Support" localSheetId="6">#REF!</definedName>
    <definedName name="_1800__Certification_Support">#REF!</definedName>
    <definedName name="_1900__Project_Management_for_Tasks" localSheetId="2">#REF!</definedName>
    <definedName name="_1900__Project_Management_for_Tasks" localSheetId="4">#REF!</definedName>
    <definedName name="_1900__Project_Management_for_Tasks" localSheetId="6">#REF!</definedName>
    <definedName name="_1900__Project_Management_for_Tasks">#REF!</definedName>
    <definedName name="_2000__Site_Preparation" localSheetId="2">#REF!</definedName>
    <definedName name="_2000__Site_Preparation" localSheetId="4">#REF!</definedName>
    <definedName name="_2000__Site_Preparation" localSheetId="6">#REF!</definedName>
    <definedName name="_2000__Site_Preparation">#REF!</definedName>
    <definedName name="_3000__Telecommunications_Design___Install" localSheetId="2">#REF!</definedName>
    <definedName name="_3000__Telecommunications_Design___Install" localSheetId="4">#REF!</definedName>
    <definedName name="_3000__Telecommunications_Design___Install" localSheetId="6">#REF!</definedName>
    <definedName name="_3000__Telecommunications_Design___Install">#REF!</definedName>
    <definedName name="_4000__System_Design_Development_Methodology" localSheetId="2">#REF!</definedName>
    <definedName name="_4000__System_Design_Development_Methodology" localSheetId="4">#REF!</definedName>
    <definedName name="_4000__System_Design_Development_Methodology" localSheetId="6">#REF!</definedName>
    <definedName name="_4000__System_Design_Development_Methodology">#REF!</definedName>
    <definedName name="_4100_Analysis" localSheetId="2">#REF!</definedName>
    <definedName name="_4100_Analysis" localSheetId="4">#REF!</definedName>
    <definedName name="_4100_Analysis" localSheetId="6">#REF!</definedName>
    <definedName name="_4100_Analysis">#REF!</definedName>
    <definedName name="_4200__Technical_Architecture" localSheetId="2">#REF!</definedName>
    <definedName name="_4200__Technical_Architecture" localSheetId="4">#REF!</definedName>
    <definedName name="_4200__Technical_Architecture" localSheetId="6">#REF!</definedName>
    <definedName name="_4200__Technical_Architecture">#REF!</definedName>
    <definedName name="_4300__Release_1" localSheetId="2">#REF!</definedName>
    <definedName name="_4300__Release_1" localSheetId="4">#REF!</definedName>
    <definedName name="_4300__Release_1" localSheetId="6">#REF!</definedName>
    <definedName name="_4300__Release_1">#REF!</definedName>
    <definedName name="_4400__Release_2" localSheetId="2">#REF!</definedName>
    <definedName name="_4400__Release_2" localSheetId="4">#REF!</definedName>
    <definedName name="_4400__Release_2" localSheetId="6">#REF!</definedName>
    <definedName name="_4400__Release_2">#REF!</definedName>
    <definedName name="_4500__Release_3" localSheetId="2">#REF!</definedName>
    <definedName name="_4500__Release_3" localSheetId="4">#REF!</definedName>
    <definedName name="_4500__Release_3" localSheetId="6">#REF!</definedName>
    <definedName name="_4500__Release_3">#REF!</definedName>
    <definedName name="_4600__Release_4" localSheetId="2">#REF!</definedName>
    <definedName name="_4600__Release_4" localSheetId="4">#REF!</definedName>
    <definedName name="_4600__Release_4" localSheetId="6">#REF!</definedName>
    <definedName name="_4600__Release_4">#REF!</definedName>
    <definedName name="_5000__Training" localSheetId="2">#REF!</definedName>
    <definedName name="_5000__Training" localSheetId="4">#REF!</definedName>
    <definedName name="_5000__Training" localSheetId="6">#REF!</definedName>
    <definedName name="_5000__Training">#REF!</definedName>
    <definedName name="_5100___Analysis" localSheetId="2">#REF!</definedName>
    <definedName name="_5100___Analysis" localSheetId="4">#REF!</definedName>
    <definedName name="_5100___Analysis" localSheetId="6">#REF!</definedName>
    <definedName name="_5100___Analysis">#REF!</definedName>
    <definedName name="_5200___Release_1" localSheetId="2">#REF!</definedName>
    <definedName name="_5200___Release_1" localSheetId="4">#REF!</definedName>
    <definedName name="_5200___Release_1" localSheetId="6">#REF!</definedName>
    <definedName name="_5200___Release_1">#REF!</definedName>
    <definedName name="_5300___Release_2" localSheetId="2">#REF!</definedName>
    <definedName name="_5300___Release_2" localSheetId="4">#REF!</definedName>
    <definedName name="_5300___Release_2" localSheetId="6">#REF!</definedName>
    <definedName name="_5300___Release_2">#REF!</definedName>
    <definedName name="_5400___Release_3" localSheetId="2">#REF!</definedName>
    <definedName name="_5400___Release_3" localSheetId="4">#REF!</definedName>
    <definedName name="_5400___Release_3" localSheetId="6">#REF!</definedName>
    <definedName name="_5400___Release_3">#REF!</definedName>
    <definedName name="_5500___Release_4" localSheetId="2">#REF!</definedName>
    <definedName name="_5500___Release_4" localSheetId="4">#REF!</definedName>
    <definedName name="_5500___Release_4" localSheetId="6">#REF!</definedName>
    <definedName name="_5500___Release_4">#REF!</definedName>
    <definedName name="_6000__Conversion" localSheetId="2">#REF!</definedName>
    <definedName name="_6000__Conversion" localSheetId="4">#REF!</definedName>
    <definedName name="_6000__Conversion" localSheetId="6">#REF!</definedName>
    <definedName name="_6000__Conversion">#REF!</definedName>
    <definedName name="_7000__Implementation" localSheetId="2">#REF!</definedName>
    <definedName name="_7000__Implementation" localSheetId="4">#REF!</definedName>
    <definedName name="_7000__Implementation" localSheetId="6">#REF!</definedName>
    <definedName name="_7000__Implementation">#REF!</definedName>
    <definedName name="_7110__Release_1_Pilot" localSheetId="2">#REF!</definedName>
    <definedName name="_7110__Release_1_Pilot" localSheetId="4">#REF!</definedName>
    <definedName name="_7110__Release_1_Pilot" localSheetId="6">#REF!</definedName>
    <definedName name="_7110__Release_1_Pilot">#REF!</definedName>
    <definedName name="_7120__Release_1_Consortium_Wide" localSheetId="2">#REF!</definedName>
    <definedName name="_7120__Release_1_Consortium_Wide" localSheetId="4">#REF!</definedName>
    <definedName name="_7120__Release_1_Consortium_Wide" localSheetId="6">#REF!</definedName>
    <definedName name="_7120__Release_1_Consortium_Wide">#REF!</definedName>
    <definedName name="_7210__Release_2_Pilot" localSheetId="2">#REF!</definedName>
    <definedName name="_7210__Release_2_Pilot" localSheetId="4">#REF!</definedName>
    <definedName name="_7210__Release_2_Pilot" localSheetId="6">#REF!</definedName>
    <definedName name="_7210__Release_2_Pilot">#REF!</definedName>
    <definedName name="_7220__Release_2_Consortium_Wide" localSheetId="2">#REF!</definedName>
    <definedName name="_7220__Release_2_Consortium_Wide" localSheetId="4">#REF!</definedName>
    <definedName name="_7220__Release_2_Consortium_Wide" localSheetId="6">#REF!</definedName>
    <definedName name="_7220__Release_2_Consortium_Wide">#REF!</definedName>
    <definedName name="_7310__Release_3_Pilot" localSheetId="2">#REF!</definedName>
    <definedName name="_7310__Release_3_Pilot" localSheetId="4">#REF!</definedName>
    <definedName name="_7310__Release_3_Pilot" localSheetId="6">#REF!</definedName>
    <definedName name="_7310__Release_3_Pilot">#REF!</definedName>
    <definedName name="_7320__Release_3_Consortium_Wide" localSheetId="2">#REF!</definedName>
    <definedName name="_7320__Release_3_Consortium_Wide" localSheetId="4">#REF!</definedName>
    <definedName name="_7320__Release_3_Consortium_Wide" localSheetId="6">#REF!</definedName>
    <definedName name="_7320__Release_3_Consortium_Wide">#REF!</definedName>
    <definedName name="_7400__Release_4_Consortium_Wide" localSheetId="2">#REF!</definedName>
    <definedName name="_7400__Release_4_Consortium_Wide" localSheetId="4">#REF!</definedName>
    <definedName name="_7400__Release_4_Consortium_Wide" localSheetId="6">#REF!</definedName>
    <definedName name="_7400__Release_4_Consortium_Wide">#REF!</definedName>
    <definedName name="_8.1__Service_Operations_Stage" localSheetId="2">#REF!</definedName>
    <definedName name="_8.1__Service_Operations_Stage" localSheetId="4">#REF!</definedName>
    <definedName name="_8.1__Service_Operations_Stage" localSheetId="6">#REF!</definedName>
    <definedName name="_8.1__Service_Operations_Stage">#REF!</definedName>
    <definedName name="_8000___Maintenance___Operation_Support" localSheetId="2">#REF!</definedName>
    <definedName name="_8000___Maintenance___Operation_Support" localSheetId="4">#REF!</definedName>
    <definedName name="_8000___Maintenance___Operation_Support" localSheetId="6">#REF!</definedName>
    <definedName name="_8000___Maintenance___Operation_Support">#REF!</definedName>
    <definedName name="_8000x__Alternative_Maintenance___Operations_Support" localSheetId="2">#REF!</definedName>
    <definedName name="_8000x__Alternative_Maintenance___Operations_Support" localSheetId="4">#REF!</definedName>
    <definedName name="_8000x__Alternative_Maintenance___Operations_Support" localSheetId="6">#REF!</definedName>
    <definedName name="_8000x__Alternative_Maintenance___Operations_Support">#REF!</definedName>
    <definedName name="Accenture_Rate" localSheetId="2">#REF!</definedName>
    <definedName name="Accenture_Rate" localSheetId="4">#REF!</definedName>
    <definedName name="Accenture_Rate" localSheetId="6">#REF!</definedName>
    <definedName name="Accenture_Rate">#REF!</definedName>
    <definedName name="AllKits" localSheetId="2">#REF!</definedName>
    <definedName name="AllKits" localSheetId="4">#REF!</definedName>
    <definedName name="AllKits" localSheetId="6">#REF!</definedName>
    <definedName name="AllKits">#REF!</definedName>
    <definedName name="Allocation_DB" localSheetId="2">#REF!</definedName>
    <definedName name="Allocation_DB" localSheetId="4">#REF!</definedName>
    <definedName name="Allocation_DB" localSheetId="6">#REF!</definedName>
    <definedName name="Allocation_DB">#REF!</definedName>
    <definedName name="Allocation_Resource" localSheetId="2">#REF!</definedName>
    <definedName name="Allocation_Resource" localSheetId="4">#REF!</definedName>
    <definedName name="Allocation_Resource" localSheetId="6">#REF!</definedName>
    <definedName name="Allocation_Resource">#REF!</definedName>
    <definedName name="BA">'[1]3. Tasks'!$L$41</definedName>
    <definedName name="Batch_AT_Factor" localSheetId="2">#REF!</definedName>
    <definedName name="Batch_AT_Factor" localSheetId="4">#REF!</definedName>
    <definedName name="Batch_AT_Factor" localSheetId="6">#REF!</definedName>
    <definedName name="Batch_AT_Factor">#REF!</definedName>
    <definedName name="Batch_DAO_Factor" localSheetId="2">#REF!</definedName>
    <definedName name="Batch_DAO_Factor" localSheetId="4">#REF!</definedName>
    <definedName name="Batch_DAO_Factor" localSheetId="6">#REF!</definedName>
    <definedName name="Batch_DAO_Factor">#REF!</definedName>
    <definedName name="Batch_VBean_Factor" localSheetId="2">#REF!</definedName>
    <definedName name="Batch_VBean_Factor" localSheetId="4">#REF!</definedName>
    <definedName name="Batch_VBean_Factor" localSheetId="6">#REF!</definedName>
    <definedName name="Batch_VBean_Factor">#REF!</definedName>
    <definedName name="BDlist" localSheetId="2">#REF!</definedName>
    <definedName name="BDlist" localSheetId="4">#REF!</definedName>
    <definedName name="BDlist" localSheetId="6">#REF!</definedName>
    <definedName name="BDlist">#REF!</definedName>
    <definedName name="BillRate">'[2]5. Tasks'!$H$36</definedName>
    <definedName name="BuildPct" localSheetId="2">#REF!</definedName>
    <definedName name="BuildPct" localSheetId="4">#REF!</definedName>
    <definedName name="BuildPct" localSheetId="6">#REF!</definedName>
    <definedName name="BuildPct">#REF!</definedName>
    <definedName name="Category" localSheetId="2">#REF!</definedName>
    <definedName name="Category" localSheetId="4">#REF!</definedName>
    <definedName name="Category" localSheetId="6">#REF!</definedName>
    <definedName name="Category">#REF!</definedName>
    <definedName name="Del_Allocation_DB" localSheetId="2">#REF!</definedName>
    <definedName name="Del_Allocation_DB" localSheetId="4">#REF!</definedName>
    <definedName name="Del_Allocation_DB" localSheetId="6">#REF!</definedName>
    <definedName name="Del_Allocation_DB">#REF!</definedName>
    <definedName name="Dev_Alloc_DB" localSheetId="2">#REF!</definedName>
    <definedName name="Dev_Alloc_DB" localSheetId="4">#REF!</definedName>
    <definedName name="Dev_Alloc_DB" localSheetId="6">#REF!</definedName>
    <definedName name="Dev_Alloc_DB">#REF!</definedName>
    <definedName name="DifAT" localSheetId="2">#REF!</definedName>
    <definedName name="DifAT" localSheetId="4">#REF!</definedName>
    <definedName name="DifAT" localSheetId="6">#REF!</definedName>
    <definedName name="DifAT">#REF!</definedName>
    <definedName name="DifBatch" localSheetId="2">#REF!</definedName>
    <definedName name="DifBatch" localSheetId="4">#REF!</definedName>
    <definedName name="DifBatch" localSheetId="6">#REF!</definedName>
    <definedName name="DifBatch">#REF!</definedName>
    <definedName name="DifChg" localSheetId="2">#REF!</definedName>
    <definedName name="DifChg" localSheetId="4">#REF!</definedName>
    <definedName name="DifChg" localSheetId="6">#REF!</definedName>
    <definedName name="DifChg">#REF!</definedName>
    <definedName name="DifCommon" localSheetId="2">#REF!</definedName>
    <definedName name="DifCommon" localSheetId="4">#REF!</definedName>
    <definedName name="DifCommon" localSheetId="6">#REF!</definedName>
    <definedName name="DifCommon">#REF!</definedName>
    <definedName name="DifConv" localSheetId="2">#REF!</definedName>
    <definedName name="DifConv" localSheetId="4">#REF!</definedName>
    <definedName name="DifConv" localSheetId="6">#REF!</definedName>
    <definedName name="DifConv">#REF!</definedName>
    <definedName name="DifDAO" localSheetId="2">#REF!</definedName>
    <definedName name="DifDAO" localSheetId="4">#REF!</definedName>
    <definedName name="DifDAO" localSheetId="6">#REF!</definedName>
    <definedName name="DifDAO">#REF!</definedName>
    <definedName name="DifEJB" localSheetId="2">#REF!</definedName>
    <definedName name="DifEJB" localSheetId="4">#REF!</definedName>
    <definedName name="DifEJB" localSheetId="6">#REF!</definedName>
    <definedName name="DifEJB">#REF!</definedName>
    <definedName name="DiffChg" localSheetId="2">#REF!</definedName>
    <definedName name="DiffChg" localSheetId="4">#REF!</definedName>
    <definedName name="DiffChg" localSheetId="6">#REF!</definedName>
    <definedName name="DiffChg">#REF!</definedName>
    <definedName name="DiffDAO" localSheetId="2">#REF!</definedName>
    <definedName name="DiffDAO" localSheetId="4">#REF!</definedName>
    <definedName name="DiffDAO" localSheetId="6">#REF!</definedName>
    <definedName name="DiffDAO">#REF!</definedName>
    <definedName name="DifForm" localSheetId="2">#REF!</definedName>
    <definedName name="DifForm" localSheetId="4">#REF!</definedName>
    <definedName name="DifForm" localSheetId="6">#REF!</definedName>
    <definedName name="DifForm">#REF!</definedName>
    <definedName name="DifJSP" localSheetId="2">#REF!</definedName>
    <definedName name="DifJSP" localSheetId="4">#REF!</definedName>
    <definedName name="DifJSP" localSheetId="6">#REF!</definedName>
    <definedName name="DifJSP">#REF!</definedName>
    <definedName name="DifRpt" localSheetId="2">#REF!</definedName>
    <definedName name="DifRpt" localSheetId="4">#REF!</definedName>
    <definedName name="DifRpt" localSheetId="6">#REF!</definedName>
    <definedName name="DifRpt">#REF!</definedName>
    <definedName name="DifRule" localSheetId="2">#REF!</definedName>
    <definedName name="DifRule" localSheetId="4">#REF!</definedName>
    <definedName name="DifRule" localSheetId="6">#REF!</definedName>
    <definedName name="DifRule">#REF!</definedName>
    <definedName name="DifVBean" localSheetId="2">#REF!</definedName>
    <definedName name="DifVBean" localSheetId="4">#REF!</definedName>
    <definedName name="DifVBean" localSheetId="6">#REF!</definedName>
    <definedName name="DifVBean">#REF!</definedName>
    <definedName name="DS3_Install" localSheetId="2">[3]LoE!#REF!</definedName>
    <definedName name="DS3_Install" localSheetId="4">[3]LoE!#REF!</definedName>
    <definedName name="DS3_Install" localSheetId="6">[3]LoE!#REF!</definedName>
    <definedName name="DS3_Install">[3]LoE!#REF!</definedName>
    <definedName name="DS3_Recurring_Cost" localSheetId="2">[3]LoE!#REF!</definedName>
    <definedName name="DS3_Recurring_Cost" localSheetId="4">[3]LoE!#REF!</definedName>
    <definedName name="DS3_Recurring_Cost" localSheetId="6">[3]LoE!#REF!</definedName>
    <definedName name="DS3_Recurring_Cost">[3]LoE!#REF!</definedName>
    <definedName name="DSL_Install" localSheetId="2">[3]LoE!#REF!</definedName>
    <definedName name="DSL_Install" localSheetId="4">[3]LoE!#REF!</definedName>
    <definedName name="DSL_Install" localSheetId="6">[3]LoE!#REF!</definedName>
    <definedName name="DSL_Install">[3]LoE!#REF!</definedName>
    <definedName name="DSL_Recurring_Cost" localSheetId="2">[3]LoE!#REF!</definedName>
    <definedName name="DSL_Recurring_Cost" localSheetId="4">[3]LoE!#REF!</definedName>
    <definedName name="DSL_Recurring_Cost" localSheetId="6">[3]LoE!#REF!</definedName>
    <definedName name="DSL_Recurring_Cost">[3]LoE!#REF!</definedName>
    <definedName name="EasyAT" localSheetId="2">#REF!</definedName>
    <definedName name="EasyAT" localSheetId="4">#REF!</definedName>
    <definedName name="EasyAT" localSheetId="6">#REF!</definedName>
    <definedName name="EasyAT">#REF!</definedName>
    <definedName name="EasyBatch" localSheetId="2">#REF!</definedName>
    <definedName name="EasyBatch" localSheetId="4">#REF!</definedName>
    <definedName name="EasyBatch" localSheetId="6">#REF!</definedName>
    <definedName name="EasyBatch">#REF!</definedName>
    <definedName name="EasyChg" localSheetId="2">#REF!</definedName>
    <definedName name="EasyChg" localSheetId="4">#REF!</definedName>
    <definedName name="EasyChg" localSheetId="6">#REF!</definedName>
    <definedName name="EasyChg">#REF!</definedName>
    <definedName name="EasyCommon" localSheetId="2">#REF!</definedName>
    <definedName name="EasyCommon" localSheetId="4">#REF!</definedName>
    <definedName name="EasyCommon" localSheetId="6">#REF!</definedName>
    <definedName name="EasyCommon">#REF!</definedName>
    <definedName name="EasyConv" localSheetId="2">#REF!</definedName>
    <definedName name="EasyConv" localSheetId="4">#REF!</definedName>
    <definedName name="EasyConv" localSheetId="6">#REF!</definedName>
    <definedName name="EasyConv">#REF!</definedName>
    <definedName name="EasyDAO" localSheetId="2">#REF!</definedName>
    <definedName name="EasyDAO" localSheetId="4">#REF!</definedName>
    <definedName name="EasyDAO" localSheetId="6">#REF!</definedName>
    <definedName name="EasyDAO">#REF!</definedName>
    <definedName name="EasyEJB" localSheetId="2">#REF!</definedName>
    <definedName name="EasyEJB" localSheetId="4">#REF!</definedName>
    <definedName name="EasyEJB" localSheetId="6">#REF!</definedName>
    <definedName name="EasyEJB">#REF!</definedName>
    <definedName name="EasyForm" localSheetId="2">#REF!</definedName>
    <definedName name="EasyForm" localSheetId="4">#REF!</definedName>
    <definedName name="EasyForm" localSheetId="6">#REF!</definedName>
    <definedName name="EasyForm">#REF!</definedName>
    <definedName name="EasyJSP" localSheetId="2">#REF!</definedName>
    <definedName name="EasyJSP" localSheetId="4">#REF!</definedName>
    <definedName name="EasyJSP" localSheetId="6">#REF!</definedName>
    <definedName name="EasyJSP">#REF!</definedName>
    <definedName name="EasyRpt" localSheetId="2">#REF!</definedName>
    <definedName name="EasyRpt" localSheetId="4">#REF!</definedName>
    <definedName name="EasyRpt" localSheetId="6">#REF!</definedName>
    <definedName name="EasyRpt">#REF!</definedName>
    <definedName name="EasyRule" localSheetId="2">#REF!</definedName>
    <definedName name="EasyRule" localSheetId="4">#REF!</definedName>
    <definedName name="EasyRule" localSheetId="6">#REF!</definedName>
    <definedName name="EasyRule">#REF!</definedName>
    <definedName name="EasyVBean" localSheetId="2">#REF!</definedName>
    <definedName name="EasyVBean" localSheetId="4">#REF!</definedName>
    <definedName name="EasyVBean" localSheetId="6">#REF!</definedName>
    <definedName name="EasyVBean">#REF!</definedName>
    <definedName name="Exhibit_A_DB" localSheetId="2">#REF!</definedName>
    <definedName name="Exhibit_A_DB" localSheetId="4">#REF!</definedName>
    <definedName name="Exhibit_A_DB" localSheetId="6">#REF!</definedName>
    <definedName name="Exhibit_A_DB">#REF!</definedName>
    <definedName name="fe" localSheetId="2">#REF!</definedName>
    <definedName name="fe" localSheetId="4">#REF!</definedName>
    <definedName name="fe" localSheetId="6">#REF!</definedName>
    <definedName name="fe">#REF!</definedName>
    <definedName name="Form_AT_Factor" localSheetId="2">#REF!</definedName>
    <definedName name="Form_AT_Factor" localSheetId="4">#REF!</definedName>
    <definedName name="Form_AT_Factor" localSheetId="6">#REF!</definedName>
    <definedName name="Form_AT_Factor">#REF!</definedName>
    <definedName name="Form_DAO_Factor" localSheetId="2">#REF!</definedName>
    <definedName name="Form_DAO_Factor" localSheetId="4">#REF!</definedName>
    <definedName name="Form_DAO_Factor" localSheetId="6">#REF!</definedName>
    <definedName name="Form_DAO_Factor">#REF!</definedName>
    <definedName name="FTE_Days_Per_Month" localSheetId="2">'[4]B Tasks and Deliv''s'!#REF!</definedName>
    <definedName name="FTE_Days_Per_Month" localSheetId="4">'[4]B Tasks and Deliv''s'!#REF!</definedName>
    <definedName name="FTE_Days_Per_Month" localSheetId="6">'[4]B Tasks and Deliv''s'!#REF!</definedName>
    <definedName name="FTE_Days_Per_Month">'[4]B Tasks and Deliv''s'!#REF!</definedName>
    <definedName name="IAPDU" localSheetId="2">#REF!</definedName>
    <definedName name="IAPDU" localSheetId="4">#REF!</definedName>
    <definedName name="IAPDU" localSheetId="6">#REF!</definedName>
    <definedName name="IAPDU">#REF!</definedName>
    <definedName name="ICRECON" localSheetId="2">'[5]Monthly Detail'!#REF!</definedName>
    <definedName name="ICRECON" localSheetId="4">'[5]Monthly Detail'!#REF!</definedName>
    <definedName name="ICRECON" localSheetId="6">'[5]Monthly Detail'!#REF!</definedName>
    <definedName name="ICRECON">'[5]Monthly Detail'!#REF!</definedName>
    <definedName name="INDIRECT" localSheetId="2">'[5]Monthly Detail'!#REF!</definedName>
    <definedName name="INDIRECT" localSheetId="4">'[5]Monthly Detail'!#REF!</definedName>
    <definedName name="INDIRECT" localSheetId="6">'[5]Monthly Detail'!#REF!</definedName>
    <definedName name="INDIRECT">'[5]Monthly Detail'!#REF!</definedName>
    <definedName name="Itemized_Software_Description">[6]Sheet3!$D$1:$D$16</definedName>
    <definedName name="JSP_AT_Factor" localSheetId="2">#REF!</definedName>
    <definedName name="JSP_AT_Factor" localSheetId="4">#REF!</definedName>
    <definedName name="JSP_AT_Factor" localSheetId="6">#REF!</definedName>
    <definedName name="JSP_AT_Factor">#REF!</definedName>
    <definedName name="JSP_Conv_Factor" localSheetId="2">#REF!</definedName>
    <definedName name="JSP_Conv_Factor" localSheetId="4">#REF!</definedName>
    <definedName name="JSP_Conv_Factor" localSheetId="6">#REF!</definedName>
    <definedName name="JSP_Conv_Factor">#REF!</definedName>
    <definedName name="JSP_DAO_Factor" localSheetId="2">#REF!</definedName>
    <definedName name="JSP_DAO_Factor" localSheetId="4">#REF!</definedName>
    <definedName name="JSP_DAO_Factor" localSheetId="6">#REF!</definedName>
    <definedName name="JSP_DAO_Factor">#REF!</definedName>
    <definedName name="JSP_EJB_Factor" localSheetId="2">#REF!</definedName>
    <definedName name="JSP_EJB_Factor" localSheetId="4">#REF!</definedName>
    <definedName name="JSP_EJB_Factor" localSheetId="6">#REF!</definedName>
    <definedName name="JSP_EJB_Factor">#REF!</definedName>
    <definedName name="JSP_VBean_Factor" localSheetId="2">#REF!</definedName>
    <definedName name="JSP_VBean_Factor" localSheetId="4">#REF!</definedName>
    <definedName name="JSP_VBean_Factor" localSheetId="6">#REF!</definedName>
    <definedName name="JSP_VBean_Factor">#REF!</definedName>
    <definedName name="MedAT" localSheetId="2">#REF!</definedName>
    <definedName name="MedAT" localSheetId="4">#REF!</definedName>
    <definedName name="MedAT" localSheetId="6">#REF!</definedName>
    <definedName name="MedAT">#REF!</definedName>
    <definedName name="MedBatch" localSheetId="2">#REF!</definedName>
    <definedName name="MedBatch" localSheetId="4">#REF!</definedName>
    <definedName name="MedBatch" localSheetId="6">#REF!</definedName>
    <definedName name="MedBatch">#REF!</definedName>
    <definedName name="MedChg" localSheetId="2">#REF!</definedName>
    <definedName name="MedChg" localSheetId="4">#REF!</definedName>
    <definedName name="MedChg" localSheetId="6">#REF!</definedName>
    <definedName name="MedChg">#REF!</definedName>
    <definedName name="MedCommon" localSheetId="2">#REF!</definedName>
    <definedName name="MedCommon" localSheetId="4">#REF!</definedName>
    <definedName name="MedCommon" localSheetId="6">#REF!</definedName>
    <definedName name="MedCommon">#REF!</definedName>
    <definedName name="MedConv" localSheetId="2">#REF!</definedName>
    <definedName name="MedConv" localSheetId="4">#REF!</definedName>
    <definedName name="MedConv" localSheetId="6">#REF!</definedName>
    <definedName name="MedConv">#REF!</definedName>
    <definedName name="MedDAO" localSheetId="2">#REF!</definedName>
    <definedName name="MedDAO" localSheetId="4">#REF!</definedName>
    <definedName name="MedDAO" localSheetId="6">#REF!</definedName>
    <definedName name="MedDAO">#REF!</definedName>
    <definedName name="MedEJB" localSheetId="2">#REF!</definedName>
    <definedName name="MedEJB" localSheetId="4">#REF!</definedName>
    <definedName name="MedEJB" localSheetId="6">#REF!</definedName>
    <definedName name="MedEJB">#REF!</definedName>
    <definedName name="MedForm" localSheetId="2">#REF!</definedName>
    <definedName name="MedForm" localSheetId="4">#REF!</definedName>
    <definedName name="MedForm" localSheetId="6">#REF!</definedName>
    <definedName name="MedForm">#REF!</definedName>
    <definedName name="MedJSP" localSheetId="2">#REF!</definedName>
    <definedName name="MedJSP" localSheetId="4">#REF!</definedName>
    <definedName name="MedJSP" localSheetId="6">#REF!</definedName>
    <definedName name="MedJSP">#REF!</definedName>
    <definedName name="MedRpt" localSheetId="2">#REF!</definedName>
    <definedName name="MedRpt" localSheetId="4">#REF!</definedName>
    <definedName name="MedRpt" localSheetId="6">#REF!</definedName>
    <definedName name="MedRpt">#REF!</definedName>
    <definedName name="MedRule" localSheetId="2">#REF!</definedName>
    <definedName name="MedRule" localSheetId="4">#REF!</definedName>
    <definedName name="MedRule" localSheetId="6">#REF!</definedName>
    <definedName name="MedRule">#REF!</definedName>
    <definedName name="MedVBean" localSheetId="2">#REF!</definedName>
    <definedName name="MedVBean" localSheetId="4">#REF!</definedName>
    <definedName name="MedVBean" localSheetId="6">#REF!</definedName>
    <definedName name="MedVBean">#REF!</definedName>
    <definedName name="MONTHSUM" localSheetId="2">'[5]Monthly Detail'!#REF!</definedName>
    <definedName name="MONTHSUM" localSheetId="4">'[5]Monthly Detail'!#REF!</definedName>
    <definedName name="MONTHSUM" localSheetId="6">'[5]Monthly Detail'!#REF!</definedName>
    <definedName name="MONTHSUM">'[5]Monthly Detail'!#REF!</definedName>
    <definedName name="Period" localSheetId="2">#REF!</definedName>
    <definedName name="Period" localSheetId="4">#REF!</definedName>
    <definedName name="Period" localSheetId="6">#REF!</definedName>
    <definedName name="Period">#REF!</definedName>
    <definedName name="PM" localSheetId="2">#REF!</definedName>
    <definedName name="PM" localSheetId="4">#REF!</definedName>
    <definedName name="PM" localSheetId="6">#REF!</definedName>
    <definedName name="PM">#REF!</definedName>
    <definedName name="_xlnm.Print_Area" localSheetId="0">'1. Exh X - Charges Summary'!$A$1:$N$36</definedName>
    <definedName name="_xlnm.Print_Area" localSheetId="1">'2. App Maint'!$A$1:$Q$21</definedName>
    <definedName name="_xlnm.Print_Area" localSheetId="2">'3A. Prod Ops'!$A$1:$X$70</definedName>
    <definedName name="_xlnm.Print_Area" localSheetId="4">'3B. Innovation Lab'!$A$1:$V$21</definedName>
    <definedName name="_xlnm.Print_Area" localSheetId="6">'4. Prod Ops'!$A$1:$L$42</definedName>
    <definedName name="_xlnm.Print_Area" localSheetId="5">'4. Prod Ops Old'!$A$1:$H$34</definedName>
    <definedName name="_xlnm.Print_Area" localSheetId="7">'5. HW &amp; SW'!$A$1:$J$19</definedName>
    <definedName name="_xlnm.Print_Area" localSheetId="8">'6. Facilities'!$A$1:$I$20</definedName>
    <definedName name="_xlnm.Print_Area" localSheetId="9">'7. Hourly Rate Card'!$A$1:$M$32</definedName>
    <definedName name="_xlnm.Print_Area" localSheetId="10">'8. Change Order Rate Card'!$A$1:$H$18</definedName>
    <definedName name="_xlnm.Print_Titles" localSheetId="0">'1. Exh X - Charges Summary'!$1:$2</definedName>
    <definedName name="_xlnm.Print_Titles" localSheetId="7">'5. HW &amp; SW'!$1:$4</definedName>
    <definedName name="_xlnm.Print_Titles" localSheetId="8">'6. Facilities'!$B:$B,'6. Facilities'!$1:$4</definedName>
    <definedName name="Project_Yr" localSheetId="2">#REF!</definedName>
    <definedName name="Project_Yr" localSheetId="4">#REF!</definedName>
    <definedName name="Project_Yr" localSheetId="6">#REF!</definedName>
    <definedName name="Project_Yr">#REF!</definedName>
    <definedName name="ProjectDiscount" localSheetId="2">#REF!</definedName>
    <definedName name="ProjectDiscount" localSheetId="4">#REF!</definedName>
    <definedName name="ProjectDiscount" localSheetId="6">#REF!</definedName>
    <definedName name="ProjectDiscount">#REF!</definedName>
    <definedName name="PY_Hours" localSheetId="2">#REF!</definedName>
    <definedName name="PY_Hours" localSheetId="4">#REF!</definedName>
    <definedName name="PY_Hours" localSheetId="6">#REF!</definedName>
    <definedName name="PY_Hours">#REF!</definedName>
    <definedName name="PY_Hours_DB" localSheetId="2">#REF!</definedName>
    <definedName name="PY_Hours_DB" localSheetId="4">#REF!</definedName>
    <definedName name="PY_Hours_DB" localSheetId="6">#REF!</definedName>
    <definedName name="PY_Hours_DB">#REF!</definedName>
    <definedName name="PY_Percent_DB" localSheetId="2">#REF!</definedName>
    <definedName name="PY_Percent_DB" localSheetId="4">#REF!</definedName>
    <definedName name="PY_Percent_DB" localSheetId="6">#REF!</definedName>
    <definedName name="PY_Percent_DB">#REF!</definedName>
    <definedName name="QA_Rate" localSheetId="2">#REF!</definedName>
    <definedName name="QA_Rate" localSheetId="4">#REF!</definedName>
    <definedName name="QA_Rate" localSheetId="6">#REF!</definedName>
    <definedName name="QA_Rate">#REF!</definedName>
    <definedName name="QTRALLOC">#N/A</definedName>
    <definedName name="Rpt_AT_Factor" localSheetId="2">#REF!</definedName>
    <definedName name="Rpt_AT_Factor" localSheetId="4">#REF!</definedName>
    <definedName name="Rpt_AT_Factor" localSheetId="6">#REF!</definedName>
    <definedName name="Rpt_AT_Factor">#REF!</definedName>
    <definedName name="Rule_AT_Factor" localSheetId="2">#REF!</definedName>
    <definedName name="Rule_AT_Factor" localSheetId="4">#REF!</definedName>
    <definedName name="Rule_AT_Factor" localSheetId="6">#REF!</definedName>
    <definedName name="Rule_AT_Factor">#REF!</definedName>
    <definedName name="Rule_DAO_Factor" localSheetId="2">#REF!</definedName>
    <definedName name="Rule_DAO_Factor" localSheetId="4">#REF!</definedName>
    <definedName name="Rule_DAO_Factor" localSheetId="6">#REF!</definedName>
    <definedName name="Rule_DAO_Factor">#REF!</definedName>
    <definedName name="Rule_VBean_Factor" localSheetId="2">#REF!</definedName>
    <definedName name="Rule_VBean_Factor" localSheetId="4">#REF!</definedName>
    <definedName name="Rule_VBean_Factor" localSheetId="6">#REF!</definedName>
    <definedName name="Rule_VBean_Factor">#REF!</definedName>
    <definedName name="sacs" localSheetId="2">#REF!</definedName>
    <definedName name="sacs" localSheetId="4">#REF!</definedName>
    <definedName name="sacs" localSheetId="6">#REF!</definedName>
    <definedName name="sacs">#REF!</definedName>
    <definedName name="Sales_Tax">'[7]J11 - CO-002'!$K$55</definedName>
    <definedName name="Schedule" localSheetId="2">#REF!</definedName>
    <definedName name="Schedule" localSheetId="4">#REF!</definedName>
    <definedName name="Schedule" localSheetId="6">#REF!</definedName>
    <definedName name="Schedule">#REF!</definedName>
    <definedName name="Shipping">'[7]J11 - CO-002'!$K$56</definedName>
    <definedName name="SUPPLIES" localSheetId="2">'[5]Monthly Detail'!#REF!</definedName>
    <definedName name="SUPPLIES" localSheetId="4">'[5]Monthly Detail'!#REF!</definedName>
    <definedName name="SUPPLIES" localSheetId="6">'[5]Monthly Detail'!#REF!</definedName>
    <definedName name="SUPPLIES">'[5]Monthly Detail'!#REF!</definedName>
    <definedName name="SystemTest" localSheetId="2">#REF!</definedName>
    <definedName name="SystemTest" localSheetId="4">#REF!</definedName>
    <definedName name="SystemTest" localSheetId="6">#REF!</definedName>
    <definedName name="SystemTest">#REF!</definedName>
    <definedName name="t_channels" localSheetId="2">'[8]hw-sw-maintenance'!#REF!</definedName>
    <definedName name="t_channels" localSheetId="4">'[8]hw-sw-maintenance'!#REF!</definedName>
    <definedName name="t_channels" localSheetId="6">'[8]hw-sw-maintenance'!#REF!</definedName>
    <definedName name="t_channels">'[8]hw-sw-maintenance'!#REF!</definedName>
    <definedName name="t_seats" localSheetId="2">'[8]hw-sw-maintenance'!#REF!</definedName>
    <definedName name="t_seats" localSheetId="4">'[8]hw-sw-maintenance'!#REF!</definedName>
    <definedName name="t_seats" localSheetId="6">'[8]hw-sw-maintenance'!#REF!</definedName>
    <definedName name="t_seats">'[8]hw-sw-maintenance'!#REF!</definedName>
    <definedName name="T1_Install" localSheetId="2">[3]LoE!#REF!</definedName>
    <definedName name="T1_Install" localSheetId="4">[3]LoE!#REF!</definedName>
    <definedName name="T1_Install" localSheetId="6">[3]LoE!#REF!</definedName>
    <definedName name="T1_Install">[3]LoE!#REF!</definedName>
    <definedName name="T1_Recurring_Cost" localSheetId="2">[3]LoE!#REF!</definedName>
    <definedName name="T1_Recurring_Cost" localSheetId="4">[3]LoE!#REF!</definedName>
    <definedName name="T1_Recurring_Cost" localSheetId="6">[3]LoE!#REF!</definedName>
    <definedName name="T1_Recurring_Cost">[3]LoE!#REF!</definedName>
    <definedName name="Tasks" localSheetId="2">#REF!</definedName>
    <definedName name="Tasks" localSheetId="4">#REF!</definedName>
    <definedName name="Tasks" localSheetId="6">#REF!</definedName>
    <definedName name="Tasks">#REF!</definedName>
    <definedName name="Team" localSheetId="2">#REF!</definedName>
    <definedName name="Team" localSheetId="4">#REF!</definedName>
    <definedName name="Team" localSheetId="6">#REF!</definedName>
    <definedName name="Team">#REF!</definedName>
    <definedName name="TestPct" localSheetId="2">#REF!</definedName>
    <definedName name="TestPct" localSheetId="4">#REF!</definedName>
    <definedName name="TestPct" localSheetId="6">#REF!</definedName>
    <definedName name="TestPct">#REF!</definedName>
    <definedName name="ValidResources">'[9]4.  Resource Totals by Year'!$A$5:$A$20</definedName>
    <definedName name="Ven.Q" localSheetId="2">#REF!</definedName>
    <definedName name="Ven.Q" localSheetId="4">#REF!</definedName>
    <definedName name="Ven.Q" localSheetId="6">#REF!</definedName>
    <definedName name="Ven.Q">#REF!</definedName>
    <definedName name="Ven.Q_collabrio" localSheetId="2">#REF!</definedName>
    <definedName name="Ven.Q_collabrio" localSheetId="4">#REF!</definedName>
    <definedName name="Ven.Q_collabrio" localSheetId="6">#REF!</definedName>
    <definedName name="Ven.Q_collabrio">#REF!</definedName>
    <definedName name="Waves" localSheetId="2">#REF!</definedName>
    <definedName name="Waves" localSheetId="4">#REF!</definedName>
    <definedName name="Waves" localSheetId="6">#REF!</definedName>
    <definedName name="Wav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57" i="40" l="1"/>
  <c r="K56" i="40"/>
  <c r="K55" i="40"/>
  <c r="K54" i="40"/>
  <c r="E20" i="3" l="1"/>
  <c r="M24" i="1" l="1"/>
  <c r="K21" i="1" l="1"/>
  <c r="V59" i="40"/>
  <c r="V53" i="40"/>
  <c r="V50" i="40"/>
  <c r="V45" i="40"/>
  <c r="V41" i="40"/>
  <c r="V7" i="40"/>
  <c r="L19" i="41"/>
  <c r="L24" i="41"/>
  <c r="L21" i="41" s="1"/>
  <c r="L23" i="41"/>
  <c r="L22" i="41"/>
  <c r="L18" i="41"/>
  <c r="L17" i="41"/>
  <c r="L16" i="41"/>
  <c r="L15" i="41"/>
  <c r="L14" i="41"/>
  <c r="L10" i="41"/>
  <c r="L9" i="41"/>
  <c r="L8" i="41"/>
  <c r="L7" i="41"/>
  <c r="L6" i="41"/>
  <c r="J21" i="41"/>
  <c r="J13" i="41"/>
  <c r="J5" i="41"/>
  <c r="J24" i="41"/>
  <c r="V62" i="40" l="1"/>
  <c r="L13" i="41"/>
  <c r="J26" i="41"/>
  <c r="S51" i="40" l="1"/>
  <c r="S50" i="40" s="1"/>
  <c r="R51" i="40"/>
  <c r="O51" i="40"/>
  <c r="O50" i="40" s="1"/>
  <c r="L51" i="40"/>
  <c r="L50" i="40" s="1"/>
  <c r="I51" i="40"/>
  <c r="I50" i="40" s="1"/>
  <c r="F51" i="40"/>
  <c r="R50" i="40"/>
  <c r="Q50" i="40"/>
  <c r="P50" i="40"/>
  <c r="N50" i="40"/>
  <c r="M50" i="40"/>
  <c r="K50" i="40"/>
  <c r="J50" i="40"/>
  <c r="H50" i="40"/>
  <c r="G50" i="40"/>
  <c r="E50" i="40"/>
  <c r="D50" i="40"/>
  <c r="T51" i="40" l="1"/>
  <c r="F50" i="40"/>
  <c r="T50" i="40" l="1"/>
  <c r="X51" i="40"/>
  <c r="X50" i="40" s="1"/>
  <c r="N77" i="34"/>
  <c r="N74" i="34"/>
  <c r="N75" i="34"/>
  <c r="Q53" i="40" l="1"/>
  <c r="P53" i="40"/>
  <c r="N53" i="40"/>
  <c r="M53" i="40"/>
  <c r="K53" i="40"/>
  <c r="J53" i="40"/>
  <c r="H53" i="40"/>
  <c r="G53" i="40"/>
  <c r="E53" i="40"/>
  <c r="D53" i="40"/>
  <c r="S57" i="40"/>
  <c r="R57" i="40"/>
  <c r="O57" i="40"/>
  <c r="L57" i="40"/>
  <c r="I57" i="40"/>
  <c r="F57" i="40"/>
  <c r="S56" i="40"/>
  <c r="R56" i="40"/>
  <c r="O56" i="40"/>
  <c r="L56" i="40"/>
  <c r="I56" i="40"/>
  <c r="F56" i="40"/>
  <c r="S55" i="40"/>
  <c r="R55" i="40"/>
  <c r="O55" i="40"/>
  <c r="L55" i="40"/>
  <c r="I55" i="40"/>
  <c r="F55" i="40"/>
  <c r="S54" i="40"/>
  <c r="R54" i="40"/>
  <c r="O54" i="40"/>
  <c r="L54" i="40"/>
  <c r="I54" i="40"/>
  <c r="F54" i="40"/>
  <c r="R53" i="40" l="1"/>
  <c r="L53" i="40"/>
  <c r="S53" i="40"/>
  <c r="O53" i="40"/>
  <c r="I53" i="40"/>
  <c r="T56" i="40"/>
  <c r="X56" i="40" s="1"/>
  <c r="T57" i="40"/>
  <c r="X57" i="40" s="1"/>
  <c r="T54" i="40"/>
  <c r="X54" i="40" s="1"/>
  <c r="F53" i="40"/>
  <c r="T55" i="40"/>
  <c r="T53" i="40" l="1"/>
  <c r="X55" i="40"/>
  <c r="X53" i="40" s="1"/>
  <c r="K48" i="34"/>
  <c r="N48" i="34"/>
  <c r="Q48" i="34"/>
  <c r="K43" i="40"/>
  <c r="G25" i="1" l="1"/>
  <c r="H25" i="1"/>
  <c r="F25" i="1"/>
  <c r="H17" i="1"/>
  <c r="G17" i="1"/>
  <c r="F17" i="1"/>
  <c r="G19" i="1"/>
  <c r="F19" i="1"/>
  <c r="L25" i="40" l="1"/>
  <c r="G24" i="1" l="1"/>
  <c r="H24" i="1"/>
  <c r="F24" i="1"/>
  <c r="G23" i="1"/>
  <c r="F23" i="1"/>
  <c r="H24" i="41"/>
  <c r="H23" i="41"/>
  <c r="H22" i="41"/>
  <c r="H21" i="41" s="1"/>
  <c r="G21" i="41"/>
  <c r="F21" i="41"/>
  <c r="E21" i="41"/>
  <c r="D21" i="41"/>
  <c r="C21" i="41"/>
  <c r="H19" i="41"/>
  <c r="H18" i="41"/>
  <c r="H17" i="41"/>
  <c r="H16" i="41"/>
  <c r="H15" i="41"/>
  <c r="H14" i="41"/>
  <c r="G13" i="41"/>
  <c r="F13" i="41"/>
  <c r="E13" i="41"/>
  <c r="D13" i="41"/>
  <c r="C13" i="41"/>
  <c r="H11" i="41"/>
  <c r="L11" i="41" s="1"/>
  <c r="L5" i="41" s="1"/>
  <c r="L26" i="41" s="1"/>
  <c r="H10" i="41"/>
  <c r="H9" i="41"/>
  <c r="H8" i="41"/>
  <c r="H7" i="41"/>
  <c r="H6" i="41"/>
  <c r="G5" i="41"/>
  <c r="G26" i="41" s="1"/>
  <c r="F5" i="41"/>
  <c r="E5" i="41"/>
  <c r="D5" i="41"/>
  <c r="D26" i="41" s="1"/>
  <c r="C5" i="41"/>
  <c r="C26" i="41" s="1"/>
  <c r="H23" i="1" l="1"/>
  <c r="H13" i="41"/>
  <c r="E26" i="41"/>
  <c r="F26" i="41"/>
  <c r="H5" i="41"/>
  <c r="I31" i="1"/>
  <c r="I30" i="1"/>
  <c r="I29" i="1"/>
  <c r="I28" i="1"/>
  <c r="H27" i="1"/>
  <c r="G27" i="1"/>
  <c r="F27" i="1"/>
  <c r="E27" i="1"/>
  <c r="D27" i="1"/>
  <c r="C27" i="1"/>
  <c r="E25" i="1"/>
  <c r="D25" i="1"/>
  <c r="E24" i="1"/>
  <c r="D24" i="1"/>
  <c r="I24" i="1" s="1"/>
  <c r="E23" i="1"/>
  <c r="D23" i="1"/>
  <c r="I23" i="1" s="1"/>
  <c r="M23" i="1" s="1"/>
  <c r="E22" i="1"/>
  <c r="D22" i="1"/>
  <c r="I19" i="1"/>
  <c r="M19" i="1" s="1"/>
  <c r="I17" i="1"/>
  <c r="M17" i="1" s="1"/>
  <c r="S60" i="40"/>
  <c r="S59" i="40" s="1"/>
  <c r="R60" i="40"/>
  <c r="R59" i="40" s="1"/>
  <c r="O60" i="40"/>
  <c r="O59" i="40" s="1"/>
  <c r="L60" i="40"/>
  <c r="L59" i="40" s="1"/>
  <c r="I60" i="40"/>
  <c r="I59" i="40" s="1"/>
  <c r="F60" i="40"/>
  <c r="F59" i="40" s="1"/>
  <c r="Q59" i="40"/>
  <c r="P59" i="40"/>
  <c r="N59" i="40"/>
  <c r="M59" i="40"/>
  <c r="K59" i="40"/>
  <c r="J59" i="40"/>
  <c r="H59" i="40"/>
  <c r="G59" i="40"/>
  <c r="E59" i="40"/>
  <c r="D59" i="40"/>
  <c r="Q48" i="40"/>
  <c r="R48" i="40" s="1"/>
  <c r="N48" i="40"/>
  <c r="M48" i="40" s="1"/>
  <c r="M45" i="40" s="1"/>
  <c r="K48" i="40"/>
  <c r="L48" i="40" s="1"/>
  <c r="I48" i="40"/>
  <c r="F48" i="40"/>
  <c r="R47" i="40"/>
  <c r="O47" i="40"/>
  <c r="K47" i="40"/>
  <c r="L47" i="40" s="1"/>
  <c r="I47" i="40"/>
  <c r="F47" i="40"/>
  <c r="S46" i="40"/>
  <c r="R46" i="40"/>
  <c r="O46" i="40"/>
  <c r="L46" i="40"/>
  <c r="I46" i="40"/>
  <c r="F46" i="40"/>
  <c r="Q45" i="40"/>
  <c r="H45" i="40"/>
  <c r="G45" i="40"/>
  <c r="E45" i="40"/>
  <c r="D45" i="40"/>
  <c r="R43" i="40"/>
  <c r="P43" i="40"/>
  <c r="O43" i="40"/>
  <c r="M43" i="40"/>
  <c r="L43" i="40"/>
  <c r="J43" i="40"/>
  <c r="I43" i="40"/>
  <c r="F43" i="40"/>
  <c r="D43" i="40"/>
  <c r="S42" i="40"/>
  <c r="R42" i="40"/>
  <c r="P42" i="40"/>
  <c r="O42" i="40"/>
  <c r="M42" i="40"/>
  <c r="L42" i="40"/>
  <c r="J42" i="40"/>
  <c r="I42" i="40"/>
  <c r="I41" i="40" s="1"/>
  <c r="F42" i="40"/>
  <c r="Q41" i="40"/>
  <c r="N41" i="40"/>
  <c r="K41" i="40"/>
  <c r="H41" i="40"/>
  <c r="G41" i="40"/>
  <c r="E41" i="40"/>
  <c r="R39" i="40"/>
  <c r="P39" i="40"/>
  <c r="O39" i="40"/>
  <c r="M39" i="40"/>
  <c r="K39" i="40"/>
  <c r="L39" i="40" s="1"/>
  <c r="I39" i="40"/>
  <c r="G39" i="40"/>
  <c r="F39" i="40"/>
  <c r="D39" i="40"/>
  <c r="D7" i="40" s="1"/>
  <c r="R38" i="40"/>
  <c r="P38" i="40"/>
  <c r="O38" i="40"/>
  <c r="M38" i="40"/>
  <c r="L38" i="40"/>
  <c r="J38" i="40"/>
  <c r="I38" i="40"/>
  <c r="G38" i="40"/>
  <c r="F38" i="40"/>
  <c r="R37" i="40"/>
  <c r="P37" i="40"/>
  <c r="O37" i="40"/>
  <c r="M37" i="40"/>
  <c r="L37" i="40"/>
  <c r="S37" i="40"/>
  <c r="I37" i="40"/>
  <c r="G37" i="40"/>
  <c r="F37" i="40"/>
  <c r="R36" i="40"/>
  <c r="P36" i="40"/>
  <c r="O36" i="40"/>
  <c r="M36" i="40"/>
  <c r="L36" i="40"/>
  <c r="J36" i="40"/>
  <c r="I36" i="40"/>
  <c r="F36" i="40"/>
  <c r="Q35" i="40"/>
  <c r="P35" i="40" s="1"/>
  <c r="N35" i="40"/>
  <c r="M35" i="40" s="1"/>
  <c r="K35" i="40"/>
  <c r="L35" i="40" s="1"/>
  <c r="I35" i="40"/>
  <c r="F35" i="40"/>
  <c r="S34" i="40"/>
  <c r="R34" i="40"/>
  <c r="P34" i="40"/>
  <c r="O34" i="40"/>
  <c r="M34" i="40"/>
  <c r="L34" i="40"/>
  <c r="J34" i="40"/>
  <c r="I34" i="40"/>
  <c r="F34" i="40"/>
  <c r="S33" i="40"/>
  <c r="R33" i="40"/>
  <c r="P33" i="40"/>
  <c r="O33" i="40"/>
  <c r="M33" i="40"/>
  <c r="L33" i="40"/>
  <c r="J33" i="40"/>
  <c r="I33" i="40"/>
  <c r="F33" i="40"/>
  <c r="Q32" i="40"/>
  <c r="R32" i="40" s="1"/>
  <c r="N32" i="40"/>
  <c r="M32" i="40" s="1"/>
  <c r="K32" i="40"/>
  <c r="L32" i="40" s="1"/>
  <c r="I32" i="40"/>
  <c r="F32" i="40"/>
  <c r="S31" i="40"/>
  <c r="R31" i="40"/>
  <c r="P31" i="40"/>
  <c r="O31" i="40"/>
  <c r="M31" i="40"/>
  <c r="L31" i="40"/>
  <c r="J31" i="40"/>
  <c r="I31" i="40"/>
  <c r="F31" i="40"/>
  <c r="S30" i="40"/>
  <c r="R30" i="40"/>
  <c r="P30" i="40"/>
  <c r="O30" i="40"/>
  <c r="M30" i="40"/>
  <c r="L30" i="40"/>
  <c r="J30" i="40"/>
  <c r="I30" i="40"/>
  <c r="F30" i="40"/>
  <c r="S29" i="40"/>
  <c r="R29" i="40"/>
  <c r="P29" i="40"/>
  <c r="O29" i="40"/>
  <c r="M29" i="40"/>
  <c r="L29" i="40"/>
  <c r="J29" i="40"/>
  <c r="I29" i="40"/>
  <c r="F29" i="40"/>
  <c r="S28" i="40"/>
  <c r="R28" i="40"/>
  <c r="P28" i="40"/>
  <c r="O28" i="40"/>
  <c r="M28" i="40"/>
  <c r="L28" i="40"/>
  <c r="J28" i="40"/>
  <c r="I28" i="40"/>
  <c r="F28" i="40"/>
  <c r="S27" i="40"/>
  <c r="R27" i="40"/>
  <c r="P27" i="40"/>
  <c r="O27" i="40"/>
  <c r="M27" i="40"/>
  <c r="L27" i="40"/>
  <c r="J27" i="40"/>
  <c r="I27" i="40"/>
  <c r="F27" i="40"/>
  <c r="S26" i="40"/>
  <c r="R26" i="40"/>
  <c r="P26" i="40"/>
  <c r="O26" i="40"/>
  <c r="M26" i="40"/>
  <c r="L26" i="40"/>
  <c r="J26" i="40"/>
  <c r="I26" i="40"/>
  <c r="F26" i="40"/>
  <c r="S25" i="40"/>
  <c r="R25" i="40"/>
  <c r="P25" i="40"/>
  <c r="O25" i="40"/>
  <c r="M25" i="40"/>
  <c r="J25" i="40"/>
  <c r="I25" i="40"/>
  <c r="F25" i="40"/>
  <c r="S24" i="40"/>
  <c r="R24" i="40"/>
  <c r="P24" i="40"/>
  <c r="O24" i="40"/>
  <c r="M24" i="40"/>
  <c r="L24" i="40"/>
  <c r="J24" i="40"/>
  <c r="I24" i="40"/>
  <c r="F24" i="40"/>
  <c r="S23" i="40"/>
  <c r="R23" i="40"/>
  <c r="P23" i="40"/>
  <c r="O23" i="40"/>
  <c r="M23" i="40"/>
  <c r="L23" i="40"/>
  <c r="J23" i="40"/>
  <c r="I23" i="40"/>
  <c r="F23" i="40"/>
  <c r="S22" i="40"/>
  <c r="R22" i="40"/>
  <c r="P22" i="40"/>
  <c r="O22" i="40"/>
  <c r="M22" i="40"/>
  <c r="L22" i="40"/>
  <c r="J22" i="40"/>
  <c r="I22" i="40"/>
  <c r="F22" i="40"/>
  <c r="S21" i="40"/>
  <c r="R21" i="40"/>
  <c r="P21" i="40"/>
  <c r="O21" i="40"/>
  <c r="M21" i="40"/>
  <c r="L21" i="40"/>
  <c r="J21" i="40"/>
  <c r="I21" i="40"/>
  <c r="F21" i="40"/>
  <c r="S20" i="40"/>
  <c r="R20" i="40"/>
  <c r="P20" i="40"/>
  <c r="O20" i="40"/>
  <c r="M20" i="40"/>
  <c r="L20" i="40"/>
  <c r="J20" i="40"/>
  <c r="I20" i="40"/>
  <c r="F20" i="40"/>
  <c r="S19" i="40"/>
  <c r="R19" i="40"/>
  <c r="P19" i="40"/>
  <c r="O19" i="40"/>
  <c r="M19" i="40"/>
  <c r="L19" i="40"/>
  <c r="J19" i="40"/>
  <c r="I19" i="40"/>
  <c r="F19" i="40"/>
  <c r="S18" i="40"/>
  <c r="R18" i="40"/>
  <c r="P18" i="40"/>
  <c r="O18" i="40"/>
  <c r="M18" i="40"/>
  <c r="L18" i="40"/>
  <c r="J18" i="40"/>
  <c r="I18" i="40"/>
  <c r="F18" i="40"/>
  <c r="S17" i="40"/>
  <c r="R17" i="40"/>
  <c r="P17" i="40"/>
  <c r="O17" i="40"/>
  <c r="M17" i="40"/>
  <c r="L17" i="40"/>
  <c r="J17" i="40"/>
  <c r="I17" i="40"/>
  <c r="F17" i="40"/>
  <c r="S16" i="40"/>
  <c r="R16" i="40"/>
  <c r="O16" i="40"/>
  <c r="L16" i="40"/>
  <c r="I16" i="40"/>
  <c r="F16" i="40"/>
  <c r="S15" i="40"/>
  <c r="R15" i="40"/>
  <c r="P15" i="40"/>
  <c r="O15" i="40"/>
  <c r="M15" i="40"/>
  <c r="L15" i="40"/>
  <c r="J15" i="40"/>
  <c r="I15" i="40"/>
  <c r="F15" i="40"/>
  <c r="S14" i="40"/>
  <c r="R14" i="40"/>
  <c r="P14" i="40"/>
  <c r="O14" i="40"/>
  <c r="M14" i="40"/>
  <c r="L14" i="40"/>
  <c r="J14" i="40"/>
  <c r="I14" i="40"/>
  <c r="F14" i="40"/>
  <c r="S13" i="40"/>
  <c r="R13" i="40"/>
  <c r="P13" i="40"/>
  <c r="O13" i="40"/>
  <c r="M13" i="40"/>
  <c r="L13" i="40"/>
  <c r="J13" i="40"/>
  <c r="I13" i="40"/>
  <c r="F13" i="40"/>
  <c r="S12" i="40"/>
  <c r="R12" i="40"/>
  <c r="O12" i="40"/>
  <c r="L12" i="40"/>
  <c r="I12" i="40"/>
  <c r="F12" i="40"/>
  <c r="S11" i="40"/>
  <c r="R11" i="40"/>
  <c r="P11" i="40"/>
  <c r="O11" i="40"/>
  <c r="M11" i="40"/>
  <c r="L11" i="40"/>
  <c r="J11" i="40"/>
  <c r="I11" i="40"/>
  <c r="F11" i="40"/>
  <c r="S10" i="40"/>
  <c r="R10" i="40"/>
  <c r="P10" i="40"/>
  <c r="O10" i="40"/>
  <c r="M10" i="40"/>
  <c r="L10" i="40"/>
  <c r="J10" i="40"/>
  <c r="I10" i="40"/>
  <c r="F10" i="40"/>
  <c r="S9" i="40"/>
  <c r="R9" i="40"/>
  <c r="P9" i="40"/>
  <c r="O9" i="40"/>
  <c r="M9" i="40"/>
  <c r="L9" i="40"/>
  <c r="J9" i="40"/>
  <c r="I9" i="40"/>
  <c r="F9" i="40"/>
  <c r="S8" i="40"/>
  <c r="R8" i="40"/>
  <c r="P8" i="40"/>
  <c r="O8" i="40"/>
  <c r="M8" i="40"/>
  <c r="L8" i="40"/>
  <c r="J8" i="40"/>
  <c r="I8" i="40"/>
  <c r="F8" i="40"/>
  <c r="H7" i="40"/>
  <c r="E7" i="40"/>
  <c r="K30" i="1" l="1"/>
  <c r="M30" i="1"/>
  <c r="K29" i="1"/>
  <c r="M29" i="1" s="1"/>
  <c r="K31" i="1"/>
  <c r="M31" i="1" s="1"/>
  <c r="K27" i="1"/>
  <c r="K35" i="1" s="1"/>
  <c r="I25" i="1"/>
  <c r="M25" i="1" s="1"/>
  <c r="K28" i="1"/>
  <c r="M28" i="1" s="1"/>
  <c r="E21" i="1"/>
  <c r="I27" i="1"/>
  <c r="R41" i="40"/>
  <c r="O41" i="40"/>
  <c r="F45" i="40"/>
  <c r="P48" i="40"/>
  <c r="P45" i="40" s="1"/>
  <c r="G7" i="40"/>
  <c r="G62" i="40" s="1"/>
  <c r="P32" i="40"/>
  <c r="P7" i="40" s="1"/>
  <c r="P62" i="40" s="1"/>
  <c r="M41" i="40"/>
  <c r="J48" i="40"/>
  <c r="J45" i="40" s="1"/>
  <c r="T46" i="40"/>
  <c r="X46" i="40" s="1"/>
  <c r="O48" i="40"/>
  <c r="T48" i="40" s="1"/>
  <c r="X48" i="40" s="1"/>
  <c r="I45" i="40"/>
  <c r="J35" i="40"/>
  <c r="T33" i="40"/>
  <c r="X33" i="40" s="1"/>
  <c r="P41" i="40"/>
  <c r="T31" i="40"/>
  <c r="X31" i="40" s="1"/>
  <c r="I7" i="40"/>
  <c r="T24" i="40"/>
  <c r="X24" i="40" s="1"/>
  <c r="T9" i="40"/>
  <c r="X9" i="40" s="1"/>
  <c r="T34" i="40"/>
  <c r="X34" i="40" s="1"/>
  <c r="R35" i="40"/>
  <c r="E62" i="40"/>
  <c r="J41" i="40"/>
  <c r="T60" i="40"/>
  <c r="T23" i="40"/>
  <c r="X23" i="40" s="1"/>
  <c r="S39" i="40"/>
  <c r="S47" i="40"/>
  <c r="R45" i="40"/>
  <c r="D62" i="40"/>
  <c r="Q7" i="40"/>
  <c r="Q62" i="40" s="1"/>
  <c r="O35" i="40"/>
  <c r="K45" i="40"/>
  <c r="H62" i="40"/>
  <c r="O32" i="40"/>
  <c r="T32" i="40" s="1"/>
  <c r="X32" i="40" s="1"/>
  <c r="N7" i="40"/>
  <c r="N62" i="40" s="1"/>
  <c r="N45" i="40"/>
  <c r="T16" i="40"/>
  <c r="X16" i="40" s="1"/>
  <c r="T10" i="40"/>
  <c r="X10" i="40" s="1"/>
  <c r="L7" i="40"/>
  <c r="L62" i="40" s="1"/>
  <c r="T11" i="40"/>
  <c r="X11" i="40" s="1"/>
  <c r="T13" i="40"/>
  <c r="X13" i="40" s="1"/>
  <c r="T17" i="40"/>
  <c r="X17" i="40" s="1"/>
  <c r="T36" i="40"/>
  <c r="X36" i="40" s="1"/>
  <c r="T12" i="40"/>
  <c r="X12" i="40" s="1"/>
  <c r="T14" i="40"/>
  <c r="X14" i="40" s="1"/>
  <c r="T15" i="40"/>
  <c r="X15" i="40" s="1"/>
  <c r="T18" i="40"/>
  <c r="X18" i="40" s="1"/>
  <c r="T27" i="40"/>
  <c r="X27" i="40" s="1"/>
  <c r="T28" i="40"/>
  <c r="X28" i="40" s="1"/>
  <c r="T19" i="40"/>
  <c r="X19" i="40" s="1"/>
  <c r="T20" i="40"/>
  <c r="X20" i="40" s="1"/>
  <c r="T30" i="40"/>
  <c r="X30" i="40" s="1"/>
  <c r="T21" i="40"/>
  <c r="X21" i="40" s="1"/>
  <c r="T29" i="40"/>
  <c r="X29" i="40" s="1"/>
  <c r="T22" i="40"/>
  <c r="X22" i="40" s="1"/>
  <c r="T42" i="40"/>
  <c r="X42" i="40" s="1"/>
  <c r="X41" i="40" s="1"/>
  <c r="T38" i="40"/>
  <c r="X38" i="40" s="1"/>
  <c r="T26" i="40"/>
  <c r="X26" i="40" s="1"/>
  <c r="T25" i="40"/>
  <c r="X25" i="40" s="1"/>
  <c r="H26" i="41"/>
  <c r="C35" i="1"/>
  <c r="D21" i="1"/>
  <c r="T47" i="40"/>
  <c r="X47" i="40" s="1"/>
  <c r="L45" i="40"/>
  <c r="M7" i="40"/>
  <c r="M62" i="40" s="1"/>
  <c r="T37" i="40"/>
  <c r="X37" i="40" s="1"/>
  <c r="T39" i="40"/>
  <c r="X39" i="40" s="1"/>
  <c r="L41" i="40"/>
  <c r="T43" i="40"/>
  <c r="X43" i="40" s="1"/>
  <c r="F7" i="40"/>
  <c r="T8" i="40"/>
  <c r="X8" i="40" s="1"/>
  <c r="S43" i="40"/>
  <c r="S41" i="40" s="1"/>
  <c r="S36" i="40"/>
  <c r="J32" i="40"/>
  <c r="J39" i="40"/>
  <c r="S32" i="40"/>
  <c r="K7" i="40"/>
  <c r="K62" i="40" s="1"/>
  <c r="S35" i="40"/>
  <c r="S38" i="40"/>
  <c r="F41" i="40"/>
  <c r="S48" i="40"/>
  <c r="J37" i="40"/>
  <c r="J30" i="34"/>
  <c r="T59" i="40" l="1"/>
  <c r="X60" i="40"/>
  <c r="X59" i="40" s="1"/>
  <c r="X45" i="40"/>
  <c r="M27" i="1"/>
  <c r="I62" i="40"/>
  <c r="O45" i="40"/>
  <c r="T35" i="40"/>
  <c r="S45" i="40"/>
  <c r="T41" i="40"/>
  <c r="R7" i="40"/>
  <c r="R62" i="40" s="1"/>
  <c r="O7" i="40"/>
  <c r="O62" i="40" s="1"/>
  <c r="F22" i="1"/>
  <c r="F21" i="1" s="1"/>
  <c r="S7" i="40"/>
  <c r="T45" i="40"/>
  <c r="F62" i="40"/>
  <c r="J7" i="40"/>
  <c r="J62" i="40" s="1"/>
  <c r="G5" i="5"/>
  <c r="H11" i="5"/>
  <c r="T7" i="40" l="1"/>
  <c r="T62" i="40" s="1"/>
  <c r="X35" i="40"/>
  <c r="X7" i="40" s="1"/>
  <c r="X62" i="40" s="1"/>
  <c r="S62" i="40"/>
  <c r="G22" i="1"/>
  <c r="H22" i="1"/>
  <c r="H21" i="1" s="1"/>
  <c r="Q32" i="34"/>
  <c r="Q35" i="34"/>
  <c r="N35" i="34"/>
  <c r="N32" i="34"/>
  <c r="K32" i="34"/>
  <c r="K35" i="34"/>
  <c r="J35" i="34" s="1"/>
  <c r="G21" i="1" l="1"/>
  <c r="I22" i="1"/>
  <c r="M22" i="1" s="1"/>
  <c r="R9" i="39"/>
  <c r="R8" i="39"/>
  <c r="N9" i="39"/>
  <c r="N8" i="39"/>
  <c r="I21" i="1" l="1"/>
  <c r="M21" i="1" s="1"/>
  <c r="P12" i="39"/>
  <c r="L12" i="39"/>
  <c r="I12" i="39"/>
  <c r="H12" i="39"/>
  <c r="E12" i="39"/>
  <c r="D12" i="39"/>
  <c r="Q10" i="39"/>
  <c r="M10" i="39"/>
  <c r="N10" i="39" s="1"/>
  <c r="N12" i="39" s="1"/>
  <c r="S9" i="39"/>
  <c r="S8" i="39"/>
  <c r="J10" i="39"/>
  <c r="J9" i="39"/>
  <c r="J8" i="39"/>
  <c r="D7" i="39"/>
  <c r="F10" i="39"/>
  <c r="F9" i="39"/>
  <c r="F8" i="39"/>
  <c r="I7" i="39"/>
  <c r="E7" i="39"/>
  <c r="F12" i="39" l="1"/>
  <c r="J12" i="39"/>
  <c r="R10" i="39"/>
  <c r="R12" i="39" s="1"/>
  <c r="Q12" i="39"/>
  <c r="M12" i="39"/>
  <c r="T10" i="39"/>
  <c r="S10" i="39"/>
  <c r="S12" i="39" s="1"/>
  <c r="T9" i="39"/>
  <c r="T8" i="39"/>
  <c r="H7" i="39"/>
  <c r="P7" i="39"/>
  <c r="L7" i="39"/>
  <c r="J7" i="39"/>
  <c r="F7" i="39"/>
  <c r="Q7" i="39"/>
  <c r="M7" i="39"/>
  <c r="T12" i="39" l="1"/>
  <c r="S7" i="39"/>
  <c r="R7" i="39"/>
  <c r="N7" i="39"/>
  <c r="T7" i="39" l="1"/>
  <c r="M43" i="34" l="1"/>
  <c r="M42" i="34"/>
  <c r="F11" i="4" l="1"/>
  <c r="D5" i="37" l="1"/>
  <c r="P48" i="34" l="1"/>
  <c r="M48" i="34"/>
  <c r="J48" i="34"/>
  <c r="K43" i="34" l="1"/>
  <c r="K39" i="34" l="1"/>
  <c r="K36" i="34"/>
  <c r="D43" i="34" l="1"/>
  <c r="J43" i="34"/>
  <c r="Q38" i="34" l="1"/>
  <c r="Q37" i="34"/>
  <c r="Q36" i="34"/>
  <c r="N38" i="34"/>
  <c r="N78" i="34" s="1"/>
  <c r="N36" i="34"/>
  <c r="N76" i="34" s="1"/>
  <c r="K38" i="34"/>
  <c r="K37" i="34"/>
  <c r="H17" i="5" l="1"/>
  <c r="H16" i="5"/>
  <c r="H14" i="5" l="1"/>
  <c r="J42" i="34" l="1"/>
  <c r="P43" i="34" l="1"/>
  <c r="P42" i="34"/>
  <c r="M39" i="34"/>
  <c r="M38" i="34"/>
  <c r="M37" i="34"/>
  <c r="M36" i="34"/>
  <c r="J39" i="34"/>
  <c r="J38" i="34"/>
  <c r="J37" i="34"/>
  <c r="J36" i="34"/>
  <c r="G38" i="34"/>
  <c r="G37" i="34"/>
  <c r="G39" i="34"/>
  <c r="D39" i="34"/>
  <c r="P22" i="34"/>
  <c r="P21" i="34"/>
  <c r="P20" i="34"/>
  <c r="P19" i="34"/>
  <c r="P18" i="34"/>
  <c r="M29" i="34"/>
  <c r="M28" i="34"/>
  <c r="M27" i="34"/>
  <c r="M26" i="34"/>
  <c r="M25" i="34"/>
  <c r="M24" i="34"/>
  <c r="M23" i="34"/>
  <c r="M22" i="34"/>
  <c r="M21" i="34"/>
  <c r="M20" i="34"/>
  <c r="M19" i="34"/>
  <c r="M18" i="34"/>
  <c r="J29" i="34"/>
  <c r="J28" i="34"/>
  <c r="J27" i="34"/>
  <c r="J26" i="34"/>
  <c r="J25" i="34"/>
  <c r="J24" i="34"/>
  <c r="J21" i="34"/>
  <c r="J20" i="34"/>
  <c r="J23" i="34"/>
  <c r="J22" i="34"/>
  <c r="J19" i="34"/>
  <c r="J18" i="34"/>
  <c r="J17" i="34"/>
  <c r="J15" i="34"/>
  <c r="J14" i="34"/>
  <c r="J13" i="34"/>
  <c r="J11" i="34"/>
  <c r="J10" i="34"/>
  <c r="J9" i="34"/>
  <c r="J8" i="34"/>
  <c r="I20" i="34" l="1"/>
  <c r="I19" i="34"/>
  <c r="I18" i="34"/>
  <c r="I17" i="34"/>
  <c r="I16" i="34"/>
  <c r="I15" i="34"/>
  <c r="I14" i="34"/>
  <c r="I13" i="34"/>
  <c r="I12" i="34"/>
  <c r="I11" i="34"/>
  <c r="I10" i="34"/>
  <c r="I9" i="34"/>
  <c r="I8" i="34"/>
  <c r="P39" i="34"/>
  <c r="P38" i="34"/>
  <c r="P37" i="34"/>
  <c r="P36" i="34"/>
  <c r="M17" i="34"/>
  <c r="M15" i="34"/>
  <c r="M14" i="34"/>
  <c r="M13" i="34"/>
  <c r="M11" i="34"/>
  <c r="M10" i="34"/>
  <c r="M9" i="34"/>
  <c r="M8" i="34"/>
  <c r="P29" i="34"/>
  <c r="P28" i="34"/>
  <c r="P27" i="34"/>
  <c r="P26" i="34"/>
  <c r="P25" i="34"/>
  <c r="P24" i="34"/>
  <c r="P23" i="34"/>
  <c r="P17" i="34"/>
  <c r="P15" i="34"/>
  <c r="P14" i="34"/>
  <c r="P13" i="34"/>
  <c r="P8" i="34"/>
  <c r="P9" i="34"/>
  <c r="P10" i="34"/>
  <c r="P11" i="34"/>
  <c r="P35" i="34"/>
  <c r="P34" i="34"/>
  <c r="P33" i="34"/>
  <c r="P32" i="34"/>
  <c r="P31" i="34"/>
  <c r="P30" i="34"/>
  <c r="M35" i="34"/>
  <c r="M34" i="34"/>
  <c r="M33" i="34"/>
  <c r="M32" i="34"/>
  <c r="M31" i="34"/>
  <c r="M30" i="34"/>
  <c r="J34" i="34"/>
  <c r="J33" i="34"/>
  <c r="J32" i="34"/>
  <c r="J31" i="34"/>
  <c r="P41" i="34"/>
  <c r="M41" i="34"/>
  <c r="J41" i="34"/>
  <c r="G41" i="34"/>
  <c r="D45" i="34"/>
  <c r="G45" i="34"/>
  <c r="P45" i="34"/>
  <c r="M45" i="34"/>
  <c r="J45" i="34"/>
  <c r="G50" i="34"/>
  <c r="P50" i="34"/>
  <c r="M50" i="34"/>
  <c r="J50" i="34"/>
  <c r="D50" i="34"/>
  <c r="G7" i="34"/>
  <c r="D7" i="34"/>
  <c r="K10" i="36"/>
  <c r="K7" i="36"/>
  <c r="K13" i="36" s="1"/>
  <c r="G10" i="36"/>
  <c r="G7" i="36"/>
  <c r="C7" i="36"/>
  <c r="C10" i="36"/>
  <c r="G13" i="36" l="1"/>
  <c r="D53" i="34"/>
  <c r="G53" i="34"/>
  <c r="C13" i="36"/>
  <c r="P7" i="34"/>
  <c r="P53" i="34" s="1"/>
  <c r="M7" i="34"/>
  <c r="M53" i="34" s="1"/>
  <c r="J7" i="34"/>
  <c r="J53" i="34" s="1"/>
  <c r="Q50" i="34" l="1"/>
  <c r="K50" i="34"/>
  <c r="E50" i="34"/>
  <c r="R51" i="34"/>
  <c r="O51" i="34"/>
  <c r="L51" i="34"/>
  <c r="H50" i="34"/>
  <c r="F51" i="34"/>
  <c r="S51" i="34"/>
  <c r="I51" i="34" l="1"/>
  <c r="T51" i="34" s="1"/>
  <c r="N50" i="34"/>
  <c r="J29" i="37" l="1"/>
  <c r="I29" i="37"/>
  <c r="L28" i="37"/>
  <c r="K28" i="37"/>
  <c r="L27" i="37"/>
  <c r="K27" i="37"/>
  <c r="L26" i="37"/>
  <c r="K26" i="37"/>
  <c r="L25" i="37"/>
  <c r="K25" i="37"/>
  <c r="L24" i="37"/>
  <c r="K24" i="37"/>
  <c r="L23" i="37"/>
  <c r="K23" i="37"/>
  <c r="L22" i="37"/>
  <c r="K22" i="37"/>
  <c r="L21" i="37"/>
  <c r="K21" i="37"/>
  <c r="L20" i="37"/>
  <c r="K20" i="37"/>
  <c r="L19" i="37"/>
  <c r="K19" i="37"/>
  <c r="L18" i="37"/>
  <c r="K18" i="37"/>
  <c r="L17" i="37"/>
  <c r="K17" i="37"/>
  <c r="L16" i="37"/>
  <c r="K16" i="37"/>
  <c r="L15" i="37"/>
  <c r="K15" i="37"/>
  <c r="L14" i="37"/>
  <c r="K14" i="37"/>
  <c r="L13" i="37"/>
  <c r="K13" i="37"/>
  <c r="M13" i="37" s="1"/>
  <c r="L12" i="37"/>
  <c r="K12" i="37"/>
  <c r="L11" i="37"/>
  <c r="K11" i="37"/>
  <c r="L10" i="37"/>
  <c r="K10" i="37"/>
  <c r="L9" i="37"/>
  <c r="K9" i="37"/>
  <c r="L8" i="37"/>
  <c r="K8" i="37"/>
  <c r="L7" i="37"/>
  <c r="K7" i="37"/>
  <c r="L6" i="37"/>
  <c r="K6" i="37"/>
  <c r="L5" i="37"/>
  <c r="K5" i="37"/>
  <c r="L4" i="37"/>
  <c r="K4" i="37"/>
  <c r="K29" i="37" l="1"/>
  <c r="L29" i="37"/>
  <c r="M16" i="37"/>
  <c r="M18" i="37"/>
  <c r="M20" i="37"/>
  <c r="M5" i="37"/>
  <c r="M15" i="37"/>
  <c r="M17" i="37"/>
  <c r="M21" i="37"/>
  <c r="M8" i="37"/>
  <c r="M22" i="37"/>
  <c r="M7" i="37"/>
  <c r="M9" i="37"/>
  <c r="M24" i="37"/>
  <c r="M26" i="37"/>
  <c r="M28" i="37"/>
  <c r="M10" i="37"/>
  <c r="M12" i="37"/>
  <c r="M23" i="37"/>
  <c r="M25" i="37"/>
  <c r="M4" i="37"/>
  <c r="M6" i="37"/>
  <c r="M11" i="37"/>
  <c r="M14" i="37"/>
  <c r="M19" i="37"/>
  <c r="M27" i="37"/>
  <c r="M29" i="37" l="1"/>
  <c r="I31" i="37" s="1"/>
  <c r="F8" i="36" l="1"/>
  <c r="C14" i="12" l="1"/>
  <c r="D14" i="12" s="1"/>
  <c r="E14" i="12" s="1"/>
  <c r="F14" i="12" s="1"/>
  <c r="S43" i="34" l="1"/>
  <c r="R43" i="34"/>
  <c r="O43" i="34"/>
  <c r="L43" i="34"/>
  <c r="I43" i="34"/>
  <c r="F43" i="34"/>
  <c r="S42" i="34"/>
  <c r="R42" i="34"/>
  <c r="O42" i="34"/>
  <c r="L42" i="34"/>
  <c r="I42" i="34"/>
  <c r="F42" i="34"/>
  <c r="Q41" i="34"/>
  <c r="N41" i="34"/>
  <c r="K41" i="34"/>
  <c r="H41" i="34"/>
  <c r="E41" i="34"/>
  <c r="E7" i="36"/>
  <c r="C21" i="5"/>
  <c r="H19" i="5"/>
  <c r="H18" i="5"/>
  <c r="H15" i="5"/>
  <c r="C5" i="5"/>
  <c r="F5" i="5"/>
  <c r="E5" i="5"/>
  <c r="D5" i="5"/>
  <c r="H8" i="5"/>
  <c r="H7" i="5"/>
  <c r="H10" i="5"/>
  <c r="H9" i="5"/>
  <c r="H6" i="5"/>
  <c r="S39" i="34"/>
  <c r="S38" i="34"/>
  <c r="S37" i="34"/>
  <c r="S36" i="34"/>
  <c r="R39" i="34"/>
  <c r="R38" i="34"/>
  <c r="R37" i="34"/>
  <c r="R36" i="34"/>
  <c r="O39" i="34"/>
  <c r="O38" i="34"/>
  <c r="O78" i="34" s="1"/>
  <c r="O37" i="34"/>
  <c r="O77" i="34" s="1"/>
  <c r="O36" i="34"/>
  <c r="O76" i="34" s="1"/>
  <c r="L39" i="34"/>
  <c r="L38" i="34"/>
  <c r="L37" i="34"/>
  <c r="L36" i="34"/>
  <c r="I39" i="34"/>
  <c r="I38" i="34"/>
  <c r="I37" i="34"/>
  <c r="I36" i="34"/>
  <c r="F39" i="34"/>
  <c r="F38" i="34"/>
  <c r="F37" i="34"/>
  <c r="F36" i="34"/>
  <c r="H11" i="4"/>
  <c r="G11" i="4"/>
  <c r="I9" i="4"/>
  <c r="I8" i="4"/>
  <c r="I7" i="4"/>
  <c r="I6" i="4"/>
  <c r="E11" i="4"/>
  <c r="D11" i="4"/>
  <c r="C11" i="4"/>
  <c r="H24" i="5"/>
  <c r="H23" i="5"/>
  <c r="H22" i="5"/>
  <c r="G21" i="5"/>
  <c r="F21" i="5"/>
  <c r="E21" i="5"/>
  <c r="D21" i="5"/>
  <c r="E45" i="34"/>
  <c r="H45" i="34"/>
  <c r="L46" i="34"/>
  <c r="F48" i="34"/>
  <c r="F47" i="34"/>
  <c r="F46" i="34"/>
  <c r="I46" i="34"/>
  <c r="I48" i="34"/>
  <c r="I47" i="34"/>
  <c r="O47" i="34"/>
  <c r="R47" i="34"/>
  <c r="R48" i="34"/>
  <c r="L48" i="34"/>
  <c r="K47" i="34"/>
  <c r="L47" i="34" s="1"/>
  <c r="Q45" i="34"/>
  <c r="O46" i="34"/>
  <c r="M11" i="36"/>
  <c r="N11" i="36" s="1"/>
  <c r="E11" i="36"/>
  <c r="I11" i="36"/>
  <c r="H5" i="5" l="1"/>
  <c r="F11" i="36"/>
  <c r="F10" i="36" s="1"/>
  <c r="O11" i="36"/>
  <c r="O10" i="36" s="1"/>
  <c r="I11" i="4"/>
  <c r="O8" i="36"/>
  <c r="O7" i="36" s="1"/>
  <c r="M7" i="36"/>
  <c r="N8" i="36"/>
  <c r="N7" i="36" s="1"/>
  <c r="J8" i="36"/>
  <c r="I10" i="36"/>
  <c r="J11" i="36"/>
  <c r="J10" i="36" s="1"/>
  <c r="F45" i="34"/>
  <c r="L45" i="34"/>
  <c r="I41" i="34"/>
  <c r="S41" i="34"/>
  <c r="I45" i="34"/>
  <c r="T38" i="34"/>
  <c r="N45" i="34"/>
  <c r="T36" i="34"/>
  <c r="T39" i="34"/>
  <c r="T37" i="34"/>
  <c r="O41" i="34"/>
  <c r="R41" i="34"/>
  <c r="F7" i="36"/>
  <c r="I7" i="36"/>
  <c r="L41" i="34"/>
  <c r="T43" i="34"/>
  <c r="T42" i="34"/>
  <c r="F41" i="34"/>
  <c r="E10" i="36"/>
  <c r="E13" i="36" s="1"/>
  <c r="M10" i="36"/>
  <c r="H21" i="5"/>
  <c r="S47" i="34"/>
  <c r="K45" i="34"/>
  <c r="S48" i="34"/>
  <c r="O48" i="34"/>
  <c r="O45" i="34" s="1"/>
  <c r="R46" i="34"/>
  <c r="R45" i="34" s="1"/>
  <c r="S46" i="34"/>
  <c r="T47" i="34"/>
  <c r="N10" i="36"/>
  <c r="T41" i="34" l="1"/>
  <c r="P8" i="36"/>
  <c r="P7" i="36" s="1"/>
  <c r="M13" i="36"/>
  <c r="I13" i="36"/>
  <c r="J7" i="36"/>
  <c r="J13" i="36" s="1"/>
  <c r="P11" i="36"/>
  <c r="N13" i="36"/>
  <c r="O13" i="36"/>
  <c r="F13" i="36"/>
  <c r="T46" i="34"/>
  <c r="T48" i="34"/>
  <c r="S45" i="34"/>
  <c r="T45" i="34" l="1"/>
  <c r="P10" i="36"/>
  <c r="S50" i="34"/>
  <c r="R50" i="34"/>
  <c r="O50" i="34"/>
  <c r="Q7" i="34"/>
  <c r="Q53" i="34" s="1"/>
  <c r="N7" i="34"/>
  <c r="N53" i="34" s="1"/>
  <c r="K7" i="34"/>
  <c r="K53" i="34" s="1"/>
  <c r="H7" i="34"/>
  <c r="H53" i="34" s="1"/>
  <c r="E7" i="34"/>
  <c r="E53" i="34" s="1"/>
  <c r="L50" i="34"/>
  <c r="I50" i="34"/>
  <c r="F50" i="34"/>
  <c r="P13" i="36" l="1"/>
  <c r="T50" i="34" l="1"/>
  <c r="S35" i="34" l="1"/>
  <c r="S34" i="34"/>
  <c r="S33" i="34"/>
  <c r="S32" i="34"/>
  <c r="S31" i="34"/>
  <c r="S30" i="34"/>
  <c r="R35" i="34"/>
  <c r="R34" i="34"/>
  <c r="R33" i="34"/>
  <c r="R32" i="34"/>
  <c r="R31" i="34"/>
  <c r="R30" i="34"/>
  <c r="O35" i="34"/>
  <c r="O34" i="34"/>
  <c r="O33" i="34"/>
  <c r="O32" i="34"/>
  <c r="O31" i="34"/>
  <c r="O30" i="34"/>
  <c r="L35" i="34"/>
  <c r="L34" i="34"/>
  <c r="L33" i="34"/>
  <c r="L32" i="34"/>
  <c r="L31" i="34"/>
  <c r="L30" i="34"/>
  <c r="I35" i="34"/>
  <c r="I34" i="34"/>
  <c r="I33" i="34"/>
  <c r="I32" i="34"/>
  <c r="I31" i="34"/>
  <c r="I30" i="34"/>
  <c r="F35" i="34"/>
  <c r="F34" i="34"/>
  <c r="F33" i="34"/>
  <c r="F32" i="34"/>
  <c r="F31" i="34"/>
  <c r="F30" i="34"/>
  <c r="S8" i="34"/>
  <c r="S29" i="34"/>
  <c r="S28" i="34"/>
  <c r="S27" i="34"/>
  <c r="S26" i="34"/>
  <c r="S25" i="34"/>
  <c r="N73" i="34" s="1"/>
  <c r="S24" i="34"/>
  <c r="S23" i="34"/>
  <c r="S22" i="34"/>
  <c r="S21" i="34"/>
  <c r="S20" i="34"/>
  <c r="S19" i="34"/>
  <c r="S18" i="34"/>
  <c r="S17" i="34"/>
  <c r="S16" i="34"/>
  <c r="S15" i="34"/>
  <c r="S14" i="34"/>
  <c r="S13" i="34"/>
  <c r="S12" i="34"/>
  <c r="S11" i="34"/>
  <c r="S10" i="34"/>
  <c r="S9" i="34"/>
  <c r="R29" i="34"/>
  <c r="R28" i="34"/>
  <c r="R27" i="34"/>
  <c r="R26" i="34"/>
  <c r="R25" i="34"/>
  <c r="R24" i="34"/>
  <c r="R23" i="34"/>
  <c r="R22" i="34"/>
  <c r="R21" i="34"/>
  <c r="R20" i="34"/>
  <c r="R19" i="34"/>
  <c r="R18" i="34"/>
  <c r="R17" i="34"/>
  <c r="R16" i="34"/>
  <c r="R15" i="34"/>
  <c r="R14" i="34"/>
  <c r="R13" i="34"/>
  <c r="R12" i="34"/>
  <c r="R11" i="34"/>
  <c r="R10" i="34"/>
  <c r="R9" i="34"/>
  <c r="R8" i="34"/>
  <c r="O29" i="34"/>
  <c r="O28" i="34"/>
  <c r="O27" i="34"/>
  <c r="O75" i="34" s="1"/>
  <c r="O26" i="34"/>
  <c r="O74" i="34" s="1"/>
  <c r="O25" i="34"/>
  <c r="O73" i="34" s="1"/>
  <c r="O24" i="34"/>
  <c r="O23" i="34"/>
  <c r="O22" i="34"/>
  <c r="O21" i="34"/>
  <c r="O20" i="34"/>
  <c r="O19" i="34"/>
  <c r="O18" i="34"/>
  <c r="O17" i="34"/>
  <c r="O16" i="34"/>
  <c r="O15" i="34"/>
  <c r="O14" i="34"/>
  <c r="O13" i="34"/>
  <c r="O12" i="34"/>
  <c r="O11" i="34"/>
  <c r="O10" i="34"/>
  <c r="O9" i="34"/>
  <c r="O8" i="34"/>
  <c r="L29" i="34"/>
  <c r="L28" i="34"/>
  <c r="L27" i="34"/>
  <c r="L26" i="34"/>
  <c r="L25" i="34"/>
  <c r="L24" i="34"/>
  <c r="L23" i="34"/>
  <c r="L22" i="34"/>
  <c r="L21" i="34"/>
  <c r="L20" i="34"/>
  <c r="L19" i="34"/>
  <c r="L18" i="34"/>
  <c r="L17" i="34"/>
  <c r="L16" i="34"/>
  <c r="L15" i="34"/>
  <c r="L14" i="34"/>
  <c r="L13" i="34"/>
  <c r="L12" i="34"/>
  <c r="L11" i="34"/>
  <c r="L10" i="34"/>
  <c r="L9" i="34"/>
  <c r="L8" i="34"/>
  <c r="I29" i="34"/>
  <c r="I28" i="34"/>
  <c r="I27" i="34"/>
  <c r="I26" i="34"/>
  <c r="I25" i="34"/>
  <c r="I24" i="34"/>
  <c r="I23" i="34"/>
  <c r="I22" i="34"/>
  <c r="I21" i="34"/>
  <c r="F29" i="34"/>
  <c r="F28" i="34"/>
  <c r="F27" i="34"/>
  <c r="F26" i="34"/>
  <c r="F25" i="34"/>
  <c r="F24" i="34"/>
  <c r="F23" i="34"/>
  <c r="F22" i="34"/>
  <c r="F21" i="34"/>
  <c r="F20" i="34"/>
  <c r="F19" i="34"/>
  <c r="F18" i="34"/>
  <c r="F17" i="34"/>
  <c r="F16" i="34"/>
  <c r="F15" i="34"/>
  <c r="F14" i="34"/>
  <c r="F13" i="34"/>
  <c r="F12" i="34"/>
  <c r="F11" i="34"/>
  <c r="F10" i="34"/>
  <c r="F9" i="34"/>
  <c r="F8" i="34"/>
  <c r="I7" i="34" l="1"/>
  <c r="I53" i="34" s="1"/>
  <c r="F7" i="34"/>
  <c r="R7" i="34"/>
  <c r="R53" i="34" s="1"/>
  <c r="O7" i="34"/>
  <c r="O53" i="34" s="1"/>
  <c r="S7" i="34"/>
  <c r="S53" i="34" s="1"/>
  <c r="L7" i="34"/>
  <c r="L53" i="34" s="1"/>
  <c r="T30" i="34"/>
  <c r="T31" i="34"/>
  <c r="T35" i="34"/>
  <c r="T8" i="34"/>
  <c r="T12" i="34"/>
  <c r="T16" i="34"/>
  <c r="T20" i="34"/>
  <c r="T24" i="34"/>
  <c r="T32" i="34"/>
  <c r="T19" i="34"/>
  <c r="T33" i="34"/>
  <c r="T34" i="34"/>
  <c r="T10" i="34"/>
  <c r="T14" i="34"/>
  <c r="T18" i="34"/>
  <c r="T22" i="34"/>
  <c r="T29" i="34"/>
  <c r="T11" i="34"/>
  <c r="T15" i="34"/>
  <c r="T23" i="34"/>
  <c r="T27" i="34"/>
  <c r="T26" i="34"/>
  <c r="T9" i="34"/>
  <c r="T13" i="34"/>
  <c r="T17" i="34"/>
  <c r="T21" i="34"/>
  <c r="T25" i="34"/>
  <c r="T28" i="34"/>
  <c r="F53" i="34" l="1"/>
  <c r="T7" i="34"/>
  <c r="T53" i="34" s="1"/>
  <c r="H8" i="3" l="1"/>
  <c r="H7" i="3"/>
  <c r="H6" i="3" l="1"/>
  <c r="G12" i="3"/>
  <c r="H33" i="1" s="1"/>
  <c r="H35" i="1" s="1"/>
  <c r="H9" i="3"/>
  <c r="C13" i="12" l="1"/>
  <c r="D13" i="12" s="1"/>
  <c r="E13" i="12" s="1"/>
  <c r="F13" i="12" s="1"/>
  <c r="C12" i="12"/>
  <c r="D12" i="12" s="1"/>
  <c r="E12" i="12" s="1"/>
  <c r="F12" i="12" s="1"/>
  <c r="C11" i="12"/>
  <c r="D11" i="12" s="1"/>
  <c r="E11" i="12" s="1"/>
  <c r="F11" i="12" s="1"/>
  <c r="C10" i="12"/>
  <c r="D10" i="12" s="1"/>
  <c r="E10" i="12" s="1"/>
  <c r="F10" i="12" s="1"/>
  <c r="C9" i="12"/>
  <c r="D9" i="12" s="1"/>
  <c r="E9" i="12" s="1"/>
  <c r="F9" i="12" s="1"/>
  <c r="C8" i="12"/>
  <c r="D8" i="12" s="1"/>
  <c r="E8" i="12" s="1"/>
  <c r="F8" i="12" s="1"/>
  <c r="D12" i="3" l="1"/>
  <c r="E33" i="1" s="1"/>
  <c r="E35" i="1" s="1"/>
  <c r="C12" i="3"/>
  <c r="D33" i="1" s="1"/>
  <c r="E12" i="3"/>
  <c r="F33" i="1" s="1"/>
  <c r="F35" i="1" s="1"/>
  <c r="F12" i="3"/>
  <c r="G33" i="1" s="1"/>
  <c r="G35" i="1" s="1"/>
  <c r="I33" i="1" l="1"/>
  <c r="M33" i="1" s="1"/>
  <c r="M35" i="1" s="1"/>
  <c r="D35" i="1"/>
  <c r="I35" i="1" s="1"/>
  <c r="H12" i="3"/>
  <c r="H13" i="5" l="1"/>
  <c r="C13" i="5"/>
  <c r="G13" i="5"/>
  <c r="G26" i="5" s="1"/>
  <c r="D13" i="5"/>
  <c r="F13" i="5"/>
  <c r="F26" i="5" s="1"/>
  <c r="E13" i="5"/>
  <c r="E26" i="5" s="1"/>
  <c r="H26" i="5" l="1"/>
  <c r="D26" i="5"/>
  <c r="C26" i="5"/>
</calcChain>
</file>

<file path=xl/sharedStrings.xml><?xml version="1.0" encoding="utf-8"?>
<sst xmlns="http://schemas.openxmlformats.org/spreadsheetml/2006/main" count="704" uniqueCount="200">
  <si>
    <t xml:space="preserve">Schedule 1 </t>
  </si>
  <si>
    <t>Summary of CalSAWS Maintenance and Operations Charges</t>
  </si>
  <si>
    <t>SFY 2018/19</t>
  </si>
  <si>
    <t>SFY 2019/20</t>
  </si>
  <si>
    <t>SFY 2020/21</t>
  </si>
  <si>
    <t>SFY 2021/22</t>
  </si>
  <si>
    <t>SFY 2022/23</t>
  </si>
  <si>
    <t>SFY 2023/2024 (5 Months)</t>
  </si>
  <si>
    <t>Total Charges</t>
  </si>
  <si>
    <t>Application Maintenance</t>
  </si>
  <si>
    <t>Innovation Lab - One time Services</t>
  </si>
  <si>
    <t>Production Operations</t>
  </si>
  <si>
    <t>Technical Infrastructure Services</t>
  </si>
  <si>
    <t>WAN Administration</t>
  </si>
  <si>
    <t>Operations Charges</t>
  </si>
  <si>
    <t>Central Print</t>
  </si>
  <si>
    <t>Hardware and Software</t>
  </si>
  <si>
    <t>Hardware</t>
  </si>
  <si>
    <t>Hardware Support</t>
  </si>
  <si>
    <t>Software</t>
  </si>
  <si>
    <t>Software Support</t>
  </si>
  <si>
    <t>Facilities</t>
  </si>
  <si>
    <t>CalSAWS Maintenance and Operations Total Charges</t>
  </si>
  <si>
    <t>Assumptions</t>
  </si>
  <si>
    <t>These pricing schedules and the dollar amounts contained therein, including the total price, are for discussion purposes and are not binding on Accenture until an Amendment is fully executed.</t>
  </si>
  <si>
    <t>The price estimate for CalSAWS Maintenance and Operations is based on supporting the existing C-IV solutions for imaging and the central contact center platform. Additionally, the price estimate assumes that Los Angeles County and the 18 CalWIN Counties will continue to maintain and operate their own separate imaging and contact center solutions.</t>
  </si>
  <si>
    <t>The price estimate does not include any scope associated with a statewide portal or the related mobile application.</t>
  </si>
  <si>
    <t>Current Ongoing Change Orders/Premise Items</t>
  </si>
  <si>
    <t>CalSAWS M&amp;O Estimate</t>
  </si>
  <si>
    <t>CalHEERS Maintenance</t>
  </si>
  <si>
    <t>Included</t>
  </si>
  <si>
    <t>SB 1341 Maintenance</t>
  </si>
  <si>
    <t>Excluded; funding will be requested via the premise process.</t>
  </si>
  <si>
    <t>Expanded C-IV CCP for Covered CA</t>
  </si>
  <si>
    <t>Ongoing Operations from Change Order 108 - Electronic Signatures</t>
  </si>
  <si>
    <t xml:space="preserve">Ongoing Operations from Change Order 79 - Text Message Notifications </t>
  </si>
  <si>
    <t>Change order 92 - County Site Expansions</t>
  </si>
  <si>
    <t>Schedule 2</t>
  </si>
  <si>
    <t>CalSAWS Maintenance and Operations - Application Maintenance Services Charges</t>
  </si>
  <si>
    <t>Application Maintenance Services</t>
  </si>
  <si>
    <t>SFY 2023/2024</t>
  </si>
  <si>
    <t>Total Hours</t>
  </si>
  <si>
    <t>8 Months</t>
  </si>
  <si>
    <t>12 Months</t>
  </si>
  <si>
    <t>5 Months</t>
  </si>
  <si>
    <t>Estimated FTEs</t>
  </si>
  <si>
    <t>Hourly Rate</t>
  </si>
  <si>
    <t>Hours</t>
  </si>
  <si>
    <t>Extended Charges</t>
  </si>
  <si>
    <t>Application Maintenance - Base</t>
  </si>
  <si>
    <t>Application Maintenance - CalSAWS</t>
  </si>
  <si>
    <t>Application Maintenance - CalHEERS (3,361 Monthly Hours)</t>
  </si>
  <si>
    <t>Total CalSAWS Application Maintenance Services Charges</t>
  </si>
  <si>
    <t>Hourly bill rate assumes that up to 20% of all addressable hours will be worked at an Accenture Global Delivery Network (GDN) center.</t>
  </si>
  <si>
    <t>Schedule 3a</t>
  </si>
  <si>
    <t>CalSAWS Maintenance and Operations - Technical Infrastructure Services Charges</t>
  </si>
  <si>
    <t xml:space="preserve">he </t>
  </si>
  <si>
    <t>Staff Description</t>
  </si>
  <si>
    <t>CalSAWS Technical Infrastructure</t>
  </si>
  <si>
    <t>ADF/PMO Support</t>
  </si>
  <si>
    <t>Contact Center</t>
  </si>
  <si>
    <t>Database Administrator</t>
  </si>
  <si>
    <t>Imaging</t>
  </si>
  <si>
    <t>Network Administrator</t>
  </si>
  <si>
    <t>Performance</t>
  </si>
  <si>
    <t>Procurement</t>
  </si>
  <si>
    <t>Tech Arch</t>
  </si>
  <si>
    <t>Tech Management</t>
  </si>
  <si>
    <t>Tech Ops</t>
  </si>
  <si>
    <t>Business Support</t>
  </si>
  <si>
    <t>Intel</t>
  </si>
  <si>
    <t>Management</t>
  </si>
  <si>
    <t>Print Manager</t>
  </si>
  <si>
    <t>QA Specialist</t>
  </si>
  <si>
    <t>Remote Tech</t>
  </si>
  <si>
    <t>Service Desk Analyst</t>
  </si>
  <si>
    <t>Service Desk Business Rep</t>
  </si>
  <si>
    <t>Service Desk Manager</t>
  </si>
  <si>
    <t>Unix</t>
  </si>
  <si>
    <t>Warehouse</t>
  </si>
  <si>
    <t>PMO - Project Manager</t>
  </si>
  <si>
    <t>PMO - Team Lead</t>
  </si>
  <si>
    <t>PMO - Specialist</t>
  </si>
  <si>
    <t>PMO - Work Plan Support</t>
  </si>
  <si>
    <t>PMO - Analyst (Facilities, Staffing, Administrative Support)</t>
  </si>
  <si>
    <t>PMO - Financial Specialist</t>
  </si>
  <si>
    <t>Batch Support</t>
  </si>
  <si>
    <t>Level 3 Support</t>
  </si>
  <si>
    <t>Production Support</t>
  </si>
  <si>
    <t>Release Management</t>
  </si>
  <si>
    <t>CalSAWS Technical Infrastructure - Enhanced Application Support</t>
  </si>
  <si>
    <t>CalSAWS Technical Infrastructure - CalHEERS</t>
  </si>
  <si>
    <t>CalSAWS Technical Infrastructure - Cloud Reports/Analytics</t>
  </si>
  <si>
    <t>Total CalSAWS Technical Infrastructure Services Charges</t>
  </si>
  <si>
    <t>The staffing levels for the Service Desk are based on the continued use of current processes for the C-IV Service Desk, regardless of the software platform used for the Service Desk during the CalSAWS Maintenance and Operations phase.</t>
  </si>
  <si>
    <t>With regard to Level 3 Support for Enhanced Application Support, the staffing levels are based on the current assignment of CalWIn Counties to each go-live wave.  If the County assignments and/or schedule for each go-live wave is modified, or if the number of CalSAWS system user counts change, then the staffing levels for Level 3 Support would need to be reassessed.</t>
  </si>
  <si>
    <t>With regard to Level 3 Support for Enhanced Application Support:
Wave 4: 2 months, 40 work days, 75% of 4359 tickets = 3,269; 3269/40 = 82 tickets per day.  If the volume of calls exceeds 82 tickets per day during the 2 months following Wave 4, a change order will be required to provide the additional required support staff.
Wave 5: 2 months, 40 work days, 56% of 4042 tickets = 2,264; 2264/40 = 57 tickets per day.  If the volume of calls exceeds 57 tickets per day during the 2 months following Wave 5, a change order will be required to provide the additional required support staff.
Wave 6: 2 months, 40 work days, 59% of 3852 tickets = 2,273; 2273/40 = 57 tickets per day.  If the volume of calls exceeds 57 tickets per day during the 2 months following Wave 6, a change order will be required to provide the additional required support staff.</t>
  </si>
  <si>
    <t>Schedule 3b</t>
  </si>
  <si>
    <t>CalSAWS Maintenance and Operations - Innovation Lab</t>
  </si>
  <si>
    <t>One-Time Services Charges - Innovation Lab</t>
  </si>
  <si>
    <t>One-Time Charges</t>
  </si>
  <si>
    <t>Senior Manager</t>
  </si>
  <si>
    <t>Senior Programmer/Analyst</t>
  </si>
  <si>
    <t>Application System Analyst</t>
  </si>
  <si>
    <t>Total Innovation Lab Services Charges</t>
  </si>
  <si>
    <t>Schedule 4</t>
  </si>
  <si>
    <t>CalSAWS Maintenance and Operations - Production Operations Charges</t>
  </si>
  <si>
    <t>Production Operations Line Item</t>
  </si>
  <si>
    <t>SFY 2023/24</t>
  </si>
  <si>
    <t>WAN Administration Charges</t>
  </si>
  <si>
    <t>WAN Administration - North - Central Facilities and County Sites (39 Counties)</t>
  </si>
  <si>
    <t>WAN Administration - CalSAWS - Electronic Signature (58 Counties)</t>
  </si>
  <si>
    <t>WAN Administration - CalSAWS - Text Message Notifications (58 Counties)</t>
  </si>
  <si>
    <t>WAN Administration - South - Central Facilities and County Sites (Los Angeles County)</t>
  </si>
  <si>
    <t>WAN Administration - CalWIN - Central Print Facility and County Sites (18 Counties)</t>
  </si>
  <si>
    <t>WAN Administration - CalSAWS Cloud Exchange (58 Counties)</t>
  </si>
  <si>
    <t>Production Operations Charges</t>
  </si>
  <si>
    <t>Production Operations - CalSAWS - Service Desk Operations Support (58 Counties)</t>
  </si>
  <si>
    <t>Production Operations - North - Managed Workstations (39 Counties)</t>
  </si>
  <si>
    <t>Production Operations - North - Managed Windows 10 Image (39 Counties)</t>
  </si>
  <si>
    <t>Production Operations - North - Managed Scanner Maintenance (39 Counties)</t>
  </si>
  <si>
    <t>Production Operations - North - Managed Contact Center Operations Support (39 Counties)</t>
  </si>
  <si>
    <t>Production Operations - North - Managed Lobby Management Operations Support (39 Counties)</t>
  </si>
  <si>
    <t>Central Print Charges</t>
  </si>
  <si>
    <t>Central Print - North - 39 Counties</t>
  </si>
  <si>
    <t>Central Print - South - Los Angeles County</t>
  </si>
  <si>
    <t>Central Print - CalWIN - 18 Counties</t>
  </si>
  <si>
    <t>Total CalSAWS Production Operations Charges</t>
  </si>
  <si>
    <t>The CONTRACTOR shall conduct an overall cost impact assessment at the end of the Design Phase during the CalACES Migration and CalSAWS Migration for any increase in mailing costs and print costs (e.g. form or NOA). Additional costs will be provided for inclusion in the CalACES/CalSAWS Project budgets as necessary. (DDID 1402 - CalSAWS SOR)</t>
  </si>
  <si>
    <t>The proposed rates for Central Print are:
• $0.09 per impression
• $0.036 per Business Reply Mail envelope
• $0.18 per full page flat mail envelope
• $0.10 per half page flat mail envelope
• $0.031 per #9 inbound envelope
• $0.035 per #10 inbound envelope
• $0.47 per flat mail insertion
• $0.04 per voter registration card (VRC) insertion
• $0.03 per pre-metering (per RE packet)
The above proposed rates are based on C-IV envelopes. Modifications to the existing custom envelopes may result in changes to the above mentioned rates.</t>
  </si>
  <si>
    <t>Print Costs related to CalWIN counties are excluded.</t>
  </si>
  <si>
    <t xml:space="preserve">There are no postage costs included for any of the 58 Counties.  Each County will be responsible for filling its presort postage accounts. The LRS Agreement will be amended to remove any postage requirements and postage related terms and conditions.  </t>
  </si>
  <si>
    <t>Per Exhibit U Migration DDI, SOR - DDID 1775, "The CONTRACTOR shall update the technical architecture to support consolidation of the bundling jobs and bar codes (Stuffing, Intelligent mail, Imaging and Tracking) for one central print vendor."
Contractor Assumption from Exhibit U, "•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</si>
  <si>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Each line item above lists costs for the impacted counties.  Costs have not been included for the counties that are not listed.  There may be a future amendment to add additional counties should they opt in or pending functional design sessions outputs (e.g. Imaging) when new requirements are provided.</t>
  </si>
  <si>
    <t>Production Operations charges related to Managed Workstations is based on a total of 13,628 Managed workstations deployed in production across the 39 Counties. It is assumed that ongoing Production Operations charges required for additional Managed workstations deployed by the 39 Counties in excess of the 13,628 workstations would be funded separately (via the County Purchase process).</t>
  </si>
  <si>
    <t>Production Operations charges related to Managed Windows 10 workstation images is based on a total of 8,667 workstations with Windows 10 deployed in production across the 39 Counties. It is assumed that ongoing Production Operations charges required for additional Managed workstations deployed by the 39 Counties in excess of the 8,667 workstations would be funded separately (via the County Purchase process).</t>
  </si>
  <si>
    <t>Production Operations charges related to Managed Scanner Maintenance is based on a total of 6,374 Managed scanners that are currently in production across the 39 Counties. It is assumed that ongoing Production Operations charges required for additional Managed scanners deployed by the 39 Counties in excess of the 6,374 scanners would be funded separately (via the County Purchase process).</t>
  </si>
  <si>
    <t>Production Operations charges related to Managed Lobby Management Operations support is based on a total of 143 Managed devices that are currently in production across the 39 Counties. It is assumed that ongoing Production Operations charges required for additional Managed devices deployed by the 39 Counties in excess of the 143 Managed devices would be funded separately (via the County Purchase process).</t>
  </si>
  <si>
    <t>Production Operations charges related to Service Desk Operations Support is based on a total of 18 Service Desk staff during State Fiscal Years 2018/19 and 2019/20, and a total of 25 Service Desk staff during State Fiscal Year 2020/21 through October 31, 2024.</t>
  </si>
  <si>
    <t>Please refer to the M&amp;O SOW for additional assumptions regarding Production Operations.</t>
  </si>
  <si>
    <t>The price for Central Print is based on a single vendor - specifically, DXC - for providing Central Print services for the CalSAWS System.</t>
  </si>
  <si>
    <t>Schedule 5</t>
  </si>
  <si>
    <t>CalSAWS Maintenance and Operations - Hardware and Software Charges</t>
  </si>
  <si>
    <t>Hardware and Software Line Items</t>
  </si>
  <si>
    <t>Total CalSAWS Hardware and Software Charges</t>
  </si>
  <si>
    <t>All Hardware will be purchased outright.  No Hardware will be leased.</t>
  </si>
  <si>
    <t>The Consortium will own all Hardware and Software. It is assumed that the Consortium will purchase all Hardware and Software from Proquire LLC, Contractor's affiliate.</t>
  </si>
  <si>
    <t>The Hardware and Software charges includes Hardware and Software for the CalSAWS Cloud Enablement project.</t>
  </si>
  <si>
    <t>Hardware and Software items are purchased with one-year manufactuer's support agreements from the date of purchase. Annual renewals of such support agreements are included in the Hardware and Software Charges through State Fiscal Year 2023/24.</t>
  </si>
  <si>
    <t>Schedule 6</t>
  </si>
  <si>
    <t>CalSAWS Maintenance and Operations - Facilities Charges</t>
  </si>
  <si>
    <t>Facility Line Items</t>
  </si>
  <si>
    <t>Central Facilities</t>
  </si>
  <si>
    <t>North - Central Repair Warehouse (Rancho Cordova, CA)</t>
  </si>
  <si>
    <t>North - Service Desk Facilities (Roseville, CA)</t>
  </si>
  <si>
    <t>Total CalSAWS Facilities Charges</t>
  </si>
  <si>
    <t>Schedule 7</t>
  </si>
  <si>
    <t>CalSAWS Maintenance and Operations - Hourly Rate Card</t>
  </si>
  <si>
    <t>Description</t>
  </si>
  <si>
    <t>Month</t>
  </si>
  <si>
    <t>LRS Rate</t>
  </si>
  <si>
    <t>C-IV Rate</t>
  </si>
  <si>
    <t>LRS Monthly M&amp;E Hours</t>
  </si>
  <si>
    <t>C-IV Monthly App Maint/M&amp;E Hours (Additional)</t>
  </si>
  <si>
    <t>Total LRS M&amp;E Price</t>
  </si>
  <si>
    <t>Total C-IV App Maint/M&amp;E Price</t>
  </si>
  <si>
    <t>Avg Hourly Rate</t>
  </si>
  <si>
    <t>CalSAWS M&amp;E (October 2021 through October 2023)</t>
  </si>
  <si>
    <t>CalSAWS M&amp;O (October 2021 through October 2023)</t>
  </si>
  <si>
    <t>CalSAWS M&amp;E Rate from Oct 2021 to Oct 2023</t>
  </si>
  <si>
    <t>Schedule 8</t>
  </si>
  <si>
    <t>CalSAWS Maintenance and Operations - Change Order Hourly Rate Card</t>
  </si>
  <si>
    <t>SFY 18-19</t>
  </si>
  <si>
    <t>SFY 19-20</t>
  </si>
  <si>
    <t>SFY 20-21</t>
  </si>
  <si>
    <t>SFY 21-22</t>
  </si>
  <si>
    <t>SFY 22-23</t>
  </si>
  <si>
    <t>Project Director</t>
  </si>
  <si>
    <t>Delivery Manager</t>
  </si>
  <si>
    <t>System Administrator</t>
  </si>
  <si>
    <t>Programmer/Analyst</t>
  </si>
  <si>
    <t>Global Delivery Network</t>
  </si>
  <si>
    <t>Paige needs to confirm</t>
  </si>
  <si>
    <t xml:space="preserve">Lisa </t>
  </si>
  <si>
    <t>Lisa</t>
  </si>
  <si>
    <t>UPDATED CalSAWS Maintenance and Operations Charges</t>
  </si>
  <si>
    <t>Delta</t>
  </si>
  <si>
    <t>CalSAWS Technical Infrastructure - Security</t>
  </si>
  <si>
    <t>Security Lead</t>
  </si>
  <si>
    <t>Application Vulnerability Lead</t>
  </si>
  <si>
    <t>Security Threat and Incident Management (SEIM Lead)</t>
  </si>
  <si>
    <t>Threat Vulnerability Management Lead</t>
  </si>
  <si>
    <t>CalSAWS FDS API Support</t>
  </si>
  <si>
    <t>API Support</t>
  </si>
  <si>
    <t>Previously Approved</t>
  </si>
  <si>
    <t>For the CalSAWS Technical Infrastructure - Security services, a one-time negotiated rate of $88.70 has been applied.</t>
  </si>
  <si>
    <t>Facilities charges broken down as 53% for Lease of the Facility and 47% for operating expenses</t>
  </si>
  <si>
    <t>Facilities charges broken down as 32% for Lease of the Facility and 68% for operating expenses</t>
  </si>
  <si>
    <r>
      <t xml:space="preserve">North - Project Office/Application Development Facility (Suites 150 and 175 - Base) </t>
    </r>
    <r>
      <rPr>
        <vertAlign val="superscript"/>
        <sz val="10"/>
        <rFont val="Arial"/>
        <family val="2"/>
      </rPr>
      <t>1</t>
    </r>
  </si>
  <si>
    <r>
      <t xml:space="preserve">South - Project Office (Suite 300, Norwalk, CA) </t>
    </r>
    <r>
      <rPr>
        <vertAlign val="superscript"/>
        <sz val="10"/>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</si>
</sst>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409]mmm\-yy;@"/>
    <numFmt numFmtId="168" formatCode="_(* #,##0_);_(* \(#,##0\);_(* &quot;-&quot;??_);_(@_)"/>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color theme="0" tint="-0.499984740745262"/>
      <name val="Arial"/>
      <family val="2"/>
    </font>
    <font>
      <b/>
      <sz val="9"/>
      <name val="Arial"/>
      <family val="2"/>
    </font>
    <font>
      <sz val="9"/>
      <color indexed="8"/>
      <name val="Arial"/>
      <family val="2"/>
    </font>
    <font>
      <sz val="9"/>
      <name val="Arial"/>
      <family val="2"/>
    </font>
    <font>
      <sz val="10"/>
      <color theme="0" tint="-0.34998626667073579"/>
      <name val="Arial"/>
      <family val="2"/>
    </font>
    <font>
      <b/>
      <sz val="10"/>
      <color indexed="9"/>
      <name val="Arial"/>
      <family val="2"/>
    </font>
    <font>
      <sz val="10"/>
      <color indexed="9"/>
      <name val="Arial"/>
      <family val="2"/>
    </font>
    <font>
      <sz val="10"/>
      <name val="Arial"/>
      <family val="2"/>
    </font>
    <font>
      <sz val="10"/>
      <color theme="1"/>
      <name val="Arial"/>
      <family val="2"/>
    </font>
    <font>
      <b/>
      <sz val="10"/>
      <color theme="1"/>
      <name val="Arial"/>
      <family val="2"/>
    </font>
    <font>
      <b/>
      <sz val="14"/>
      <color theme="1"/>
      <name val="Arial"/>
      <family val="2"/>
    </font>
    <font>
      <b/>
      <sz val="12"/>
      <color theme="1"/>
      <name val="Arial"/>
      <family val="2"/>
    </font>
    <font>
      <sz val="12"/>
      <color theme="1"/>
      <name val="Arial"/>
      <family val="2"/>
    </font>
    <font>
      <sz val="10"/>
      <color indexed="8"/>
      <name val="Arial"/>
      <family val="2"/>
    </font>
    <font>
      <sz val="12"/>
      <color theme="1"/>
      <name val="Calibri"/>
      <family val="2"/>
      <scheme val="minor"/>
    </font>
    <font>
      <sz val="10"/>
      <name val="Arial"/>
      <family val="2"/>
    </font>
    <font>
      <b/>
      <sz val="18"/>
      <color theme="1"/>
      <name val="Arial"/>
      <family val="2"/>
    </font>
    <font>
      <sz val="14"/>
      <color theme="1"/>
      <name val="Arial"/>
      <family val="2"/>
    </font>
    <font>
      <b/>
      <sz val="10"/>
      <color theme="0"/>
      <name val="Arial"/>
      <family val="2"/>
    </font>
    <font>
      <sz val="10"/>
      <name val="Arial"/>
      <family val="2"/>
    </font>
    <font>
      <b/>
      <sz val="11"/>
      <color theme="1"/>
      <name val="Calibri"/>
      <family val="2"/>
      <scheme val="minor"/>
    </font>
    <font>
      <sz val="10"/>
      <color theme="1"/>
      <name val="Calibri"/>
      <family val="2"/>
      <scheme val="minor"/>
    </font>
    <font>
      <b/>
      <sz val="11"/>
      <name val="Calibri"/>
      <family val="2"/>
      <scheme val="minor"/>
    </font>
    <font>
      <sz val="11"/>
      <name val="Calibri"/>
      <family val="2"/>
    </font>
    <font>
      <sz val="9"/>
      <color rgb="FFFF0000"/>
      <name val="Arial"/>
      <family val="2"/>
    </font>
    <font>
      <sz val="10"/>
      <name val="Arial"/>
      <family val="2"/>
    </font>
    <font>
      <vertAlign val="superscript"/>
      <sz val="10"/>
      <name val="Arial"/>
      <family val="2"/>
    </font>
  </fonts>
  <fills count="10">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49">
    <xf numFmtId="0" fontId="0" fillId="0" borderId="0"/>
    <xf numFmtId="9" fontId="14" fillId="0" borderId="0" applyFont="0" applyFill="0" applyBorder="0" applyAlignment="0" applyProtection="0"/>
    <xf numFmtId="0" fontId="14" fillId="0" borderId="0"/>
    <xf numFmtId="44" fontId="14"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44" fontId="23" fillId="0" borderId="0" applyFont="0" applyFill="0" applyBorder="0" applyAlignment="0" applyProtection="0"/>
    <xf numFmtId="0" fontId="13" fillId="0" borderId="0"/>
    <xf numFmtId="43" fontId="14" fillId="0" borderId="0" applyFont="0" applyFill="0" applyBorder="0" applyAlignment="0" applyProtection="0"/>
    <xf numFmtId="43" fontId="13" fillId="0" borderId="0" applyFont="0" applyFill="0" applyBorder="0" applyAlignment="0" applyProtection="0"/>
    <xf numFmtId="0" fontId="14" fillId="0" borderId="0"/>
    <xf numFmtId="0" fontId="14" fillId="0" borderId="0"/>
    <xf numFmtId="9" fontId="13" fillId="0" borderId="0" applyFont="0" applyFill="0" applyBorder="0" applyAlignment="0" applyProtection="0"/>
    <xf numFmtId="0" fontId="12" fillId="0" borderId="0"/>
    <xf numFmtId="44" fontId="12" fillId="0" borderId="0" applyFont="0" applyFill="0" applyBorder="0" applyAlignment="0" applyProtection="0"/>
    <xf numFmtId="43" fontId="31" fillId="0" borderId="0" applyFont="0" applyFill="0" applyBorder="0" applyAlignment="0" applyProtection="0"/>
    <xf numFmtId="44" fontId="31" fillId="0" borderId="0" applyFont="0" applyFill="0" applyBorder="0" applyAlignment="0" applyProtection="0"/>
    <xf numFmtId="9" fontId="31" fillId="0" borderId="0" applyFont="0" applyFill="0" applyBorder="0" applyAlignment="0" applyProtection="0"/>
    <xf numFmtId="0" fontId="11" fillId="0" borderId="0"/>
    <xf numFmtId="43" fontId="11" fillId="0" borderId="0" applyFont="0" applyFill="0" applyBorder="0" applyAlignment="0" applyProtection="0"/>
    <xf numFmtId="0" fontId="10" fillId="0" borderId="0"/>
    <xf numFmtId="0" fontId="9" fillId="0" borderId="0"/>
    <xf numFmtId="0" fontId="9" fillId="0" borderId="0"/>
    <xf numFmtId="44" fontId="9" fillId="0" borderId="0" applyFont="0" applyFill="0" applyBorder="0" applyAlignment="0" applyProtection="0"/>
    <xf numFmtId="43" fontId="9" fillId="0" borderId="0" applyFont="0" applyFill="0" applyBorder="0" applyAlignment="0" applyProtection="0"/>
    <xf numFmtId="0" fontId="8" fillId="0" borderId="0"/>
    <xf numFmtId="44" fontId="8" fillId="0" borderId="0" applyFont="0" applyFill="0" applyBorder="0" applyAlignment="0" applyProtection="0"/>
    <xf numFmtId="43" fontId="8" fillId="0" borderId="0" applyFont="0" applyFill="0" applyBorder="0" applyAlignment="0" applyProtection="0"/>
    <xf numFmtId="0" fontId="8" fillId="0" borderId="0"/>
    <xf numFmtId="0" fontId="7" fillId="0" borderId="0"/>
    <xf numFmtId="44" fontId="7" fillId="0" borderId="0" applyFont="0" applyFill="0" applyBorder="0" applyAlignment="0" applyProtection="0"/>
    <xf numFmtId="43" fontId="7" fillId="0" borderId="0" applyFont="0" applyFill="0" applyBorder="0" applyAlignment="0" applyProtection="0"/>
    <xf numFmtId="0" fontId="7" fillId="0" borderId="0"/>
    <xf numFmtId="0" fontId="6" fillId="0" borderId="0"/>
    <xf numFmtId="44" fontId="6" fillId="0" borderId="0" applyFont="0" applyFill="0" applyBorder="0" applyAlignment="0" applyProtection="0"/>
    <xf numFmtId="43" fontId="6" fillId="0" borderId="0" applyFont="0" applyFill="0" applyBorder="0" applyAlignment="0" applyProtection="0"/>
    <xf numFmtId="0" fontId="6" fillId="0" borderId="0"/>
    <xf numFmtId="0" fontId="5" fillId="0" borderId="0"/>
    <xf numFmtId="44" fontId="14" fillId="0" borderId="0" applyFont="0" applyFill="0" applyBorder="0" applyAlignment="0" applyProtection="0"/>
    <xf numFmtId="9" fontId="14" fillId="0" borderId="0" applyFont="0" applyFill="0" applyBorder="0" applyAlignment="0" applyProtection="0"/>
    <xf numFmtId="0" fontId="3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5" fillId="0" borderId="0"/>
    <xf numFmtId="44" fontId="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9" fontId="14"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44" fontId="4" fillId="0" borderId="0" applyFont="0" applyFill="0" applyBorder="0" applyAlignment="0" applyProtection="0"/>
    <xf numFmtId="43" fontId="4" fillId="0" borderId="0" applyFont="0" applyFill="0" applyBorder="0" applyAlignment="0" applyProtection="0"/>
    <xf numFmtId="0" fontId="4" fillId="0" borderId="0"/>
    <xf numFmtId="0" fontId="3" fillId="0" borderId="0"/>
    <xf numFmtId="44" fontId="3" fillId="0" borderId="0" applyFont="0" applyFill="0" applyBorder="0" applyAlignment="0" applyProtection="0"/>
    <xf numFmtId="43" fontId="3" fillId="0" borderId="0" applyFont="0" applyFill="0" applyBorder="0" applyAlignment="0" applyProtection="0"/>
    <xf numFmtId="0" fontId="3" fillId="0" borderId="0"/>
    <xf numFmtId="43" fontId="35"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0" fontId="14" fillId="0" borderId="0"/>
    <xf numFmtId="44" fontId="14" fillId="0" borderId="0" applyFont="0" applyFill="0" applyBorder="0" applyAlignment="0" applyProtection="0"/>
    <xf numFmtId="9" fontId="41" fillId="0" borderId="0" applyFont="0" applyFill="0" applyBorder="0" applyAlignment="0" applyProtection="0"/>
  </cellStyleXfs>
  <cellXfs count="302">
    <xf numFmtId="0" fontId="0" fillId="0" borderId="0" xfId="0"/>
    <xf numFmtId="0" fontId="14" fillId="0" borderId="0" xfId="0" applyFont="1"/>
    <xf numFmtId="14" fontId="15" fillId="0" borderId="0" xfId="0" applyNumberFormat="1" applyFont="1" applyAlignment="1">
      <alignment horizontal="center"/>
    </xf>
    <xf numFmtId="164" fontId="16" fillId="0" borderId="0" xfId="0" applyNumberFormat="1" applyFont="1" applyBorder="1"/>
    <xf numFmtId="0" fontId="18" fillId="0" borderId="0" xfId="0" applyFont="1" applyFill="1" applyBorder="1" applyAlignment="1"/>
    <xf numFmtId="166" fontId="18" fillId="0" borderId="0" xfId="0" applyNumberFormat="1" applyFont="1" applyFill="1" applyBorder="1" applyAlignment="1"/>
    <xf numFmtId="0" fontId="14" fillId="0" borderId="0" xfId="2" applyFont="1" applyFill="1" applyBorder="1"/>
    <xf numFmtId="0" fontId="15" fillId="0" borderId="0" xfId="2" applyFont="1" applyFill="1" applyBorder="1" applyAlignment="1">
      <alignment horizontal="center"/>
    </xf>
    <xf numFmtId="6" fontId="16" fillId="0" borderId="0" xfId="2" applyNumberFormat="1" applyFont="1" applyFill="1" applyAlignment="1">
      <alignment wrapText="1"/>
    </xf>
    <xf numFmtId="165" fontId="14" fillId="0" borderId="1" xfId="2" applyNumberFormat="1" applyFont="1" applyFill="1" applyBorder="1" applyAlignment="1"/>
    <xf numFmtId="165" fontId="14" fillId="0" borderId="0" xfId="2" applyNumberFormat="1" applyFont="1" applyFill="1" applyBorder="1" applyAlignment="1"/>
    <xf numFmtId="165" fontId="20" fillId="0" borderId="0" xfId="3" applyNumberFormat="1" applyFont="1" applyFill="1" applyBorder="1" applyAlignment="1"/>
    <xf numFmtId="165" fontId="20" fillId="0" borderId="0" xfId="2" applyNumberFormat="1" applyFont="1" applyFill="1" applyBorder="1"/>
    <xf numFmtId="0" fontId="20" fillId="0" borderId="0" xfId="2" applyFont="1" applyFill="1" applyBorder="1"/>
    <xf numFmtId="165" fontId="15" fillId="0" borderId="0" xfId="2" applyNumberFormat="1" applyFont="1" applyFill="1" applyBorder="1"/>
    <xf numFmtId="0" fontId="15" fillId="0" borderId="0" xfId="2" applyFont="1" applyFill="1" applyBorder="1" applyAlignment="1">
      <alignment horizontal="left"/>
    </xf>
    <xf numFmtId="0" fontId="15" fillId="0" borderId="0" xfId="2" applyFont="1" applyFill="1" applyBorder="1"/>
    <xf numFmtId="165" fontId="14" fillId="0" borderId="0" xfId="2" applyNumberFormat="1" applyFont="1" applyFill="1" applyBorder="1"/>
    <xf numFmtId="0" fontId="14" fillId="0" borderId="1" xfId="2" applyFont="1" applyFill="1" applyBorder="1"/>
    <xf numFmtId="0" fontId="14" fillId="0" borderId="1" xfId="2" applyFont="1" applyFill="1" applyBorder="1" applyAlignment="1">
      <alignment wrapText="1"/>
    </xf>
    <xf numFmtId="165" fontId="14" fillId="0" borderId="1" xfId="2" applyNumberFormat="1" applyFont="1" applyFill="1" applyBorder="1"/>
    <xf numFmtId="0" fontId="14" fillId="0" borderId="0" xfId="2" applyNumberFormat="1" applyFont="1" applyFill="1" applyAlignment="1">
      <alignment wrapText="1"/>
    </xf>
    <xf numFmtId="6" fontId="14" fillId="0" borderId="0" xfId="2" applyNumberFormat="1" applyFont="1" applyFill="1" applyAlignment="1">
      <alignment wrapText="1"/>
    </xf>
    <xf numFmtId="6" fontId="21" fillId="0" borderId="0" xfId="2" applyNumberFormat="1" applyFont="1" applyFill="1" applyAlignment="1">
      <alignment wrapText="1"/>
    </xf>
    <xf numFmtId="6" fontId="15" fillId="0" borderId="0" xfId="2" applyNumberFormat="1" applyFont="1" applyFill="1" applyAlignment="1">
      <alignment wrapText="1"/>
    </xf>
    <xf numFmtId="0" fontId="15" fillId="0" borderId="0" xfId="2" applyNumberFormat="1" applyFont="1" applyFill="1" applyAlignment="1">
      <alignment wrapText="1"/>
    </xf>
    <xf numFmtId="6" fontId="15" fillId="0" borderId="0" xfId="2" applyNumberFormat="1" applyFont="1" applyFill="1" applyAlignment="1"/>
    <xf numFmtId="14" fontId="15" fillId="0" borderId="0" xfId="4" applyNumberFormat="1" applyFont="1" applyFill="1" applyAlignment="1">
      <alignment wrapText="1"/>
    </xf>
    <xf numFmtId="6" fontId="22" fillId="0" borderId="0" xfId="2" applyNumberFormat="1" applyFont="1" applyFill="1" applyAlignment="1">
      <alignment wrapText="1"/>
    </xf>
    <xf numFmtId="42" fontId="16" fillId="0" borderId="0" xfId="2" applyNumberFormat="1" applyFont="1" applyFill="1" applyBorder="1" applyAlignment="1">
      <alignment wrapText="1"/>
    </xf>
    <xf numFmtId="0" fontId="15" fillId="0" borderId="0" xfId="2" applyFont="1"/>
    <xf numFmtId="6" fontId="22" fillId="0" borderId="0" xfId="2" applyNumberFormat="1" applyFont="1" applyFill="1" applyBorder="1" applyAlignment="1">
      <alignment wrapText="1"/>
    </xf>
    <xf numFmtId="6" fontId="16" fillId="0" borderId="0" xfId="2" applyNumberFormat="1" applyFont="1" applyFill="1" applyBorder="1" applyAlignment="1">
      <alignment wrapText="1"/>
    </xf>
    <xf numFmtId="0" fontId="14" fillId="0" borderId="1" xfId="2" applyNumberFormat="1" applyFont="1" applyFill="1" applyBorder="1" applyAlignment="1">
      <alignment wrapText="1"/>
    </xf>
    <xf numFmtId="0" fontId="14" fillId="0" borderId="0" xfId="2" applyFont="1" applyFill="1"/>
    <xf numFmtId="0" fontId="14" fillId="0" borderId="0" xfId="2" quotePrefix="1" applyFont="1" applyFill="1"/>
    <xf numFmtId="0" fontId="14" fillId="0" borderId="0" xfId="2" applyFont="1" applyFill="1" applyAlignment="1">
      <alignment wrapText="1"/>
    </xf>
    <xf numFmtId="165" fontId="14" fillId="0" borderId="0" xfId="2" applyNumberFormat="1" applyFont="1" applyFill="1"/>
    <xf numFmtId="6" fontId="15" fillId="0" borderId="0" xfId="2" applyNumberFormat="1" applyFont="1" applyFill="1" applyBorder="1" applyAlignment="1">
      <alignment wrapText="1"/>
    </xf>
    <xf numFmtId="42" fontId="15" fillId="0" borderId="0" xfId="2" applyNumberFormat="1" applyFont="1" applyFill="1" applyBorder="1" applyAlignment="1">
      <alignment wrapText="1"/>
    </xf>
    <xf numFmtId="165" fontId="14" fillId="0" borderId="0" xfId="2" applyNumberFormat="1" applyFont="1" applyFill="1" applyAlignment="1"/>
    <xf numFmtId="0" fontId="15" fillId="0" borderId="0" xfId="0" applyFont="1" applyFill="1" applyBorder="1" applyAlignment="1">
      <alignment horizontal="center"/>
    </xf>
    <xf numFmtId="165" fontId="14" fillId="0" borderId="0" xfId="0" applyNumberFormat="1" applyFont="1" applyFill="1" applyBorder="1"/>
    <xf numFmtId="0" fontId="14" fillId="0" borderId="0" xfId="0" applyFont="1" applyFill="1" applyBorder="1" applyAlignment="1">
      <alignment horizontal="center"/>
    </xf>
    <xf numFmtId="165" fontId="14" fillId="0" borderId="0" xfId="0" applyNumberFormat="1" applyFont="1" applyFill="1" applyBorder="1" applyAlignment="1">
      <alignment horizontal="center"/>
    </xf>
    <xf numFmtId="0" fontId="15" fillId="0" borderId="0" xfId="2" applyFont="1" applyFill="1" applyBorder="1" applyAlignment="1">
      <alignment horizontal="center" wrapText="1"/>
    </xf>
    <xf numFmtId="0" fontId="15" fillId="0" borderId="0" xfId="2" applyFont="1" applyFill="1" applyBorder="1" applyAlignment="1">
      <alignment horizontal="left" wrapText="1"/>
    </xf>
    <xf numFmtId="164" fontId="14" fillId="0" borderId="0" xfId="2" applyNumberFormat="1" applyFont="1" applyFill="1" applyBorder="1"/>
    <xf numFmtId="0" fontId="14" fillId="0" borderId="0" xfId="2" applyFont="1" applyFill="1" applyBorder="1" applyAlignment="1">
      <alignment horizontal="left" wrapText="1" indent="2"/>
    </xf>
    <xf numFmtId="0" fontId="15" fillId="0" borderId="0" xfId="2" applyFont="1" applyFill="1" applyBorder="1" applyAlignment="1">
      <alignment wrapText="1"/>
    </xf>
    <xf numFmtId="0" fontId="14" fillId="0" borderId="0" xfId="2" applyNumberFormat="1" applyFont="1" applyFill="1" applyBorder="1" applyAlignment="1">
      <alignment wrapText="1"/>
    </xf>
    <xf numFmtId="6" fontId="15" fillId="0" borderId="0" xfId="2" applyNumberFormat="1" applyFont="1" applyFill="1" applyBorder="1" applyAlignment="1"/>
    <xf numFmtId="6" fontId="15" fillId="0" borderId="0" xfId="2" applyNumberFormat="1" applyFont="1" applyFill="1" applyBorder="1" applyAlignment="1">
      <alignment horizontal="center" wrapText="1"/>
    </xf>
    <xf numFmtId="42" fontId="14" fillId="0" borderId="0" xfId="2" applyNumberFormat="1" applyFont="1" applyFill="1" applyBorder="1" applyAlignment="1"/>
    <xf numFmtId="42" fontId="14" fillId="0" borderId="0" xfId="2" applyNumberFormat="1" applyFont="1" applyFill="1" applyBorder="1" applyAlignment="1">
      <alignment wrapText="1"/>
    </xf>
    <xf numFmtId="0" fontId="14" fillId="0" borderId="0" xfId="2" applyFont="1" applyFill="1" applyBorder="1" applyAlignment="1">
      <alignment wrapText="1"/>
    </xf>
    <xf numFmtId="42" fontId="15" fillId="0" borderId="0" xfId="2" applyNumberFormat="1" applyFont="1" applyFill="1" applyBorder="1" applyAlignment="1"/>
    <xf numFmtId="16" fontId="14" fillId="0" borderId="0" xfId="2" applyNumberFormat="1" applyFont="1" applyFill="1" applyBorder="1" applyAlignment="1">
      <alignment wrapText="1"/>
    </xf>
    <xf numFmtId="165" fontId="15" fillId="0" borderId="0" xfId="2" applyNumberFormat="1" applyFont="1" applyFill="1" applyBorder="1" applyAlignment="1"/>
    <xf numFmtId="0" fontId="14" fillId="0" borderId="0" xfId="0" applyFont="1" applyAlignment="1">
      <alignment horizontal="center"/>
    </xf>
    <xf numFmtId="0" fontId="14" fillId="0" borderId="2" xfId="0" quotePrefix="1" applyFont="1" applyBorder="1" applyAlignment="1">
      <alignment horizontal="center" vertical="top"/>
    </xf>
    <xf numFmtId="0" fontId="19" fillId="0" borderId="0" xfId="0" applyFont="1"/>
    <xf numFmtId="0" fontId="14" fillId="0" borderId="0" xfId="0" applyFont="1" applyFill="1" applyBorder="1" applyAlignment="1">
      <alignment horizontal="left" vertical="top" wrapText="1"/>
    </xf>
    <xf numFmtId="0" fontId="24" fillId="0" borderId="0" xfId="0" applyFont="1" applyFill="1" applyBorder="1" applyAlignment="1">
      <alignment horizontal="left" vertical="top" wrapText="1"/>
    </xf>
    <xf numFmtId="0" fontId="15" fillId="0" borderId="0" xfId="0" applyFont="1" applyBorder="1" applyAlignment="1">
      <alignment horizontal="left" vertical="center" wrapText="1"/>
    </xf>
    <xf numFmtId="164" fontId="14" fillId="3" borderId="1" xfId="2" applyNumberFormat="1" applyFont="1" applyFill="1" applyBorder="1"/>
    <xf numFmtId="0" fontId="12" fillId="0" borderId="0" xfId="13"/>
    <xf numFmtId="0" fontId="12" fillId="0" borderId="0" xfId="13" applyAlignment="1">
      <alignment wrapText="1"/>
    </xf>
    <xf numFmtId="165" fontId="15" fillId="0" borderId="1" xfId="2" applyNumberFormat="1" applyFont="1" applyFill="1" applyBorder="1" applyAlignment="1"/>
    <xf numFmtId="0" fontId="12" fillId="0" borderId="0" xfId="13" applyAlignment="1">
      <alignment horizontal="center"/>
    </xf>
    <xf numFmtId="0" fontId="25" fillId="0" borderId="0" xfId="0" applyFont="1" applyFill="1" applyBorder="1" applyAlignment="1">
      <alignment horizontal="left"/>
    </xf>
    <xf numFmtId="0" fontId="0" fillId="0" borderId="0" xfId="0"/>
    <xf numFmtId="6" fontId="14" fillId="0" borderId="0" xfId="2" applyNumberFormat="1" applyFont="1" applyFill="1" applyBorder="1" applyAlignment="1">
      <alignment wrapText="1"/>
    </xf>
    <xf numFmtId="0" fontId="19" fillId="0" borderId="0" xfId="2" applyFont="1" applyFill="1" applyBorder="1"/>
    <xf numFmtId="0" fontId="17" fillId="0" borderId="0" xfId="2" applyFont="1" applyFill="1" applyBorder="1" applyAlignment="1">
      <alignment horizontal="center"/>
    </xf>
    <xf numFmtId="164" fontId="19" fillId="3" borderId="1" xfId="2" applyNumberFormat="1" applyFont="1" applyFill="1" applyBorder="1"/>
    <xf numFmtId="164" fontId="17" fillId="3" borderId="1" xfId="2" applyNumberFormat="1" applyFont="1" applyFill="1" applyBorder="1" applyAlignment="1">
      <alignment horizontal="center"/>
    </xf>
    <xf numFmtId="164" fontId="17" fillId="3" borderId="1" xfId="2" applyNumberFormat="1" applyFont="1" applyFill="1" applyBorder="1"/>
    <xf numFmtId="165" fontId="19" fillId="0" borderId="1" xfId="2" applyNumberFormat="1" applyFont="1" applyFill="1" applyBorder="1" applyAlignment="1"/>
    <xf numFmtId="0" fontId="17" fillId="0" borderId="0" xfId="2" applyFont="1" applyFill="1" applyBorder="1" applyAlignment="1">
      <alignment horizontal="left"/>
    </xf>
    <xf numFmtId="165" fontId="17" fillId="0" borderId="0" xfId="2" applyNumberFormat="1" applyFont="1" applyFill="1" applyBorder="1" applyAlignment="1">
      <alignment horizontal="center"/>
    </xf>
    <xf numFmtId="165" fontId="17" fillId="0" borderId="0" xfId="2" applyNumberFormat="1" applyFont="1" applyFill="1" applyBorder="1"/>
    <xf numFmtId="0" fontId="17" fillId="0" borderId="0" xfId="2" applyFont="1" applyFill="1" applyBorder="1"/>
    <xf numFmtId="0" fontId="19" fillId="0" borderId="0" xfId="2" applyFont="1" applyFill="1" applyBorder="1" applyAlignment="1">
      <alignment horizontal="center"/>
    </xf>
    <xf numFmtId="165" fontId="19" fillId="0" borderId="0" xfId="2" applyNumberFormat="1" applyFont="1" applyFill="1" applyBorder="1"/>
    <xf numFmtId="0" fontId="19" fillId="0" borderId="1" xfId="2" applyFont="1" applyFill="1" applyBorder="1"/>
    <xf numFmtId="0" fontId="19" fillId="0" borderId="0" xfId="0" applyFont="1" applyFill="1" applyBorder="1" applyAlignment="1">
      <alignment vertical="top" wrapText="1"/>
    </xf>
    <xf numFmtId="0" fontId="19" fillId="0" borderId="0" xfId="0" applyFont="1" applyAlignment="1">
      <alignment horizontal="center"/>
    </xf>
    <xf numFmtId="0" fontId="17" fillId="0" borderId="1" xfId="2" applyFont="1" applyFill="1" applyBorder="1"/>
    <xf numFmtId="0" fontId="17" fillId="0" borderId="1" xfId="2" applyFont="1" applyFill="1" applyBorder="1" applyAlignment="1">
      <alignment horizontal="center" wrapText="1"/>
    </xf>
    <xf numFmtId="0" fontId="17" fillId="3" borderId="1" xfId="2" applyFont="1" applyFill="1" applyBorder="1" applyAlignment="1">
      <alignment horizontal="left" wrapText="1"/>
    </xf>
    <xf numFmtId="0" fontId="19" fillId="0" borderId="1" xfId="2" applyFont="1" applyFill="1" applyBorder="1" applyAlignment="1">
      <alignment horizontal="left" wrapText="1" indent="2"/>
    </xf>
    <xf numFmtId="165" fontId="17" fillId="0" borderId="1" xfId="2" applyNumberFormat="1" applyFont="1" applyFill="1" applyBorder="1"/>
    <xf numFmtId="165" fontId="19" fillId="0" borderId="1" xfId="2" applyNumberFormat="1" applyFont="1" applyFill="1" applyBorder="1" applyAlignment="1">
      <alignment horizontal="center"/>
    </xf>
    <xf numFmtId="165" fontId="17" fillId="3" borderId="1" xfId="2" applyNumberFormat="1" applyFont="1" applyFill="1" applyBorder="1"/>
    <xf numFmtId="165" fontId="19" fillId="0" borderId="0" xfId="0" applyNumberFormat="1" applyFont="1"/>
    <xf numFmtId="0" fontId="17" fillId="6" borderId="1" xfId="2" applyFont="1" applyFill="1" applyBorder="1" applyAlignment="1">
      <alignment horizontal="left" wrapText="1" indent="1"/>
    </xf>
    <xf numFmtId="165" fontId="17" fillId="6" borderId="1" xfId="6" applyNumberFormat="1" applyFont="1" applyFill="1" applyBorder="1" applyAlignment="1"/>
    <xf numFmtId="0" fontId="34" fillId="4" borderId="1" xfId="0" applyFont="1" applyFill="1" applyBorder="1" applyAlignment="1">
      <alignment horizontal="center"/>
    </xf>
    <xf numFmtId="0" fontId="15" fillId="0" borderId="1" xfId="0" quotePrefix="1" applyFont="1" applyBorder="1" applyAlignment="1">
      <alignment horizontal="center"/>
    </xf>
    <xf numFmtId="165" fontId="14" fillId="2" borderId="1" xfId="0" applyNumberFormat="1" applyFont="1" applyFill="1" applyBorder="1"/>
    <xf numFmtId="0" fontId="25" fillId="3" borderId="1" xfId="0" applyFont="1" applyFill="1" applyBorder="1" applyAlignment="1">
      <alignment horizontal="left"/>
    </xf>
    <xf numFmtId="0" fontId="15" fillId="3" borderId="1" xfId="0" applyFont="1" applyFill="1" applyBorder="1"/>
    <xf numFmtId="165" fontId="15" fillId="3" borderId="1" xfId="0" applyNumberFormat="1" applyFont="1" applyFill="1" applyBorder="1"/>
    <xf numFmtId="0" fontId="24" fillId="0" borderId="1" xfId="0" applyFont="1" applyFill="1" applyBorder="1" applyAlignment="1">
      <alignment horizontal="left" indent="2"/>
    </xf>
    <xf numFmtId="0" fontId="25" fillId="5" borderId="1" xfId="0" applyFont="1" applyFill="1" applyBorder="1"/>
    <xf numFmtId="165" fontId="15" fillId="5" borderId="1" xfId="0" applyNumberFormat="1" applyFont="1" applyFill="1" applyBorder="1"/>
    <xf numFmtId="0" fontId="15" fillId="5" borderId="1" xfId="0" quotePrefix="1" applyFont="1" applyFill="1" applyBorder="1" applyAlignment="1">
      <alignment horizontal="center"/>
    </xf>
    <xf numFmtId="0" fontId="25" fillId="5" borderId="1" xfId="0" applyFont="1" applyFill="1" applyBorder="1" applyAlignment="1">
      <alignment horizontal="left"/>
    </xf>
    <xf numFmtId="165" fontId="14" fillId="0" borderId="1" xfId="0" applyNumberFormat="1" applyFont="1" applyFill="1" applyBorder="1"/>
    <xf numFmtId="2" fontId="17" fillId="0" borderId="0" xfId="2" applyNumberFormat="1" applyFont="1" applyFill="1" applyBorder="1" applyAlignment="1">
      <alignment horizontal="center"/>
    </xf>
    <xf numFmtId="44" fontId="15" fillId="3" borderId="1" xfId="6" applyFont="1" applyFill="1" applyBorder="1"/>
    <xf numFmtId="165" fontId="15" fillId="3" borderId="1" xfId="6" applyNumberFormat="1" applyFont="1" applyFill="1" applyBorder="1"/>
    <xf numFmtId="6" fontId="15" fillId="0" borderId="1" xfId="2" applyNumberFormat="1" applyFont="1" applyFill="1" applyBorder="1" applyAlignment="1">
      <alignment horizontal="center" wrapText="1"/>
    </xf>
    <xf numFmtId="0" fontId="15" fillId="0" borderId="1" xfId="2" applyFont="1" applyFill="1" applyBorder="1" applyAlignment="1">
      <alignment horizontal="center" wrapText="1"/>
    </xf>
    <xf numFmtId="0" fontId="15" fillId="3" borderId="1" xfId="2" applyFont="1" applyFill="1" applyBorder="1" applyAlignment="1">
      <alignment horizontal="left" wrapText="1"/>
    </xf>
    <xf numFmtId="0" fontId="0" fillId="0" borderId="1" xfId="0" applyBorder="1"/>
    <xf numFmtId="0" fontId="14" fillId="0" borderId="1" xfId="2" applyFont="1" applyFill="1" applyBorder="1" applyAlignment="1">
      <alignment horizontal="left" wrapText="1" indent="2"/>
    </xf>
    <xf numFmtId="42" fontId="14" fillId="0" borderId="1" xfId="2" applyNumberFormat="1" applyFont="1" applyFill="1" applyBorder="1" applyAlignment="1">
      <alignment wrapText="1"/>
    </xf>
    <xf numFmtId="0" fontId="15" fillId="0" borderId="1" xfId="2" applyFont="1" applyFill="1" applyBorder="1"/>
    <xf numFmtId="0" fontId="15" fillId="3" borderId="1" xfId="2" applyFont="1" applyFill="1" applyBorder="1" applyAlignment="1">
      <alignment wrapText="1"/>
    </xf>
    <xf numFmtId="165" fontId="15" fillId="3" borderId="1" xfId="2" applyNumberFormat="1" applyFont="1" applyFill="1" applyBorder="1" applyAlignment="1"/>
    <xf numFmtId="0" fontId="15" fillId="0" borderId="1" xfId="2" applyFont="1" applyFill="1" applyBorder="1" applyAlignment="1">
      <alignment horizontal="left"/>
    </xf>
    <xf numFmtId="165" fontId="14" fillId="0" borderId="0" xfId="5" applyNumberFormat="1" applyFont="1" applyFill="1" applyBorder="1"/>
    <xf numFmtId="6" fontId="15" fillId="0" borderId="1" xfId="2" applyNumberFormat="1" applyFont="1" applyFill="1" applyBorder="1" applyAlignment="1">
      <alignment wrapText="1"/>
    </xf>
    <xf numFmtId="6" fontId="14" fillId="0" borderId="1" xfId="2" applyNumberFormat="1" applyFont="1" applyFill="1" applyBorder="1" applyAlignment="1">
      <alignment wrapText="1"/>
    </xf>
    <xf numFmtId="42" fontId="15" fillId="0" borderId="1" xfId="2" applyNumberFormat="1" applyFont="1" applyFill="1" applyBorder="1" applyAlignment="1">
      <alignment wrapText="1"/>
    </xf>
    <xf numFmtId="16" fontId="14" fillId="0" borderId="1" xfId="2" applyNumberFormat="1" applyFont="1" applyFill="1" applyBorder="1" applyAlignment="1">
      <alignment wrapText="1"/>
    </xf>
    <xf numFmtId="6" fontId="15" fillId="3" borderId="1" xfId="2" applyNumberFormat="1" applyFont="1" applyFill="1" applyBorder="1" applyAlignment="1">
      <alignment wrapText="1"/>
    </xf>
    <xf numFmtId="6" fontId="14" fillId="0" borderId="1" xfId="2" applyNumberFormat="1" applyFont="1" applyFill="1" applyBorder="1" applyAlignment="1">
      <alignment horizontal="left" wrapText="1" indent="2"/>
    </xf>
    <xf numFmtId="165" fontId="14" fillId="0" borderId="1" xfId="6" applyNumberFormat="1" applyFont="1" applyFill="1" applyBorder="1" applyAlignment="1">
      <alignment wrapText="1"/>
    </xf>
    <xf numFmtId="165" fontId="14" fillId="0" borderId="1" xfId="6" applyNumberFormat="1" applyFont="1" applyFill="1" applyBorder="1" applyAlignment="1"/>
    <xf numFmtId="165" fontId="15" fillId="3" borderId="1" xfId="2" applyNumberFormat="1" applyFont="1" applyFill="1" applyBorder="1" applyAlignment="1">
      <alignment wrapText="1"/>
    </xf>
    <xf numFmtId="0" fontId="14" fillId="0" borderId="1" xfId="0" applyFont="1" applyBorder="1" applyAlignment="1">
      <alignment horizontal="left" indent="2"/>
    </xf>
    <xf numFmtId="165" fontId="0" fillId="0" borderId="1" xfId="6" applyNumberFormat="1" applyFont="1" applyBorder="1"/>
    <xf numFmtId="165" fontId="15" fillId="0" borderId="1" xfId="2" applyNumberFormat="1" applyFont="1" applyFill="1" applyBorder="1"/>
    <xf numFmtId="0" fontId="15" fillId="3" borderId="1" xfId="2" applyFont="1" applyFill="1" applyBorder="1" applyAlignment="1">
      <alignment horizontal="left"/>
    </xf>
    <xf numFmtId="165" fontId="15" fillId="3" borderId="1" xfId="2" applyNumberFormat="1" applyFont="1" applyFill="1" applyBorder="1"/>
    <xf numFmtId="0" fontId="19" fillId="0" borderId="0" xfId="2" applyFont="1" applyFill="1" applyBorder="1" applyAlignment="1">
      <alignment horizontal="left" wrapText="1"/>
    </xf>
    <xf numFmtId="0" fontId="19" fillId="0" borderId="0" xfId="2" applyFont="1" applyFill="1" applyBorder="1" applyAlignment="1">
      <alignment horizontal="center" wrapText="1"/>
    </xf>
    <xf numFmtId="44" fontId="19" fillId="0" borderId="1" xfId="2" applyNumberFormat="1" applyFont="1" applyFill="1" applyBorder="1" applyAlignment="1"/>
    <xf numFmtId="164" fontId="17" fillId="3" borderId="1" xfId="2" applyNumberFormat="1" applyFont="1" applyFill="1" applyBorder="1" applyAlignment="1">
      <alignment horizontal="center" wrapText="1"/>
    </xf>
    <xf numFmtId="0" fontId="32" fillId="0" borderId="1" xfId="13" applyFont="1" applyBorder="1"/>
    <xf numFmtId="0" fontId="33" fillId="0" borderId="1" xfId="13" applyFont="1" applyBorder="1" applyAlignment="1">
      <alignment horizontal="center"/>
    </xf>
    <xf numFmtId="0" fontId="33" fillId="0" borderId="1" xfId="13" applyFont="1" applyBorder="1"/>
    <xf numFmtId="0" fontId="33" fillId="0" borderId="1" xfId="13" applyFont="1" applyBorder="1" applyAlignment="1">
      <alignment horizontal="center" wrapText="1"/>
    </xf>
    <xf numFmtId="0" fontId="30" fillId="0" borderId="1" xfId="13" applyFont="1" applyBorder="1"/>
    <xf numFmtId="0" fontId="30" fillId="0" borderId="1" xfId="13" applyFont="1" applyBorder="1" applyAlignment="1">
      <alignment horizontal="center"/>
    </xf>
    <xf numFmtId="0" fontId="24" fillId="0" borderId="1" xfId="13" applyFont="1" applyBorder="1"/>
    <xf numFmtId="44" fontId="24" fillId="0" borderId="1" xfId="6" applyNumberFormat="1" applyFont="1" applyBorder="1" applyAlignment="1">
      <alignment horizontal="center"/>
    </xf>
    <xf numFmtId="44" fontId="24" fillId="0" borderId="1" xfId="13" applyNumberFormat="1" applyFont="1" applyBorder="1" applyAlignment="1">
      <alignment horizontal="center"/>
    </xf>
    <xf numFmtId="165" fontId="15" fillId="0" borderId="1" xfId="0" applyNumberFormat="1" applyFont="1" applyFill="1" applyBorder="1"/>
    <xf numFmtId="0" fontId="2" fillId="0" borderId="0" xfId="77" applyBorder="1"/>
    <xf numFmtId="167" fontId="2" fillId="0" borderId="0" xfId="77" applyNumberFormat="1" applyBorder="1" applyAlignment="1">
      <alignment horizontal="left"/>
    </xf>
    <xf numFmtId="165" fontId="0" fillId="0" borderId="0" xfId="78" applyNumberFormat="1" applyFont="1" applyBorder="1"/>
    <xf numFmtId="168" fontId="0" fillId="0" borderId="0" xfId="79" applyNumberFormat="1" applyFont="1" applyBorder="1"/>
    <xf numFmtId="44" fontId="0" fillId="0" borderId="0" xfId="78" applyNumberFormat="1" applyFont="1" applyBorder="1"/>
    <xf numFmtId="167" fontId="2" fillId="0" borderId="7" xfId="77" applyNumberFormat="1" applyBorder="1" applyAlignment="1">
      <alignment horizontal="left"/>
    </xf>
    <xf numFmtId="165" fontId="0" fillId="0" borderId="7" xfId="78" applyNumberFormat="1" applyFont="1" applyBorder="1"/>
    <xf numFmtId="168" fontId="0" fillId="0" borderId="7" xfId="79" applyNumberFormat="1" applyFont="1" applyBorder="1"/>
    <xf numFmtId="44" fontId="0" fillId="0" borderId="7" xfId="78" applyNumberFormat="1" applyFont="1" applyBorder="1"/>
    <xf numFmtId="168" fontId="36" fillId="0" borderId="6" xfId="79" applyNumberFormat="1" applyFont="1" applyBorder="1"/>
    <xf numFmtId="165" fontId="36" fillId="0" borderId="6" xfId="78" applyNumberFormat="1" applyFont="1" applyBorder="1"/>
    <xf numFmtId="44" fontId="36" fillId="0" borderId="6" xfId="78" applyNumberFormat="1" applyFont="1" applyBorder="1"/>
    <xf numFmtId="167" fontId="2" fillId="0" borderId="0" xfId="77" applyNumberFormat="1" applyBorder="1"/>
    <xf numFmtId="44" fontId="36" fillId="0" borderId="0" xfId="78" applyFont="1" applyBorder="1"/>
    <xf numFmtId="167" fontId="2" fillId="0" borderId="0" xfId="77" applyNumberFormat="1"/>
    <xf numFmtId="165" fontId="0" fillId="0" borderId="0" xfId="78" applyNumberFormat="1" applyFont="1"/>
    <xf numFmtId="0" fontId="2" fillId="0" borderId="0" xfId="77"/>
    <xf numFmtId="0" fontId="37" fillId="0" borderId="1" xfId="13" applyFont="1" applyBorder="1"/>
    <xf numFmtId="0" fontId="25" fillId="0" borderId="1" xfId="13" applyFont="1" applyBorder="1" applyAlignment="1"/>
    <xf numFmtId="0" fontId="25" fillId="0" borderId="1" xfId="13" applyFont="1" applyBorder="1" applyAlignment="1">
      <alignment horizontal="center" wrapText="1"/>
    </xf>
    <xf numFmtId="44" fontId="24" fillId="0" borderId="1" xfId="6" applyFont="1" applyBorder="1"/>
    <xf numFmtId="0" fontId="38" fillId="7" borderId="0" xfId="77" applyFont="1" applyFill="1" applyBorder="1" applyAlignment="1">
      <alignment horizontal="center"/>
    </xf>
    <xf numFmtId="165" fontId="38" fillId="7" borderId="0" xfId="78" applyNumberFormat="1" applyFont="1" applyFill="1" applyBorder="1" applyAlignment="1">
      <alignment horizontal="center" wrapText="1"/>
    </xf>
    <xf numFmtId="0" fontId="38" fillId="7" borderId="0" xfId="77" applyFont="1" applyFill="1" applyBorder="1" applyAlignment="1">
      <alignment horizontal="center" wrapText="1"/>
    </xf>
    <xf numFmtId="44" fontId="38" fillId="7" borderId="0" xfId="78" applyNumberFormat="1" applyFont="1" applyFill="1" applyBorder="1" applyAlignment="1">
      <alignment horizontal="center" wrapText="1"/>
    </xf>
    <xf numFmtId="0" fontId="19" fillId="0" borderId="0" xfId="0" applyFont="1" applyFill="1"/>
    <xf numFmtId="165" fontId="20" fillId="0" borderId="0" xfId="0" applyNumberFormat="1" applyFont="1" applyFill="1" applyBorder="1" applyAlignment="1">
      <alignment horizontal="center"/>
    </xf>
    <xf numFmtId="0" fontId="20" fillId="0" borderId="0" xfId="0" applyFont="1" applyFill="1" applyBorder="1"/>
    <xf numFmtId="0" fontId="14" fillId="0" borderId="1" xfId="0" applyFont="1" applyBorder="1"/>
    <xf numFmtId="0" fontId="14" fillId="0" borderId="1" xfId="0" applyFont="1" applyBorder="1" applyAlignment="1">
      <alignment wrapText="1"/>
    </xf>
    <xf numFmtId="0" fontId="19" fillId="0" borderId="0" xfId="0" applyFont="1"/>
    <xf numFmtId="39" fontId="19" fillId="0" borderId="1" xfId="76" applyNumberFormat="1" applyFont="1" applyFill="1" applyBorder="1" applyAlignment="1">
      <alignment horizontal="center"/>
    </xf>
    <xf numFmtId="164" fontId="19" fillId="3" borderId="1" xfId="2" applyNumberFormat="1" applyFont="1" applyFill="1" applyBorder="1" applyAlignment="1">
      <alignment horizontal="center"/>
    </xf>
    <xf numFmtId="39" fontId="17" fillId="6" borderId="1" xfId="76" applyNumberFormat="1" applyFont="1" applyFill="1" applyBorder="1" applyAlignment="1">
      <alignment horizontal="center"/>
    </xf>
    <xf numFmtId="165" fontId="17" fillId="6" borderId="1" xfId="6" applyNumberFormat="1" applyFont="1" applyFill="1" applyBorder="1" applyAlignment="1">
      <alignment horizontal="center"/>
    </xf>
    <xf numFmtId="165" fontId="17" fillId="0" borderId="1" xfId="2" applyNumberFormat="1" applyFont="1" applyFill="1" applyBorder="1" applyAlignment="1">
      <alignment horizontal="center"/>
    </xf>
    <xf numFmtId="39" fontId="17" fillId="3" borderId="1" xfId="2" applyNumberFormat="1" applyFont="1" applyFill="1" applyBorder="1" applyAlignment="1">
      <alignment horizontal="center"/>
    </xf>
    <xf numFmtId="165" fontId="19" fillId="0" borderId="0" xfId="2" applyNumberFormat="1" applyFont="1" applyFill="1" applyBorder="1" applyAlignment="1">
      <alignment horizontal="center"/>
    </xf>
    <xf numFmtId="0" fontId="19" fillId="0" borderId="0" xfId="0" applyFont="1" applyFill="1" applyBorder="1" applyAlignment="1">
      <alignment horizontal="center" vertical="top" wrapText="1"/>
    </xf>
    <xf numFmtId="165" fontId="19" fillId="0" borderId="0" xfId="0" applyNumberFormat="1" applyFont="1" applyAlignment="1">
      <alignment horizontal="center"/>
    </xf>
    <xf numFmtId="6" fontId="17" fillId="0" borderId="1" xfId="2" applyNumberFormat="1" applyFont="1" applyFill="1" applyBorder="1" applyAlignment="1">
      <alignment horizontal="center" wrapText="1"/>
    </xf>
    <xf numFmtId="6" fontId="17" fillId="0" borderId="1" xfId="2" applyNumberFormat="1" applyFont="1" applyFill="1" applyBorder="1" applyAlignment="1">
      <alignment wrapText="1"/>
    </xf>
    <xf numFmtId="0" fontId="17" fillId="0" borderId="0" xfId="2" applyFont="1" applyFill="1" applyBorder="1" applyAlignment="1">
      <alignment horizontal="center" wrapText="1"/>
    </xf>
    <xf numFmtId="2" fontId="17" fillId="0" borderId="0" xfId="2" applyNumberFormat="1" applyFont="1" applyFill="1" applyBorder="1" applyAlignment="1">
      <alignment horizontal="center" wrapText="1"/>
    </xf>
    <xf numFmtId="165" fontId="17" fillId="0" borderId="0" xfId="2" applyNumberFormat="1" applyFont="1" applyFill="1" applyBorder="1" applyAlignment="1">
      <alignment horizontal="center" wrapText="1"/>
    </xf>
    <xf numFmtId="39" fontId="17" fillId="6" borderId="1" xfId="76" applyNumberFormat="1" applyFont="1" applyFill="1" applyBorder="1" applyAlignment="1">
      <alignment horizontal="center" wrapText="1"/>
    </xf>
    <xf numFmtId="165" fontId="19" fillId="6" borderId="1" xfId="2" applyNumberFormat="1" applyFont="1" applyFill="1" applyBorder="1" applyAlignment="1">
      <alignment horizontal="center" wrapText="1"/>
    </xf>
    <xf numFmtId="39" fontId="19" fillId="0" borderId="1" xfId="76" applyNumberFormat="1" applyFont="1" applyFill="1" applyBorder="1" applyAlignment="1">
      <alignment horizontal="center" wrapText="1"/>
    </xf>
    <xf numFmtId="165" fontId="19" fillId="0" borderId="1" xfId="2" applyNumberFormat="1" applyFont="1" applyFill="1" applyBorder="1" applyAlignment="1">
      <alignment horizontal="center" wrapText="1"/>
    </xf>
    <xf numFmtId="44" fontId="19" fillId="0" borderId="1" xfId="2" applyNumberFormat="1" applyFont="1" applyFill="1" applyBorder="1" applyAlignment="1">
      <alignment horizontal="center" wrapText="1"/>
    </xf>
    <xf numFmtId="39" fontId="17" fillId="3" borderId="1" xfId="2" applyNumberFormat="1" applyFont="1" applyFill="1" applyBorder="1" applyAlignment="1">
      <alignment horizontal="center" wrapText="1"/>
    </xf>
    <xf numFmtId="44" fontId="17" fillId="0" borderId="0" xfId="2" applyNumberFormat="1" applyFont="1" applyFill="1" applyBorder="1" applyAlignment="1">
      <alignment horizontal="center" wrapText="1"/>
    </xf>
    <xf numFmtId="165" fontId="19" fillId="0" borderId="0" xfId="2" applyNumberFormat="1" applyFont="1" applyFill="1" applyBorder="1" applyAlignment="1">
      <alignment horizontal="center" wrapText="1"/>
    </xf>
    <xf numFmtId="0" fontId="19" fillId="0" borderId="0" xfId="0" applyFont="1" applyAlignment="1">
      <alignment horizontal="center" wrapText="1"/>
    </xf>
    <xf numFmtId="0" fontId="18" fillId="0" borderId="0" xfId="0" applyFont="1" applyFill="1" applyBorder="1" applyAlignment="1">
      <alignment horizontal="center" wrapText="1"/>
    </xf>
    <xf numFmtId="165" fontId="19" fillId="0" borderId="0" xfId="0" applyNumberFormat="1" applyFont="1" applyAlignment="1">
      <alignment horizontal="center" wrapText="1"/>
    </xf>
    <xf numFmtId="0" fontId="17" fillId="0" borderId="0" xfId="2" applyFont="1" applyFill="1" applyBorder="1" applyAlignment="1">
      <alignment wrapText="1"/>
    </xf>
    <xf numFmtId="164" fontId="17" fillId="3" borderId="1" xfId="2" applyNumberFormat="1" applyFont="1" applyFill="1" applyBorder="1" applyAlignment="1">
      <alignment wrapText="1"/>
    </xf>
    <xf numFmtId="165" fontId="17" fillId="6" borderId="1" xfId="6" applyNumberFormat="1" applyFont="1" applyFill="1" applyBorder="1" applyAlignment="1">
      <alignment wrapText="1"/>
    </xf>
    <xf numFmtId="165" fontId="19" fillId="0" borderId="1" xfId="2" applyNumberFormat="1" applyFont="1" applyFill="1" applyBorder="1" applyAlignment="1">
      <alignment wrapText="1"/>
    </xf>
    <xf numFmtId="165" fontId="17" fillId="3" borderId="1" xfId="2" applyNumberFormat="1" applyFont="1" applyFill="1" applyBorder="1" applyAlignment="1">
      <alignment wrapText="1"/>
    </xf>
    <xf numFmtId="165" fontId="17" fillId="0" borderId="0" xfId="2" applyNumberFormat="1" applyFont="1" applyFill="1" applyBorder="1" applyAlignment="1">
      <alignment wrapText="1"/>
    </xf>
    <xf numFmtId="0" fontId="19" fillId="0" borderId="0" xfId="2" applyFont="1" applyFill="1" applyBorder="1" applyAlignment="1">
      <alignment wrapText="1"/>
    </xf>
    <xf numFmtId="0" fontId="19" fillId="0" borderId="0" xfId="0" applyFont="1" applyAlignment="1">
      <alignment wrapText="1"/>
    </xf>
    <xf numFmtId="165" fontId="19" fillId="6" borderId="1" xfId="2" applyNumberFormat="1" applyFont="1" applyFill="1" applyBorder="1" applyAlignment="1">
      <alignment wrapText="1"/>
    </xf>
    <xf numFmtId="42" fontId="19" fillId="0" borderId="1" xfId="2" applyNumberFormat="1" applyFont="1" applyFill="1" applyBorder="1" applyAlignment="1">
      <alignment wrapText="1"/>
    </xf>
    <xf numFmtId="44" fontId="19" fillId="0" borderId="1" xfId="2" applyNumberFormat="1" applyFont="1" applyFill="1" applyBorder="1" applyAlignment="1">
      <alignment wrapText="1"/>
    </xf>
    <xf numFmtId="44" fontId="19" fillId="6" borderId="1" xfId="2" applyNumberFormat="1" applyFont="1" applyFill="1" applyBorder="1" applyAlignment="1">
      <alignment wrapText="1"/>
    </xf>
    <xf numFmtId="165" fontId="19" fillId="0" borderId="0" xfId="0" applyNumberFormat="1" applyFont="1" applyAlignment="1">
      <alignment wrapText="1"/>
    </xf>
    <xf numFmtId="43" fontId="17" fillId="0" borderId="0" xfId="76" applyFont="1" applyFill="1" applyBorder="1" applyAlignment="1">
      <alignment horizontal="center" wrapText="1"/>
    </xf>
    <xf numFmtId="165" fontId="19" fillId="0" borderId="0" xfId="2" applyNumberFormat="1" applyFont="1" applyFill="1" applyBorder="1" applyAlignment="1">
      <alignment wrapText="1"/>
    </xf>
    <xf numFmtId="0" fontId="18" fillId="0" borderId="0" xfId="0" applyFont="1" applyFill="1" applyBorder="1" applyAlignment="1">
      <alignment wrapText="1"/>
    </xf>
    <xf numFmtId="0" fontId="14" fillId="0" borderId="1" xfId="0" applyFont="1" applyFill="1" applyBorder="1" applyAlignment="1">
      <alignment horizontal="left" indent="2"/>
    </xf>
    <xf numFmtId="165" fontId="15" fillId="0" borderId="1" xfId="0" applyNumberFormat="1" applyFont="1" applyBorder="1" applyAlignment="1">
      <alignment wrapText="1"/>
    </xf>
    <xf numFmtId="0" fontId="14" fillId="0" borderId="1" xfId="0" applyFont="1" applyFill="1" applyBorder="1" applyAlignment="1">
      <alignment wrapText="1"/>
    </xf>
    <xf numFmtId="165" fontId="14" fillId="0" borderId="0" xfId="0" applyNumberFormat="1" applyFont="1" applyFill="1" applyBorder="1" applyAlignment="1">
      <alignment horizontal="left" vertical="top" wrapText="1"/>
    </xf>
    <xf numFmtId="165" fontId="24" fillId="0" borderId="0" xfId="0" applyNumberFormat="1" applyFont="1" applyFill="1" applyBorder="1" applyAlignment="1">
      <alignment horizontal="left" vertical="top" wrapText="1"/>
    </xf>
    <xf numFmtId="0" fontId="14" fillId="0" borderId="1" xfId="13" applyFont="1" applyFill="1" applyBorder="1"/>
    <xf numFmtId="44" fontId="14" fillId="0" borderId="1" xfId="6" applyFont="1" applyFill="1" applyBorder="1" applyAlignment="1">
      <alignment horizontal="center"/>
    </xf>
    <xf numFmtId="0" fontId="14" fillId="0" borderId="1" xfId="0" applyFont="1" applyFill="1" applyBorder="1" applyAlignment="1">
      <alignment horizontal="left" wrapText="1" indent="2"/>
    </xf>
    <xf numFmtId="0" fontId="14" fillId="0" borderId="1" xfId="0" applyFont="1" applyFill="1" applyBorder="1"/>
    <xf numFmtId="0" fontId="14" fillId="0" borderId="0" xfId="0" quotePrefix="1" applyFont="1" applyBorder="1" applyAlignment="1">
      <alignment horizontal="center" vertical="top"/>
    </xf>
    <xf numFmtId="44" fontId="14" fillId="0" borderId="0" xfId="2" applyNumberFormat="1" applyFont="1" applyFill="1"/>
    <xf numFmtId="0" fontId="39" fillId="0" borderId="0" xfId="0" applyFont="1"/>
    <xf numFmtId="0" fontId="39" fillId="0" borderId="0" xfId="0" applyFont="1" applyAlignment="1">
      <alignment vertical="center"/>
    </xf>
    <xf numFmtId="0" fontId="39" fillId="0" borderId="0" xfId="0" applyFont="1" applyAlignment="1">
      <alignment vertical="center" wrapText="1"/>
    </xf>
    <xf numFmtId="44" fontId="15" fillId="0" borderId="0" xfId="2" applyNumberFormat="1" applyFont="1" applyFill="1" applyBorder="1"/>
    <xf numFmtId="44" fontId="14" fillId="0" borderId="0" xfId="2" applyNumberFormat="1" applyFont="1" applyFill="1" applyBorder="1"/>
    <xf numFmtId="0" fontId="15" fillId="0" borderId="1" xfId="146" applyFont="1" applyFill="1" applyBorder="1" applyAlignment="1">
      <alignment horizontal="left"/>
    </xf>
    <xf numFmtId="0" fontId="19" fillId="0" borderId="0" xfId="2" applyFont="1" applyFill="1" applyBorder="1" applyAlignment="1">
      <alignment horizontal="left"/>
    </xf>
    <xf numFmtId="44" fontId="19" fillId="0" borderId="0" xfId="2" applyNumberFormat="1" applyFont="1" applyFill="1" applyBorder="1" applyAlignment="1">
      <alignment horizontal="center" wrapText="1"/>
    </xf>
    <xf numFmtId="0" fontId="15" fillId="5" borderId="8" xfId="0" quotePrefix="1" applyFont="1" applyFill="1" applyBorder="1" applyAlignment="1">
      <alignment horizontal="center"/>
    </xf>
    <xf numFmtId="0" fontId="25" fillId="5" borderId="8" xfId="0" applyFont="1" applyFill="1" applyBorder="1"/>
    <xf numFmtId="165" fontId="15" fillId="5" borderId="8" xfId="0" applyNumberFormat="1" applyFont="1" applyFill="1" applyBorder="1"/>
    <xf numFmtId="0" fontId="15" fillId="5" borderId="9" xfId="0" quotePrefix="1" applyFont="1" applyFill="1" applyBorder="1" applyAlignment="1">
      <alignment horizontal="center"/>
    </xf>
    <xf numFmtId="0" fontId="25" fillId="5" borderId="9" xfId="0" applyFont="1" applyFill="1" applyBorder="1"/>
    <xf numFmtId="165" fontId="15" fillId="5" borderId="9" xfId="0" applyNumberFormat="1" applyFont="1" applyFill="1" applyBorder="1"/>
    <xf numFmtId="165" fontId="0" fillId="0" borderId="1" xfId="6" applyNumberFormat="1" applyFont="1" applyFill="1" applyBorder="1"/>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6" fillId="0" borderId="0" xfId="2" applyFont="1" applyFill="1" applyAlignment="1">
      <alignment horizontal="center"/>
    </xf>
    <xf numFmtId="0" fontId="1" fillId="0" borderId="0" xfId="13" applyFont="1"/>
    <xf numFmtId="0" fontId="1" fillId="0" borderId="0" xfId="13" applyFont="1" applyAlignment="1">
      <alignment horizontal="center"/>
    </xf>
    <xf numFmtId="0" fontId="19" fillId="9" borderId="1" xfId="2" applyFont="1" applyFill="1" applyBorder="1" applyAlignment="1">
      <alignment horizontal="left" wrapText="1" indent="2"/>
    </xf>
    <xf numFmtId="0" fontId="40" fillId="0" borderId="0" xfId="0" applyFont="1" applyFill="1"/>
    <xf numFmtId="39" fontId="40" fillId="0" borderId="1" xfId="76" applyNumberFormat="1" applyFont="1" applyFill="1" applyBorder="1" applyAlignment="1">
      <alignment horizontal="center" wrapText="1"/>
    </xf>
    <xf numFmtId="39" fontId="19" fillId="0" borderId="0" xfId="0" applyNumberFormat="1" applyFont="1" applyAlignment="1">
      <alignment horizontal="center" wrapText="1"/>
    </xf>
    <xf numFmtId="165" fontId="17" fillId="3" borderId="1" xfId="6" applyNumberFormat="1" applyFont="1" applyFill="1" applyBorder="1" applyAlignment="1">
      <alignment horizontal="center" wrapText="1"/>
    </xf>
    <xf numFmtId="0" fontId="34" fillId="4" borderId="1" xfId="0" applyFont="1" applyFill="1" applyBorder="1" applyAlignment="1">
      <alignment horizontal="center" wrapText="1"/>
    </xf>
    <xf numFmtId="44" fontId="14" fillId="0" borderId="0" xfId="0" applyNumberFormat="1" applyFont="1" applyFill="1" applyBorder="1" applyAlignment="1">
      <alignment vertical="top" wrapText="1"/>
    </xf>
    <xf numFmtId="44" fontId="29" fillId="0" borderId="0" xfId="0" applyNumberFormat="1" applyFont="1" applyFill="1" applyBorder="1" applyAlignment="1"/>
    <xf numFmtId="165" fontId="14" fillId="0" borderId="0" xfId="0" applyNumberFormat="1" applyFont="1"/>
    <xf numFmtId="9" fontId="19" fillId="0" borderId="0" xfId="148" applyFont="1"/>
    <xf numFmtId="0" fontId="34" fillId="4" borderId="1" xfId="0" applyFont="1" applyFill="1" applyBorder="1" applyAlignment="1">
      <alignment horizontal="center" wrapText="1"/>
    </xf>
    <xf numFmtId="0" fontId="24" fillId="0" borderId="3"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7" fillId="0" borderId="0" xfId="0" applyFont="1" applyBorder="1" applyAlignment="1">
      <alignment horizontal="center" wrapText="1"/>
    </xf>
    <xf numFmtId="0" fontId="28" fillId="0" borderId="0" xfId="0" applyFont="1" applyBorder="1" applyAlignment="1">
      <alignment horizontal="center"/>
    </xf>
    <xf numFmtId="0" fontId="14" fillId="0" borderId="3"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4" xfId="0" applyFont="1" applyFill="1" applyBorder="1" applyAlignment="1">
      <alignment horizontal="left" vertical="top" wrapText="1"/>
    </xf>
    <xf numFmtId="0" fontId="15" fillId="0" borderId="3" xfId="0" applyFont="1" applyFill="1" applyBorder="1" applyAlignment="1">
      <alignment horizontal="left" wrapText="1"/>
    </xf>
    <xf numFmtId="0" fontId="15" fillId="0" borderId="5" xfId="0" applyFont="1" applyFill="1" applyBorder="1" applyAlignment="1">
      <alignment horizontal="left" wrapText="1"/>
    </xf>
    <xf numFmtId="0" fontId="15" fillId="0" borderId="4" xfId="0" applyFont="1" applyFill="1" applyBorder="1" applyAlignment="1">
      <alignment horizontal="left" wrapText="1"/>
    </xf>
    <xf numFmtId="0" fontId="27" fillId="0" borderId="0" xfId="2" applyFont="1" applyFill="1" applyBorder="1" applyAlignment="1">
      <alignment horizontal="center"/>
    </xf>
    <xf numFmtId="6" fontId="17" fillId="0" borderId="3" xfId="2" applyNumberFormat="1" applyFont="1" applyFill="1" applyBorder="1" applyAlignment="1">
      <alignment horizontal="center" wrapText="1"/>
    </xf>
    <xf numFmtId="6" fontId="17" fillId="0" borderId="5" xfId="2" applyNumberFormat="1" applyFont="1" applyFill="1" applyBorder="1" applyAlignment="1">
      <alignment horizontal="center" wrapText="1"/>
    </xf>
    <xf numFmtId="6" fontId="17" fillId="0" borderId="4" xfId="2" applyNumberFormat="1" applyFont="1" applyFill="1" applyBorder="1" applyAlignment="1">
      <alignment horizontal="center" wrapText="1"/>
    </xf>
    <xf numFmtId="0" fontId="19" fillId="0" borderId="1" xfId="2" applyFont="1" applyFill="1" applyBorder="1" applyAlignment="1">
      <alignment horizontal="left" wrapText="1"/>
    </xf>
    <xf numFmtId="6" fontId="17" fillId="8" borderId="3" xfId="2" applyNumberFormat="1" applyFont="1" applyFill="1" applyBorder="1" applyAlignment="1">
      <alignment horizontal="center" wrapText="1"/>
    </xf>
    <xf numFmtId="6" fontId="17" fillId="8" borderId="5" xfId="2" applyNumberFormat="1" applyFont="1" applyFill="1" applyBorder="1" applyAlignment="1">
      <alignment horizontal="center" wrapText="1"/>
    </xf>
    <xf numFmtId="6" fontId="17" fillId="8" borderId="4" xfId="2" applyNumberFormat="1" applyFont="1" applyFill="1" applyBorder="1" applyAlignment="1">
      <alignment horizontal="center" wrapText="1"/>
    </xf>
    <xf numFmtId="0" fontId="19" fillId="0" borderId="1" xfId="2" applyFont="1" applyFill="1" applyBorder="1" applyAlignment="1">
      <alignment horizontal="center" wrapText="1"/>
    </xf>
    <xf numFmtId="0" fontId="14" fillId="0" borderId="1"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5" xfId="0" applyFont="1" applyFill="1" applyBorder="1" applyAlignment="1">
      <alignment horizontal="left" wrapText="1"/>
    </xf>
    <xf numFmtId="0" fontId="14" fillId="0" borderId="4" xfId="0" applyFont="1" applyFill="1" applyBorder="1" applyAlignment="1">
      <alignment horizontal="left" wrapText="1"/>
    </xf>
    <xf numFmtId="0" fontId="14" fillId="0" borderId="1" xfId="0" applyFont="1" applyBorder="1" applyAlignment="1">
      <alignment horizontal="left" vertical="top" wrapText="1"/>
    </xf>
    <xf numFmtId="0" fontId="27" fillId="0" borderId="0" xfId="2" applyFont="1" applyFill="1" applyAlignment="1">
      <alignment horizontal="center"/>
    </xf>
    <xf numFmtId="0" fontId="14" fillId="0" borderId="3" xfId="0" applyFont="1" applyBorder="1" applyAlignment="1">
      <alignment horizontal="left" vertical="top"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4" fillId="0" borderId="3" xfId="2" applyFont="1" applyFill="1" applyBorder="1" applyAlignment="1">
      <alignment horizontal="left" wrapText="1"/>
    </xf>
    <xf numFmtId="0" fontId="14" fillId="0" borderId="5" xfId="2" applyFont="1" applyFill="1" applyBorder="1" applyAlignment="1">
      <alignment horizontal="left" wrapText="1"/>
    </xf>
    <xf numFmtId="0" fontId="14" fillId="0" borderId="4" xfId="2" applyFont="1" applyFill="1" applyBorder="1" applyAlignment="1">
      <alignment horizontal="left" wrapText="1"/>
    </xf>
    <xf numFmtId="6" fontId="27" fillId="0" borderId="0" xfId="2" applyNumberFormat="1" applyFont="1" applyFill="1" applyAlignment="1">
      <alignment horizontal="center" wrapText="1"/>
    </xf>
    <xf numFmtId="0" fontId="14" fillId="0" borderId="1" xfId="2" applyFont="1" applyFill="1" applyBorder="1" applyAlignment="1">
      <alignment horizontal="left" wrapText="1"/>
    </xf>
    <xf numFmtId="0" fontId="14" fillId="0" borderId="1" xfId="2" applyFont="1" applyFill="1" applyBorder="1" applyAlignment="1">
      <alignment horizontal="center" wrapText="1"/>
    </xf>
    <xf numFmtId="0" fontId="26" fillId="0" borderId="0" xfId="2" applyFont="1" applyFill="1" applyAlignment="1">
      <alignment horizontal="center"/>
    </xf>
  </cellXfs>
  <cellStyles count="149">
    <cellStyle name="Comma" xfId="76" builtinId="3"/>
    <cellStyle name="Comma 10" xfId="8" xr:uid="{00000000-0005-0000-0000-000001000000}"/>
    <cellStyle name="Comma 11" xfId="79" xr:uid="{00000000-0005-0000-0000-000002000000}"/>
    <cellStyle name="Comma 11 2" xfId="143" xr:uid="{00000000-0005-0000-0000-000003000000}"/>
    <cellStyle name="Comma 2" xfId="4" xr:uid="{00000000-0005-0000-0000-000004000000}"/>
    <cellStyle name="Comma 3" xfId="9" xr:uid="{00000000-0005-0000-0000-000005000000}"/>
    <cellStyle name="Comma 3 2" xfId="42" xr:uid="{00000000-0005-0000-0000-000006000000}"/>
    <cellStyle name="Comma 3 2 2" xfId="110" xr:uid="{00000000-0005-0000-0000-000007000000}"/>
    <cellStyle name="Comma 3 3" xfId="84" xr:uid="{00000000-0005-0000-0000-000008000000}"/>
    <cellStyle name="Comma 4" xfId="15" xr:uid="{00000000-0005-0000-0000-000009000000}"/>
    <cellStyle name="Comma 4 2" xfId="46" xr:uid="{00000000-0005-0000-0000-00000A000000}"/>
    <cellStyle name="Comma 5" xfId="19" xr:uid="{00000000-0005-0000-0000-00000B000000}"/>
    <cellStyle name="Comma 5 2" xfId="50" xr:uid="{00000000-0005-0000-0000-00000C000000}"/>
    <cellStyle name="Comma 5 2 2" xfId="115" xr:uid="{00000000-0005-0000-0000-00000D000000}"/>
    <cellStyle name="Comma 5 3" xfId="89" xr:uid="{00000000-0005-0000-0000-00000E000000}"/>
    <cellStyle name="Comma 6" xfId="24" xr:uid="{00000000-0005-0000-0000-00000F000000}"/>
    <cellStyle name="Comma 6 2" xfId="55" xr:uid="{00000000-0005-0000-0000-000010000000}"/>
    <cellStyle name="Comma 6 2 2" xfId="120" xr:uid="{00000000-0005-0000-0000-000011000000}"/>
    <cellStyle name="Comma 6 3" xfId="94" xr:uid="{00000000-0005-0000-0000-000012000000}"/>
    <cellStyle name="Comma 7" xfId="27" xr:uid="{00000000-0005-0000-0000-000013000000}"/>
    <cellStyle name="Comma 7 2" xfId="58" xr:uid="{00000000-0005-0000-0000-000014000000}"/>
    <cellStyle name="Comma 7 2 2" xfId="123" xr:uid="{00000000-0005-0000-0000-000015000000}"/>
    <cellStyle name="Comma 7 3" xfId="97" xr:uid="{00000000-0005-0000-0000-000016000000}"/>
    <cellStyle name="Comma 8" xfId="31" xr:uid="{00000000-0005-0000-0000-000017000000}"/>
    <cellStyle name="Comma 8 2" xfId="62" xr:uid="{00000000-0005-0000-0000-000018000000}"/>
    <cellStyle name="Comma 8 2 2" xfId="127" xr:uid="{00000000-0005-0000-0000-000019000000}"/>
    <cellStyle name="Comma 8 3" xfId="101" xr:uid="{00000000-0005-0000-0000-00001A000000}"/>
    <cellStyle name="Comma 9" xfId="35" xr:uid="{00000000-0005-0000-0000-00001B000000}"/>
    <cellStyle name="Comma 9 2" xfId="66" xr:uid="{00000000-0005-0000-0000-00001C000000}"/>
    <cellStyle name="Comma 9 2 2" xfId="70" xr:uid="{00000000-0005-0000-0000-00001D000000}"/>
    <cellStyle name="Comma 9 2 2 2" xfId="135" xr:uid="{00000000-0005-0000-0000-00001E000000}"/>
    <cellStyle name="Comma 9 2 3" xfId="74" xr:uid="{00000000-0005-0000-0000-00001F000000}"/>
    <cellStyle name="Comma 9 2 3 2" xfId="139" xr:uid="{00000000-0005-0000-0000-000020000000}"/>
    <cellStyle name="Comma 9 2 4" xfId="131" xr:uid="{00000000-0005-0000-0000-000021000000}"/>
    <cellStyle name="Comma 9 3" xfId="105" xr:uid="{00000000-0005-0000-0000-000022000000}"/>
    <cellStyle name="Currency" xfId="6" builtinId="4"/>
    <cellStyle name="Currency 10" xfId="5" xr:uid="{00000000-0005-0000-0000-000024000000}"/>
    <cellStyle name="Currency 10 2 2" xfId="147" xr:uid="{00000000-0005-0000-0000-000025000000}"/>
    <cellStyle name="Currency 11" xfId="78" xr:uid="{00000000-0005-0000-0000-000026000000}"/>
    <cellStyle name="Currency 11 2" xfId="142" xr:uid="{00000000-0005-0000-0000-000027000000}"/>
    <cellStyle name="Currency 2" xfId="3" xr:uid="{00000000-0005-0000-0000-000028000000}"/>
    <cellStyle name="Currency 3" xfId="14" xr:uid="{00000000-0005-0000-0000-000029000000}"/>
    <cellStyle name="Currency 3 2" xfId="45" xr:uid="{00000000-0005-0000-0000-00002A000000}"/>
    <cellStyle name="Currency 3 2 2" xfId="113" xr:uid="{00000000-0005-0000-0000-00002B000000}"/>
    <cellStyle name="Currency 3 3" xfId="87" xr:uid="{00000000-0005-0000-0000-00002C000000}"/>
    <cellStyle name="Currency 4" xfId="16" xr:uid="{00000000-0005-0000-0000-00002D000000}"/>
    <cellStyle name="Currency 4 2" xfId="47" xr:uid="{00000000-0005-0000-0000-00002E000000}"/>
    <cellStyle name="Currency 5" xfId="23" xr:uid="{00000000-0005-0000-0000-00002F000000}"/>
    <cellStyle name="Currency 5 2" xfId="54" xr:uid="{00000000-0005-0000-0000-000030000000}"/>
    <cellStyle name="Currency 5 2 2" xfId="119" xr:uid="{00000000-0005-0000-0000-000031000000}"/>
    <cellStyle name="Currency 5 3" xfId="93" xr:uid="{00000000-0005-0000-0000-000032000000}"/>
    <cellStyle name="Currency 6" xfId="26" xr:uid="{00000000-0005-0000-0000-000033000000}"/>
    <cellStyle name="Currency 6 2" xfId="57" xr:uid="{00000000-0005-0000-0000-000034000000}"/>
    <cellStyle name="Currency 6 2 2" xfId="122" xr:uid="{00000000-0005-0000-0000-000035000000}"/>
    <cellStyle name="Currency 6 3" xfId="96" xr:uid="{00000000-0005-0000-0000-000036000000}"/>
    <cellStyle name="Currency 7" xfId="30" xr:uid="{00000000-0005-0000-0000-000037000000}"/>
    <cellStyle name="Currency 7 2" xfId="61" xr:uid="{00000000-0005-0000-0000-000038000000}"/>
    <cellStyle name="Currency 7 2 2" xfId="126" xr:uid="{00000000-0005-0000-0000-000039000000}"/>
    <cellStyle name="Currency 7 3" xfId="100" xr:uid="{00000000-0005-0000-0000-00003A000000}"/>
    <cellStyle name="Currency 8" xfId="34" xr:uid="{00000000-0005-0000-0000-00003B000000}"/>
    <cellStyle name="Currency 8 2" xfId="65" xr:uid="{00000000-0005-0000-0000-00003C000000}"/>
    <cellStyle name="Currency 8 2 2" xfId="69" xr:uid="{00000000-0005-0000-0000-00003D000000}"/>
    <cellStyle name="Currency 8 2 2 2" xfId="134" xr:uid="{00000000-0005-0000-0000-00003E000000}"/>
    <cellStyle name="Currency 8 2 3" xfId="73" xr:uid="{00000000-0005-0000-0000-00003F000000}"/>
    <cellStyle name="Currency 8 2 3 2" xfId="138" xr:uid="{00000000-0005-0000-0000-000040000000}"/>
    <cellStyle name="Currency 8 2 4" xfId="130" xr:uid="{00000000-0005-0000-0000-000041000000}"/>
    <cellStyle name="Currency 8 3" xfId="104" xr:uid="{00000000-0005-0000-0000-000042000000}"/>
    <cellStyle name="Currency 9" xfId="38" xr:uid="{00000000-0005-0000-0000-000043000000}"/>
    <cellStyle name="Normal" xfId="0" builtinId="0"/>
    <cellStyle name="Normal - Style1 2" xfId="10" xr:uid="{00000000-0005-0000-0000-000045000000}"/>
    <cellStyle name="Normal 10" xfId="33" xr:uid="{00000000-0005-0000-0000-000046000000}"/>
    <cellStyle name="Normal 10 2" xfId="64" xr:uid="{00000000-0005-0000-0000-000047000000}"/>
    <cellStyle name="Normal 10 2 2" xfId="68" xr:uid="{00000000-0005-0000-0000-000048000000}"/>
    <cellStyle name="Normal 10 2 2 2" xfId="133" xr:uid="{00000000-0005-0000-0000-000049000000}"/>
    <cellStyle name="Normal 10 2 3" xfId="72" xr:uid="{00000000-0005-0000-0000-00004A000000}"/>
    <cellStyle name="Normal 10 2 3 2" xfId="137" xr:uid="{00000000-0005-0000-0000-00004B000000}"/>
    <cellStyle name="Normal 10 2 4" xfId="129" xr:uid="{00000000-0005-0000-0000-00004C000000}"/>
    <cellStyle name="Normal 10 3" xfId="103" xr:uid="{00000000-0005-0000-0000-00004D000000}"/>
    <cellStyle name="Normal 11" xfId="40" xr:uid="{00000000-0005-0000-0000-00004E000000}"/>
    <cellStyle name="Normal 11 2" xfId="108" xr:uid="{00000000-0005-0000-0000-00004F000000}"/>
    <cellStyle name="Normal 12" xfId="37" xr:uid="{00000000-0005-0000-0000-000050000000}"/>
    <cellStyle name="Normal 12 2" xfId="107" xr:uid="{00000000-0005-0000-0000-000051000000}"/>
    <cellStyle name="Normal 13" xfId="77" xr:uid="{00000000-0005-0000-0000-000052000000}"/>
    <cellStyle name="Normal 13 2" xfId="141" xr:uid="{00000000-0005-0000-0000-000053000000}"/>
    <cellStyle name="Normal 14" xfId="80" xr:uid="{00000000-0005-0000-0000-000054000000}"/>
    <cellStyle name="Normal 14 2" xfId="144" xr:uid="{00000000-0005-0000-0000-000055000000}"/>
    <cellStyle name="Normal 2" xfId="7" xr:uid="{00000000-0005-0000-0000-000056000000}"/>
    <cellStyle name="Normal 2 2" xfId="41" xr:uid="{00000000-0005-0000-0000-000057000000}"/>
    <cellStyle name="Normal 2 2 2" xfId="109" xr:uid="{00000000-0005-0000-0000-000058000000}"/>
    <cellStyle name="Normal 2 3" xfId="82" xr:uid="{00000000-0005-0000-0000-000059000000}"/>
    <cellStyle name="Normal 2 4" xfId="83" xr:uid="{00000000-0005-0000-0000-00005A000000}"/>
    <cellStyle name="Normal 3" xfId="13" xr:uid="{00000000-0005-0000-0000-00005B000000}"/>
    <cellStyle name="Normal 3 2" xfId="44" xr:uid="{00000000-0005-0000-0000-00005C000000}"/>
    <cellStyle name="Normal 3 2 2" xfId="112" xr:uid="{00000000-0005-0000-0000-00005D000000}"/>
    <cellStyle name="Normal 3 3" xfId="86" xr:uid="{00000000-0005-0000-0000-00005E000000}"/>
    <cellStyle name="Normal 4" xfId="11" xr:uid="{00000000-0005-0000-0000-00005F000000}"/>
    <cellStyle name="Normal 5" xfId="18" xr:uid="{00000000-0005-0000-0000-000060000000}"/>
    <cellStyle name="Normal 5 2" xfId="20" xr:uid="{00000000-0005-0000-0000-000061000000}"/>
    <cellStyle name="Normal 5 2 2" xfId="51" xr:uid="{00000000-0005-0000-0000-000062000000}"/>
    <cellStyle name="Normal 5 2 2 2" xfId="116" xr:uid="{00000000-0005-0000-0000-000063000000}"/>
    <cellStyle name="Normal 5 2 3" xfId="90" xr:uid="{00000000-0005-0000-0000-000064000000}"/>
    <cellStyle name="Normal 5 3" xfId="22" xr:uid="{00000000-0005-0000-0000-000065000000}"/>
    <cellStyle name="Normal 5 3 2" xfId="53" xr:uid="{00000000-0005-0000-0000-000066000000}"/>
    <cellStyle name="Normal 5 3 2 2" xfId="118" xr:uid="{00000000-0005-0000-0000-000067000000}"/>
    <cellStyle name="Normal 5 3 3" xfId="92" xr:uid="{00000000-0005-0000-0000-000068000000}"/>
    <cellStyle name="Normal 5 4" xfId="28" xr:uid="{00000000-0005-0000-0000-000069000000}"/>
    <cellStyle name="Normal 5 4 2" xfId="59" xr:uid="{00000000-0005-0000-0000-00006A000000}"/>
    <cellStyle name="Normal 5 4 2 2" xfId="124" xr:uid="{00000000-0005-0000-0000-00006B000000}"/>
    <cellStyle name="Normal 5 4 3" xfId="98" xr:uid="{00000000-0005-0000-0000-00006C000000}"/>
    <cellStyle name="Normal 5 5" xfId="32" xr:uid="{00000000-0005-0000-0000-00006D000000}"/>
    <cellStyle name="Normal 5 5 2" xfId="63" xr:uid="{00000000-0005-0000-0000-00006E000000}"/>
    <cellStyle name="Normal 5 5 2 2" xfId="128" xr:uid="{00000000-0005-0000-0000-00006F000000}"/>
    <cellStyle name="Normal 5 5 3" xfId="102" xr:uid="{00000000-0005-0000-0000-000070000000}"/>
    <cellStyle name="Normal 5 6" xfId="36" xr:uid="{00000000-0005-0000-0000-000071000000}"/>
    <cellStyle name="Normal 5 6 2" xfId="67" xr:uid="{00000000-0005-0000-0000-000072000000}"/>
    <cellStyle name="Normal 5 6 2 2" xfId="71" xr:uid="{00000000-0005-0000-0000-000073000000}"/>
    <cellStyle name="Normal 5 6 2 2 2" xfId="136" xr:uid="{00000000-0005-0000-0000-000074000000}"/>
    <cellStyle name="Normal 5 6 2 3" xfId="75" xr:uid="{00000000-0005-0000-0000-000075000000}"/>
    <cellStyle name="Normal 5 6 2 3 2" xfId="140" xr:uid="{00000000-0005-0000-0000-000076000000}"/>
    <cellStyle name="Normal 5 6 2 4" xfId="132" xr:uid="{00000000-0005-0000-0000-000077000000}"/>
    <cellStyle name="Normal 5 6 3" xfId="106" xr:uid="{00000000-0005-0000-0000-000078000000}"/>
    <cellStyle name="Normal 5 7" xfId="49" xr:uid="{00000000-0005-0000-0000-000079000000}"/>
    <cellStyle name="Normal 5 7 2" xfId="114" xr:uid="{00000000-0005-0000-0000-00007A000000}"/>
    <cellStyle name="Normal 5 8" xfId="88" xr:uid="{00000000-0005-0000-0000-00007B000000}"/>
    <cellStyle name="Normal 6" xfId="21" xr:uid="{00000000-0005-0000-0000-00007C000000}"/>
    <cellStyle name="Normal 6 2" xfId="52" xr:uid="{00000000-0005-0000-0000-00007D000000}"/>
    <cellStyle name="Normal 6 2 2" xfId="117" xr:uid="{00000000-0005-0000-0000-00007E000000}"/>
    <cellStyle name="Normal 6 3" xfId="91" xr:uid="{00000000-0005-0000-0000-00007F000000}"/>
    <cellStyle name="Normal 7" xfId="2" xr:uid="{00000000-0005-0000-0000-000080000000}"/>
    <cellStyle name="Normal 7 10" xfId="146" xr:uid="{00000000-0005-0000-0000-000081000000}"/>
    <cellStyle name="Normal 8" xfId="25" xr:uid="{00000000-0005-0000-0000-000082000000}"/>
    <cellStyle name="Normal 8 2" xfId="56" xr:uid="{00000000-0005-0000-0000-000083000000}"/>
    <cellStyle name="Normal 8 2 2" xfId="121" xr:uid="{00000000-0005-0000-0000-000084000000}"/>
    <cellStyle name="Normal 8 3" xfId="95" xr:uid="{00000000-0005-0000-0000-000085000000}"/>
    <cellStyle name="Normal 9" xfId="29" xr:uid="{00000000-0005-0000-0000-000086000000}"/>
    <cellStyle name="Normal 9 2" xfId="60" xr:uid="{00000000-0005-0000-0000-000087000000}"/>
    <cellStyle name="Normal 9 2 2" xfId="125" xr:uid="{00000000-0005-0000-0000-000088000000}"/>
    <cellStyle name="Normal 9 3" xfId="99" xr:uid="{00000000-0005-0000-0000-000089000000}"/>
    <cellStyle name="Percent" xfId="148" builtinId="5"/>
    <cellStyle name="Percent 2" xfId="1" xr:uid="{00000000-0005-0000-0000-00008A000000}"/>
    <cellStyle name="Percent 3" xfId="12" xr:uid="{00000000-0005-0000-0000-00008B000000}"/>
    <cellStyle name="Percent 3 2" xfId="43" xr:uid="{00000000-0005-0000-0000-00008C000000}"/>
    <cellStyle name="Percent 3 2 2" xfId="111" xr:uid="{00000000-0005-0000-0000-00008D000000}"/>
    <cellStyle name="Percent 3 3" xfId="85" xr:uid="{00000000-0005-0000-0000-00008E000000}"/>
    <cellStyle name="Percent 4" xfId="17" xr:uid="{00000000-0005-0000-0000-00008F000000}"/>
    <cellStyle name="Percent 4 2" xfId="48" xr:uid="{00000000-0005-0000-0000-000090000000}"/>
    <cellStyle name="Percent 5" xfId="39" xr:uid="{00000000-0005-0000-0000-000091000000}"/>
    <cellStyle name="Percent 6" xfId="81" xr:uid="{00000000-0005-0000-0000-000092000000}"/>
    <cellStyle name="Percent 6 2" xfId="145" xr:uid="{00000000-0005-0000-0000-000093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tyles" Target="style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12</xdr:col>
      <xdr:colOff>671945</xdr:colOff>
      <xdr:row>12</xdr:row>
      <xdr:rowOff>69272</xdr:rowOff>
    </xdr:from>
    <xdr:ext cx="1627177" cy="937629"/>
    <xdr:sp macro="" textlink="">
      <xdr:nvSpPr>
        <xdr:cNvPr id="2" name="Rectangle 1">
          <a:extLst>
            <a:ext uri="{FF2B5EF4-FFF2-40B4-BE49-F238E27FC236}">
              <a16:creationId xmlns:a16="http://schemas.microsoft.com/office/drawing/2014/main" id="{FEEB34C2-EEA5-418D-987B-89B53B6AB59F}"/>
            </a:ext>
          </a:extLst>
        </xdr:cNvPr>
        <xdr:cNvSpPr/>
      </xdr:nvSpPr>
      <xdr:spPr>
        <a:xfrm>
          <a:off x="14249400" y="2001981"/>
          <a:ext cx="1627177" cy="937629"/>
        </a:xfrm>
        <a:prstGeom prst="rect">
          <a:avLst/>
        </a:prstGeom>
        <a:noFill/>
      </xdr:spPr>
      <xdr:txBody>
        <a:bodyPr wrap="none" lIns="91440" tIns="45720" rIns="91440" bIns="45720">
          <a:spAutoFit/>
        </a:bodyPr>
        <a:lstStyle/>
        <a:p>
          <a:pPr algn="ctr"/>
          <a:r>
            <a:rPr lang="en-US" sz="5400" b="0" cap="none" spc="0">
              <a:ln w="0"/>
              <a:solidFill>
                <a:schemeClr val="accent1"/>
              </a:solidFill>
              <a:effectLst>
                <a:outerShdw blurRad="38100" dist="25400" dir="5400000" algn="ctr" rotWithShape="0">
                  <a:srgbClr val="6E747A">
                    <a:alpha val="43000"/>
                  </a:srgbClr>
                </a:outerShdw>
              </a:effectLst>
            </a:rPr>
            <a:t>Draft</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2354580</xdr:colOff>
      <xdr:row>6</xdr:row>
      <xdr:rowOff>45720</xdr:rowOff>
    </xdr:from>
    <xdr:ext cx="1627177" cy="937629"/>
    <xdr:sp macro="" textlink="">
      <xdr:nvSpPr>
        <xdr:cNvPr id="2" name="Rectangle 1">
          <a:extLst>
            <a:ext uri="{FF2B5EF4-FFF2-40B4-BE49-F238E27FC236}">
              <a16:creationId xmlns:a16="http://schemas.microsoft.com/office/drawing/2014/main" id="{55E6C962-F56F-444A-88CC-FBFCC6E09E93}"/>
            </a:ext>
          </a:extLst>
        </xdr:cNvPr>
        <xdr:cNvSpPr/>
      </xdr:nvSpPr>
      <xdr:spPr>
        <a:xfrm>
          <a:off x="2674620" y="1264920"/>
          <a:ext cx="1627177" cy="937629"/>
        </a:xfrm>
        <a:prstGeom prst="rect">
          <a:avLst/>
        </a:prstGeom>
        <a:noFill/>
      </xdr:spPr>
      <xdr:txBody>
        <a:bodyPr wrap="none" lIns="91440" tIns="45720" rIns="91440" bIns="45720">
          <a:spAutoFit/>
        </a:bodyPr>
        <a:lstStyle/>
        <a:p>
          <a:pPr algn="ctr"/>
          <a:r>
            <a:rPr lang="en-US" sz="5400" b="0" cap="none" spc="0">
              <a:ln w="0"/>
              <a:solidFill>
                <a:schemeClr val="accent1"/>
              </a:solidFill>
              <a:effectLst>
                <a:outerShdw blurRad="38100" dist="25400" dir="5400000" algn="ctr" rotWithShape="0">
                  <a:srgbClr val="6E747A">
                    <a:alpha val="43000"/>
                  </a:srgbClr>
                </a:outerShdw>
              </a:effectLst>
            </a:rPr>
            <a:t>Draft</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802992</xdr:colOff>
      <xdr:row>5</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21</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4</xdr:col>
      <xdr:colOff>802992</xdr:colOff>
      <xdr:row>21</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fdfs01.c-iv.org\acn\Documents%20and%20Settings\MastersK\Local%20Settings\Temporary%20Internet%20Files\OLK1AC\CMIPS%20II%20and%20IHSS%20SOC%20Estimates%20v5.1%20-%20working%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fdfs01.c-iv.org\acn\Users\BegicS\AppData\Local\Microsoft\Windows\Temporary%20Internet%20Files\OLK174A\CMIPS%20II%20and%20IHSS%20SOC%20Estimates%20-%2009-23-20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dfdfs01.c-iv.org\acn\Accenture\Contracts\Change%20Orders\M&amp;O\CO-047%20Del%20Norte%20POP%20model%20change\05-19-2009%20For%20JPA\Marin-Napa%20CPOP%20v4-client-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dfdfs01\Data2\DOCUME~1\IslePA\LOCALS~1\Temp\Pricing%20Schedul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mlap\c\DOCUME~1\lundybx\LOCALS~1\Temp\Development%20Cost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dfdfs01\Data2\WINDOWS\TEMP\1.0%20Cost%20Schedules-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fdfs01.c-iv.org\acn\Accenture\Contracts\Implementation%20Agreement\Amendments\Amendment%20No.%205\02-09-2010%20Final%20for%20JPA\Accenture%20BAFO%20Cost%20Schedules%20Amendment%20No.%20FIV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dfdfs01.c-iv.org\acn\Documents%20and%20Settings\ryan.b.wickham\Local%20Settings\Temporary%20Internet%20Files\OLK55\OMX%20financials%20-%20v3%203%2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fdfs01.c-iv.org\acn\Documents%20and%20Settings\GnesdaJ\Local%20Settings\Temporary%20Internet%20Files\OLK1F3F\07-31-2007%20From%20JG\Be%20Vu%20Estimate%20072607%20from%20J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Tasks"/>
      <sheetName val="Detailed Estimate"/>
      <sheetName val="Timeline"/>
      <sheetName val="7. Assumptions"/>
    </sheetNames>
    <sheetDataSet>
      <sheetData sheetId="0" refreshError="1">
        <row r="41">
          <cell r="L41">
            <v>50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1.  Overview"/>
      <sheetName val="2.  Timeline"/>
      <sheetName val="2.  Timeline w staff"/>
      <sheetName val="2.  Timeline Summary by staff "/>
      <sheetName val="3. Cost Summary "/>
      <sheetName val="4. Staffing Services"/>
      <sheetName val="D-5 Rates"/>
      <sheetName val="5. Tasks"/>
      <sheetName val="6. Assumptions"/>
      <sheetName val="7.  Detailed Estimate"/>
      <sheetName val="8. HW_SW"/>
      <sheetName val="9. D-2 (B) Costs"/>
    </sheetNames>
    <sheetDataSet>
      <sheetData sheetId="0"/>
      <sheetData sheetId="1"/>
      <sheetData sheetId="2"/>
      <sheetData sheetId="3"/>
      <sheetData sheetId="4"/>
      <sheetData sheetId="5"/>
      <sheetData sheetId="6"/>
      <sheetData sheetId="7"/>
      <sheetData sheetId="8">
        <row r="36">
          <cell r="H36">
            <v>188.21817271614904</v>
          </cell>
        </row>
      </sheetData>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E"/>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ummary"/>
      <sheetName val="A-1 Costs by Month"/>
      <sheetName val="B Tasks and Deliv's"/>
      <sheetName val="B-1 Rates"/>
      <sheetName val="B-2 Staffing by Task"/>
      <sheetName val="B-3 Staffing by Person"/>
      <sheetName val="C1 HW Summary"/>
      <sheetName val="C2 SW Summary"/>
      <sheetName val="C3 Dev HW"/>
      <sheetName val="C4 Dev SW"/>
      <sheetName val="C5 Central HW"/>
      <sheetName val="C6 Central SW"/>
      <sheetName val="C7 Local HW"/>
      <sheetName val="C8 Local SW"/>
      <sheetName val="C9 Add HW"/>
      <sheetName val="C10 Add SW"/>
      <sheetName val="D1 FMO Summ"/>
      <sheetName val="D-2 (A) FMO"/>
      <sheetName val="D2 (B) Prod Ops Costs"/>
      <sheetName val="D-3 (A) FMO"/>
      <sheetName val="D-3 (B) Prod Ops Costs"/>
      <sheetName val="D-4 (A) FMO"/>
      <sheetName val="D-4 (B) Prod Ops Costs"/>
      <sheetName val="D-5 Rates"/>
      <sheetName val="E Facilities"/>
      <sheetName val="O-3 M&amp;O Staff"/>
      <sheetName val="O-1D Total Refresh"/>
      <sheetName val="O -1D (A) Development Refresh"/>
      <sheetName val="O-1D (B) Central Refresh"/>
      <sheetName val="O-1D (C)  Local Refresh"/>
      <sheetName val="O-1A Optional Equip IVR"/>
      <sheetName val="O-1B Optional Equip Imaging"/>
      <sheetName val="O-1C Optional Equip Router"/>
      <sheetName val="O-2B  Letter of Credit"/>
      <sheetName val="O-1E  Optional Equip Train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hly Detail"/>
      <sheetName val="Summary by SFY"/>
      <sheetName val="Summary by FFY"/>
      <sheetName val="Director's Cut by SFY"/>
      <sheetName val="New Start Dates"/>
    </sheetNames>
    <sheetDataSet>
      <sheetData sheetId="0"/>
      <sheetData sheetId="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Cost Schedules-2"/>
      <sheetName val="Sheet3"/>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ion History"/>
      <sheetName val="A - Overall Summary"/>
      <sheetName val="A1 - Line Item Summary - Amd 4"/>
      <sheetName val="A2 - Costs By Month - Amd 4"/>
      <sheetName val="HW-SW TOTAL Compare"/>
      <sheetName val="HW-SW SFY Compare"/>
      <sheetName val="A1 - Line Item Summary"/>
      <sheetName val="A2 - Costs By Month"/>
      <sheetName val="B - Staff Summary"/>
      <sheetName val="B1 - Staff by Task"/>
      <sheetName val="B2 - Staff by Person"/>
      <sheetName val="C - Project Site Summary"/>
      <sheetName val="C1 - Project Site HW"/>
      <sheetName val="C2 - Project Site HWM"/>
      <sheetName val="C3 - Project Site SW"/>
      <sheetName val="C4 - Project Site SWM"/>
      <sheetName val="D - Infrastructure Summary"/>
      <sheetName val="D1 - Infrastructure HW"/>
      <sheetName val="D2 - Infrastructure HWM"/>
      <sheetName val="D3 - Infrastructure SW"/>
      <sheetName val="D4 - Infrastructure SWM"/>
      <sheetName val="D1 - NAIT HW"/>
      <sheetName val="D2 - NAIT HWM"/>
      <sheetName val="D3 - NAIT SW"/>
      <sheetName val="D4 - NAIT SWM"/>
      <sheetName val="E - Training Summary"/>
      <sheetName val="E1 - Training HW"/>
      <sheetName val="E2 - Training HWM"/>
      <sheetName val="E3 - Training SW"/>
      <sheetName val="E4 - Training SWM"/>
      <sheetName val="F - Facilities"/>
      <sheetName val="G - Deliverables "/>
      <sheetName val="H - Hourly Rates"/>
      <sheetName val="H (CO) - Hourly CO Rates"/>
      <sheetName val="I - Other"/>
      <sheetName val="J -Imaging Summary"/>
      <sheetName val="J1 - IMG Central Staff by Task"/>
      <sheetName val="J2 - IMG Central Staff by Prsn"/>
      <sheetName val="J3 - Central IMG HW "/>
      <sheetName val="J4 - Central IMG HWM"/>
      <sheetName val="J5 - Central IMG SW"/>
      <sheetName val="J6 - Central IMG SWM"/>
      <sheetName val="J7 - Central IMG Facilities"/>
      <sheetName val="J8 - Central IMG Deliverables"/>
      <sheetName val="J9 - Central IMG Hourly Rates"/>
      <sheetName val="J10- Central IMG Support Staff "/>
      <sheetName val="J11 - CO-002"/>
      <sheetName val="K - IVR Summary"/>
      <sheetName val="K1 - IVR Central Staff by Task"/>
      <sheetName val="K2 - IVR Central Staff by Prsn"/>
      <sheetName val="K3 - Central IVR HW"/>
      <sheetName val="K4 - Central IVR HWM"/>
      <sheetName val="K5 - Central IVR SW"/>
      <sheetName val="K6 - Central IVR SWM"/>
      <sheetName val="K7 - Central IVR Facilities"/>
      <sheetName val="K8 - Central IVR Deliverables"/>
      <sheetName val="K9 - Central IVR Hourly Rates"/>
      <sheetName val="K10- Central IVR Support Staff "/>
      <sheetName val="CP - County Purchases"/>
      <sheetName val="Readin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row r="55">
          <cell r="K55">
            <v>9.2499999999999999E-2</v>
          </cell>
        </row>
        <row r="56">
          <cell r="K56">
            <v>0.05</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
      <sheetName val="INPUT B"/>
      <sheetName val="INPUT C"/>
      <sheetName val="summary"/>
      <sheetName val="hw-sw-maintenance"/>
      <sheetName val="tech_support"/>
      <sheetName val="Staffing Summary"/>
      <sheetName val="Staffing"/>
      <sheetName val="FY09 Rates"/>
    </sheetNames>
    <sheetDataSet>
      <sheetData sheetId="0"/>
      <sheetData sheetId="1"/>
      <sheetData sheetId="2"/>
      <sheetData sheetId="3"/>
      <sheetData sheetId="4"/>
      <sheetData sheetId="5"/>
      <sheetData sheetId="6"/>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Timeline"/>
      <sheetName val="2.  Detailed Estimate"/>
      <sheetName val="3. HW_SW"/>
      <sheetName val="4.  Resource Totals by Year"/>
      <sheetName val="5.  Assumptions"/>
    </sheetNames>
    <sheetDataSet>
      <sheetData sheetId="0" refreshError="1"/>
      <sheetData sheetId="1" refreshError="1"/>
      <sheetData sheetId="2" refreshError="1"/>
      <sheetData sheetId="3" refreshError="1"/>
      <sheetData sheetId="4">
        <row r="5">
          <cell r="A5" t="str">
            <v>Applications Maintenance Team Leaders</v>
          </cell>
        </row>
        <row r="6">
          <cell r="A6" t="str">
            <v>Data Base Administrators - Oracle</v>
          </cell>
        </row>
        <row r="7">
          <cell r="A7" t="str">
            <v>Development Functional /Technical Analysts</v>
          </cell>
        </row>
        <row r="8">
          <cell r="A8" t="str">
            <v>Development Group Leads</v>
          </cell>
        </row>
        <row r="9">
          <cell r="A9" t="str">
            <v>Development Programmers/ Analysts</v>
          </cell>
        </row>
        <row r="10">
          <cell r="A10" t="str">
            <v>Development Team Managers</v>
          </cell>
        </row>
        <row r="11">
          <cell r="A11" t="str">
            <v>Programmers/Analysts - Batch Maintenance</v>
          </cell>
        </row>
        <row r="12">
          <cell r="A12" t="str">
            <v>Programmers/Analysts - Expert Systems</v>
          </cell>
        </row>
        <row r="13">
          <cell r="A13" t="str">
            <v>Programmers/Analysts - Intranet Online</v>
          </cell>
        </row>
        <row r="14">
          <cell r="A14" t="str">
            <v>Project Director / Quality Assurance Partners</v>
          </cell>
        </row>
        <row r="15">
          <cell r="A15" t="str">
            <v>Project Manager</v>
          </cell>
        </row>
        <row r="16">
          <cell r="A16" t="str">
            <v>Sr. Data Base Administrators - Oracle</v>
          </cell>
        </row>
        <row r="17">
          <cell r="A17" t="str">
            <v>Sr. Programmers - Batch Maintenanace</v>
          </cell>
        </row>
        <row r="18">
          <cell r="A18" t="str">
            <v>Sr. Programmers - Expert Systems</v>
          </cell>
        </row>
        <row r="19">
          <cell r="A19" t="str">
            <v>Sr. Programmers - Intranet On-Line</v>
          </cell>
        </row>
        <row r="20">
          <cell r="A20" t="str">
            <v>System Software Specialists</v>
          </cell>
        </row>
      </sheetData>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zoomScaleNormal="100" zoomScaleSheetLayoutView="93" workbookViewId="0">
      <selection activeCell="B39" sqref="B39"/>
    </sheetView>
  </sheetViews>
  <sheetFormatPr defaultColWidth="8.85546875" defaultRowHeight="12.75" x14ac:dyDescent="0.2"/>
  <cols>
    <col min="1" max="1" width="3.85546875" style="59" customWidth="1"/>
    <col min="2" max="2" width="71.28515625" style="1" customWidth="1"/>
    <col min="3" max="9" width="17.5703125" style="1" customWidth="1"/>
    <col min="10" max="10" width="3.140625" style="1" customWidth="1"/>
    <col min="11" max="11" width="16.42578125" style="1" customWidth="1"/>
    <col min="12" max="12" width="2.28515625" style="1" customWidth="1"/>
    <col min="13" max="13" width="15" style="1" customWidth="1"/>
    <col min="14" max="14" width="8.85546875" style="1"/>
    <col min="15" max="15" width="12.42578125" style="1" bestFit="1" customWidth="1"/>
    <col min="16" max="16384" width="8.85546875" style="1"/>
  </cols>
  <sheetData>
    <row r="1" spans="1:13" ht="15.75" x14ac:dyDescent="0.25">
      <c r="A1" s="269" t="s">
        <v>0</v>
      </c>
      <c r="B1" s="269"/>
      <c r="C1" s="269"/>
      <c r="D1" s="269"/>
      <c r="E1" s="269"/>
      <c r="F1" s="269"/>
      <c r="G1" s="269"/>
      <c r="H1" s="269"/>
      <c r="I1" s="269"/>
      <c r="J1" s="2"/>
    </row>
    <row r="2" spans="1:13" ht="15.75" x14ac:dyDescent="0.25">
      <c r="A2" s="269" t="s">
        <v>1</v>
      </c>
      <c r="B2" s="270"/>
      <c r="C2" s="270"/>
      <c r="D2" s="270"/>
      <c r="E2" s="270"/>
      <c r="F2" s="270"/>
      <c r="G2" s="270"/>
      <c r="H2" s="270"/>
      <c r="I2" s="270"/>
      <c r="J2" s="2"/>
    </row>
    <row r="3" spans="1:13" x14ac:dyDescent="0.2">
      <c r="A3" s="70"/>
      <c r="B3" s="179"/>
      <c r="C3" s="179"/>
      <c r="D3" s="178"/>
      <c r="E3" s="178"/>
      <c r="F3" s="178"/>
      <c r="G3" s="178"/>
      <c r="H3" s="178"/>
      <c r="I3" s="178"/>
      <c r="J3" s="3"/>
    </row>
    <row r="4" spans="1:13" ht="23.45" hidden="1" customHeight="1" x14ac:dyDescent="0.2">
      <c r="A4" s="64"/>
      <c r="B4" s="274" t="s">
        <v>23</v>
      </c>
      <c r="C4" s="275"/>
      <c r="D4" s="275"/>
      <c r="E4" s="275"/>
      <c r="F4" s="276"/>
      <c r="G4" s="62"/>
      <c r="H4" s="62"/>
      <c r="I4" s="62"/>
    </row>
    <row r="5" spans="1:13" ht="37.5" hidden="1" customHeight="1" x14ac:dyDescent="0.2">
      <c r="A5" s="60">
        <v>1</v>
      </c>
      <c r="B5" s="271" t="s">
        <v>24</v>
      </c>
      <c r="C5" s="272"/>
      <c r="D5" s="272"/>
      <c r="E5" s="272"/>
      <c r="F5" s="273"/>
      <c r="G5" s="62"/>
      <c r="H5" s="62"/>
      <c r="I5" s="62"/>
    </row>
    <row r="6" spans="1:13" ht="54" hidden="1" customHeight="1" x14ac:dyDescent="0.2">
      <c r="A6" s="60">
        <v>2</v>
      </c>
      <c r="B6" s="271" t="s">
        <v>25</v>
      </c>
      <c r="C6" s="272"/>
      <c r="D6" s="272"/>
      <c r="E6" s="272"/>
      <c r="F6" s="273"/>
      <c r="G6" s="62"/>
      <c r="H6" s="62"/>
      <c r="I6" s="227"/>
    </row>
    <row r="7" spans="1:13" ht="21" hidden="1" customHeight="1" x14ac:dyDescent="0.2">
      <c r="A7" s="60">
        <v>3</v>
      </c>
      <c r="B7" s="266" t="s">
        <v>26</v>
      </c>
      <c r="C7" s="267"/>
      <c r="D7" s="267"/>
      <c r="E7" s="267"/>
      <c r="F7" s="268"/>
      <c r="G7" s="63"/>
      <c r="H7" s="63"/>
      <c r="I7" s="228"/>
    </row>
    <row r="8" spans="1:13" ht="21" hidden="1" customHeight="1" x14ac:dyDescent="0.2">
      <c r="A8" s="233"/>
      <c r="B8" s="250"/>
      <c r="C8" s="251"/>
      <c r="D8" s="251"/>
      <c r="E8" s="63"/>
      <c r="F8" s="63"/>
      <c r="G8" s="63"/>
      <c r="H8" s="63"/>
      <c r="I8" s="228"/>
    </row>
    <row r="9" spans="1:13" ht="25.5" hidden="1" x14ac:dyDescent="0.2">
      <c r="B9" s="151" t="s">
        <v>27</v>
      </c>
      <c r="C9" s="151"/>
      <c r="D9" s="225" t="s">
        <v>28</v>
      </c>
      <c r="E9" s="43"/>
      <c r="F9" s="43"/>
      <c r="G9" s="43"/>
      <c r="H9" s="43"/>
      <c r="I9" s="43"/>
    </row>
    <row r="10" spans="1:13" hidden="1" x14ac:dyDescent="0.2">
      <c r="A10" s="59">
        <v>4</v>
      </c>
      <c r="B10" s="180" t="s">
        <v>29</v>
      </c>
      <c r="C10" s="180"/>
      <c r="D10" s="181" t="s">
        <v>30</v>
      </c>
      <c r="E10" s="42"/>
      <c r="F10" s="42"/>
      <c r="G10" s="42"/>
      <c r="H10" s="42"/>
      <c r="I10" s="42"/>
    </row>
    <row r="11" spans="1:13" ht="51" hidden="1" x14ac:dyDescent="0.2">
      <c r="A11" s="59">
        <v>5</v>
      </c>
      <c r="B11" s="180" t="s">
        <v>31</v>
      </c>
      <c r="C11" s="180"/>
      <c r="D11" s="181" t="s">
        <v>32</v>
      </c>
      <c r="E11" s="43"/>
      <c r="F11" s="43"/>
      <c r="G11" s="43"/>
      <c r="H11" s="43"/>
      <c r="I11" s="43"/>
    </row>
    <row r="12" spans="1:13" ht="51" hidden="1" x14ac:dyDescent="0.2">
      <c r="A12" s="59">
        <v>6</v>
      </c>
      <c r="B12" s="180" t="s">
        <v>33</v>
      </c>
      <c r="C12" s="180"/>
      <c r="D12" s="226" t="s">
        <v>32</v>
      </c>
      <c r="E12" s="42"/>
      <c r="F12" s="42"/>
      <c r="G12" s="42"/>
      <c r="H12" s="42"/>
      <c r="I12" s="42"/>
    </row>
    <row r="13" spans="1:13" hidden="1" x14ac:dyDescent="0.2">
      <c r="A13" s="59">
        <v>7</v>
      </c>
      <c r="B13" s="232" t="s">
        <v>34</v>
      </c>
      <c r="C13" s="232"/>
      <c r="D13" s="181" t="s">
        <v>30</v>
      </c>
      <c r="E13" s="44"/>
      <c r="F13" s="44"/>
      <c r="G13" s="44"/>
      <c r="H13" s="44"/>
      <c r="I13" s="43"/>
    </row>
    <row r="14" spans="1:13" hidden="1" x14ac:dyDescent="0.2">
      <c r="A14" s="59">
        <v>8</v>
      </c>
      <c r="B14" s="232" t="s">
        <v>35</v>
      </c>
      <c r="C14" s="232"/>
      <c r="D14" s="181" t="s">
        <v>30</v>
      </c>
      <c r="E14" s="42"/>
      <c r="F14" s="42"/>
      <c r="G14" s="42"/>
      <c r="H14" s="42"/>
      <c r="I14" s="42"/>
    </row>
    <row r="15" spans="1:13" hidden="1" x14ac:dyDescent="0.2">
      <c r="A15" s="59">
        <v>9</v>
      </c>
      <c r="B15" s="232" t="s">
        <v>36</v>
      </c>
      <c r="C15" s="232"/>
      <c r="D15" s="181" t="s">
        <v>30</v>
      </c>
      <c r="E15" s="44"/>
      <c r="F15" s="44"/>
      <c r="G15" s="44"/>
      <c r="H15" s="44"/>
      <c r="I15" s="44"/>
    </row>
    <row r="16" spans="1:13" ht="25.5" customHeight="1" x14ac:dyDescent="0.2">
      <c r="A16" s="265" t="s">
        <v>185</v>
      </c>
      <c r="B16" s="265"/>
      <c r="C16" s="98" t="s">
        <v>2</v>
      </c>
      <c r="D16" s="98" t="s">
        <v>3</v>
      </c>
      <c r="E16" s="98" t="s">
        <v>4</v>
      </c>
      <c r="F16" s="98" t="s">
        <v>5</v>
      </c>
      <c r="G16" s="98" t="s">
        <v>6</v>
      </c>
      <c r="H16" s="260" t="s">
        <v>7</v>
      </c>
      <c r="I16" s="260" t="s">
        <v>8</v>
      </c>
      <c r="K16" s="260" t="s">
        <v>8</v>
      </c>
      <c r="M16" s="260" t="s">
        <v>8</v>
      </c>
    </row>
    <row r="17" spans="1:13" x14ac:dyDescent="0.2">
      <c r="A17" s="243"/>
      <c r="B17" s="244" t="s">
        <v>9</v>
      </c>
      <c r="C17" s="245">
        <v>0</v>
      </c>
      <c r="D17" s="245">
        <v>0</v>
      </c>
      <c r="E17" s="245">
        <v>0</v>
      </c>
      <c r="F17" s="245">
        <f>'2. App Maint'!F13</f>
        <v>23342925.760000002</v>
      </c>
      <c r="G17" s="245">
        <f>'2. App Maint'!J13</f>
        <v>35014388.640000001</v>
      </c>
      <c r="H17" s="245">
        <f>'2. App Maint'!N13</f>
        <v>14589328.6</v>
      </c>
      <c r="I17" s="245">
        <f>SUM(D17:H17)</f>
        <v>72946643</v>
      </c>
      <c r="K17" s="245">
        <v>72946643</v>
      </c>
      <c r="M17" s="245">
        <f>I17-K17</f>
        <v>0</v>
      </c>
    </row>
    <row r="18" spans="1:13" x14ac:dyDescent="0.2">
      <c r="A18" s="116"/>
      <c r="B18" s="116"/>
      <c r="C18" s="116"/>
      <c r="D18" s="116"/>
      <c r="E18" s="116"/>
      <c r="F18" s="116"/>
      <c r="G18" s="116"/>
      <c r="H18" s="116"/>
      <c r="I18" s="116"/>
      <c r="K18" s="116"/>
      <c r="M18" s="116"/>
    </row>
    <row r="19" spans="1:13" x14ac:dyDescent="0.2">
      <c r="A19" s="246"/>
      <c r="B19" s="247" t="s">
        <v>10</v>
      </c>
      <c r="C19" s="248">
        <v>0</v>
      </c>
      <c r="D19" s="248">
        <v>0</v>
      </c>
      <c r="E19" s="248">
        <v>0</v>
      </c>
      <c r="F19" s="248">
        <f>'3B. Innovation Lab'!N12</f>
        <v>1371884.96</v>
      </c>
      <c r="G19" s="248">
        <f>'3B. Innovation Lab'!R12</f>
        <v>1952670.7200000002</v>
      </c>
      <c r="H19" s="248">
        <v>0</v>
      </c>
      <c r="I19" s="248">
        <f>SUM(D19:H19)</f>
        <v>3324555.68</v>
      </c>
      <c r="K19" s="248">
        <v>3324555.68</v>
      </c>
      <c r="M19" s="245">
        <f>I19-K19</f>
        <v>0</v>
      </c>
    </row>
    <row r="20" spans="1:13" x14ac:dyDescent="0.2">
      <c r="A20" s="116"/>
      <c r="B20" s="116"/>
      <c r="C20" s="116"/>
      <c r="D20" s="116"/>
      <c r="E20" s="116"/>
      <c r="F20" s="116"/>
      <c r="G20" s="116"/>
      <c r="H20" s="116"/>
      <c r="I20" s="116"/>
      <c r="K20" s="116"/>
      <c r="M20" s="116"/>
    </row>
    <row r="21" spans="1:13" x14ac:dyDescent="0.2">
      <c r="A21" s="107"/>
      <c r="B21" s="105" t="s">
        <v>11</v>
      </c>
      <c r="C21" s="106">
        <v>0</v>
      </c>
      <c r="D21" s="106">
        <f>SUM(D22:D26)</f>
        <v>0</v>
      </c>
      <c r="E21" s="106">
        <f>SUM(E22:E26)</f>
        <v>0</v>
      </c>
      <c r="F21" s="106">
        <f>SUM(F22:F26)</f>
        <v>55099628.345968001</v>
      </c>
      <c r="G21" s="106">
        <f>SUM(G22:G26)</f>
        <v>81028017.831571206</v>
      </c>
      <c r="H21" s="106">
        <f>SUM(H22:H26)</f>
        <v>37465641.935264967</v>
      </c>
      <c r="I21" s="106">
        <f>SUM(D21:H21)</f>
        <v>173593288.11280417</v>
      </c>
      <c r="K21" s="106">
        <f>SUM(K22:K25)</f>
        <v>174095829.61450401</v>
      </c>
      <c r="M21" s="245">
        <f>I21-K21</f>
        <v>-502541.50169983506</v>
      </c>
    </row>
    <row r="22" spans="1:13" x14ac:dyDescent="0.2">
      <c r="A22" s="99"/>
      <c r="B22" s="104" t="s">
        <v>12</v>
      </c>
      <c r="C22" s="100">
        <v>0</v>
      </c>
      <c r="D22" s="100">
        <f>' 3A. Prod Ops - Orig'!F85</f>
        <v>0</v>
      </c>
      <c r="E22" s="100">
        <f>' 3A. Prod Ops - Orig'!I85</f>
        <v>0</v>
      </c>
      <c r="F22" s="100">
        <f>'3A. Prod Ops'!L62</f>
        <v>38220713.552928001</v>
      </c>
      <c r="G22" s="100">
        <f>'3A. Prod Ops'!O62</f>
        <v>54934794.496352002</v>
      </c>
      <c r="H22" s="100">
        <f>'3A. Prod Ops'!R62</f>
        <v>26265165.545888003</v>
      </c>
      <c r="I22" s="109">
        <f>SUM(D22:H22)</f>
        <v>119420673.59516801</v>
      </c>
      <c r="K22" s="109">
        <v>119175401.59999999</v>
      </c>
      <c r="M22" s="109">
        <f>I22-K22</f>
        <v>245271.99516801536</v>
      </c>
    </row>
    <row r="23" spans="1:13" x14ac:dyDescent="0.2">
      <c r="A23" s="99"/>
      <c r="B23" s="104" t="s">
        <v>13</v>
      </c>
      <c r="C23" s="100">
        <v>0</v>
      </c>
      <c r="D23" s="100">
        <f>'4. Prod Ops Old'!C39</f>
        <v>0</v>
      </c>
      <c r="E23" s="100">
        <f>'4. Prod Ops Old'!D39</f>
        <v>0</v>
      </c>
      <c r="F23" s="100">
        <f>'4. Prod Ops'!E5</f>
        <v>3525271.2092000023</v>
      </c>
      <c r="G23" s="100">
        <f>'4. Prod Ops'!F5</f>
        <v>5731595.4349440029</v>
      </c>
      <c r="H23" s="100">
        <f>'4. Prod Ops'!G5</f>
        <v>2568450.0892600012</v>
      </c>
      <c r="I23" s="109">
        <f>SUM(D23:H23)</f>
        <v>11825316.733404007</v>
      </c>
      <c r="K23" s="109">
        <v>12573130.484504003</v>
      </c>
      <c r="M23" s="109">
        <f t="shared" ref="M23:M25" si="0">I23-K23</f>
        <v>-747813.75109999627</v>
      </c>
    </row>
    <row r="24" spans="1:13" x14ac:dyDescent="0.2">
      <c r="A24" s="99"/>
      <c r="B24" s="104" t="s">
        <v>14</v>
      </c>
      <c r="C24" s="100">
        <v>0</v>
      </c>
      <c r="D24" s="100">
        <f>'4. Prod Ops Old'!C47</f>
        <v>0</v>
      </c>
      <c r="E24" s="100">
        <f>'4. Prod Ops Old'!D47</f>
        <v>0</v>
      </c>
      <c r="F24" s="100">
        <f>'4. Prod Ops'!E13</f>
        <v>3915635.4438399998</v>
      </c>
      <c r="G24" s="100">
        <f>'4. Prod Ops'!F13</f>
        <v>5940877.4002752006</v>
      </c>
      <c r="H24" s="100">
        <f>'4. Prod Ops'!G13</f>
        <v>2510192.6001169598</v>
      </c>
      <c r="I24" s="109">
        <f>SUM(D24:H24)</f>
        <v>12366705.444232162</v>
      </c>
      <c r="K24" s="109">
        <v>12366705.189999999</v>
      </c>
      <c r="M24" s="109">
        <f t="shared" si="0"/>
        <v>0.25423216260969639</v>
      </c>
    </row>
    <row r="25" spans="1:13" x14ac:dyDescent="0.2">
      <c r="A25" s="99"/>
      <c r="B25" s="104" t="s">
        <v>15</v>
      </c>
      <c r="C25" s="100">
        <v>0</v>
      </c>
      <c r="D25" s="100">
        <f>'4. Prod Ops Old'!C55</f>
        <v>0</v>
      </c>
      <c r="E25" s="100">
        <f>'4. Prod Ops Old'!D55</f>
        <v>0</v>
      </c>
      <c r="F25" s="100">
        <f>'4. Prod Ops Old'!E21</f>
        <v>9438008.1400000006</v>
      </c>
      <c r="G25" s="100">
        <f>'4. Prod Ops Old'!F21</f>
        <v>14420750.5</v>
      </c>
      <c r="H25" s="100">
        <f>'4. Prod Ops Old'!G21</f>
        <v>6121833.7000000002</v>
      </c>
      <c r="I25" s="109">
        <f>SUM(D25:H25)</f>
        <v>29980592.34</v>
      </c>
      <c r="K25" s="109">
        <v>29980592.34</v>
      </c>
      <c r="M25" s="109">
        <f t="shared" si="0"/>
        <v>0</v>
      </c>
    </row>
    <row r="26" spans="1:13" x14ac:dyDescent="0.2">
      <c r="A26" s="99"/>
      <c r="B26" s="104"/>
      <c r="C26" s="104"/>
      <c r="D26" s="100"/>
      <c r="E26" s="100"/>
      <c r="F26" s="100"/>
      <c r="G26" s="100"/>
      <c r="H26" s="100"/>
      <c r="I26" s="109"/>
      <c r="K26" s="109"/>
      <c r="M26" s="109"/>
    </row>
    <row r="27" spans="1:13" x14ac:dyDescent="0.2">
      <c r="A27" s="107"/>
      <c r="B27" s="105" t="s">
        <v>16</v>
      </c>
      <c r="C27" s="106">
        <f t="shared" ref="C27:H27" si="1">SUM(C28:C32)</f>
        <v>0</v>
      </c>
      <c r="D27" s="106">
        <f t="shared" si="1"/>
        <v>0</v>
      </c>
      <c r="E27" s="106">
        <f t="shared" si="1"/>
        <v>0</v>
      </c>
      <c r="F27" s="106">
        <f t="shared" si="1"/>
        <v>0</v>
      </c>
      <c r="G27" s="106">
        <f t="shared" si="1"/>
        <v>0</v>
      </c>
      <c r="H27" s="106">
        <f t="shared" si="1"/>
        <v>0</v>
      </c>
      <c r="I27" s="106">
        <f>SUM(C27:H27)</f>
        <v>0</v>
      </c>
      <c r="K27" s="106">
        <f>SUM(E27:J27)</f>
        <v>0</v>
      </c>
      <c r="M27" s="106">
        <f>SUM(G27:L27)</f>
        <v>0</v>
      </c>
    </row>
    <row r="28" spans="1:13" x14ac:dyDescent="0.2">
      <c r="A28" s="99"/>
      <c r="B28" s="104" t="s">
        <v>17</v>
      </c>
      <c r="C28" s="100"/>
      <c r="D28" s="100"/>
      <c r="E28" s="100"/>
      <c r="F28" s="100"/>
      <c r="G28" s="100"/>
      <c r="H28" s="100"/>
      <c r="I28" s="109">
        <f>SUM(C28:H28)</f>
        <v>0</v>
      </c>
      <c r="K28" s="109">
        <f>SUM(E28:J28)</f>
        <v>0</v>
      </c>
      <c r="M28" s="109">
        <f t="shared" ref="M28:M31" si="2">I28-K28</f>
        <v>0</v>
      </c>
    </row>
    <row r="29" spans="1:13" x14ac:dyDescent="0.2">
      <c r="A29" s="99"/>
      <c r="B29" s="104" t="s">
        <v>18</v>
      </c>
      <c r="C29" s="100"/>
      <c r="D29" s="100"/>
      <c r="E29" s="100"/>
      <c r="F29" s="100"/>
      <c r="G29" s="100"/>
      <c r="H29" s="100"/>
      <c r="I29" s="109">
        <f t="shared" ref="I29:K31" si="3">SUM(C29:H29)</f>
        <v>0</v>
      </c>
      <c r="K29" s="109">
        <f t="shared" si="3"/>
        <v>0</v>
      </c>
      <c r="M29" s="109">
        <f t="shared" si="2"/>
        <v>0</v>
      </c>
    </row>
    <row r="30" spans="1:13" x14ac:dyDescent="0.2">
      <c r="A30" s="99"/>
      <c r="B30" s="104" t="s">
        <v>19</v>
      </c>
      <c r="C30" s="100"/>
      <c r="D30" s="100"/>
      <c r="E30" s="100"/>
      <c r="F30" s="100"/>
      <c r="G30" s="100"/>
      <c r="H30" s="100"/>
      <c r="I30" s="109">
        <f t="shared" si="3"/>
        <v>0</v>
      </c>
      <c r="K30" s="109">
        <f t="shared" si="3"/>
        <v>0</v>
      </c>
      <c r="M30" s="109">
        <f t="shared" si="2"/>
        <v>0</v>
      </c>
    </row>
    <row r="31" spans="1:13" x14ac:dyDescent="0.2">
      <c r="A31" s="99"/>
      <c r="B31" s="104" t="s">
        <v>20</v>
      </c>
      <c r="C31" s="100"/>
      <c r="D31" s="100"/>
      <c r="E31" s="100"/>
      <c r="F31" s="100"/>
      <c r="G31" s="100"/>
      <c r="H31" s="100"/>
      <c r="I31" s="109">
        <f t="shared" si="3"/>
        <v>0</v>
      </c>
      <c r="K31" s="109">
        <f t="shared" si="3"/>
        <v>0</v>
      </c>
      <c r="M31" s="109">
        <f t="shared" si="2"/>
        <v>0</v>
      </c>
    </row>
    <row r="32" spans="1:13" x14ac:dyDescent="0.2">
      <c r="A32" s="99"/>
      <c r="B32" s="104"/>
      <c r="C32" s="104"/>
      <c r="D32" s="100"/>
      <c r="E32" s="100"/>
      <c r="F32" s="100"/>
      <c r="G32" s="100"/>
      <c r="H32" s="100"/>
      <c r="I32" s="109"/>
      <c r="K32" s="109"/>
      <c r="M32" s="109"/>
    </row>
    <row r="33" spans="1:15" x14ac:dyDescent="0.2">
      <c r="A33" s="107"/>
      <c r="B33" s="108" t="s">
        <v>21</v>
      </c>
      <c r="C33" s="106">
        <v>0</v>
      </c>
      <c r="D33" s="106">
        <f>'6. Facilities'!C12</f>
        <v>0</v>
      </c>
      <c r="E33" s="106">
        <f>'6. Facilities'!D12</f>
        <v>0</v>
      </c>
      <c r="F33" s="106">
        <f>'6. Facilities'!E12</f>
        <v>3849239</v>
      </c>
      <c r="G33" s="106">
        <f>'6. Facilities'!F12</f>
        <v>5942435</v>
      </c>
      <c r="H33" s="106">
        <f>'6. Facilities'!G12</f>
        <v>2524263</v>
      </c>
      <c r="I33" s="106">
        <f>SUM(D33:H33)</f>
        <v>12315937</v>
      </c>
      <c r="K33" s="106">
        <v>0</v>
      </c>
      <c r="M33" s="245">
        <f>I33-K33</f>
        <v>12315937</v>
      </c>
    </row>
    <row r="34" spans="1:15" x14ac:dyDescent="0.2">
      <c r="A34" s="116"/>
      <c r="B34" s="116"/>
      <c r="C34" s="116"/>
      <c r="D34" s="116"/>
      <c r="E34" s="116"/>
      <c r="F34" s="116"/>
      <c r="G34" s="116"/>
      <c r="H34" s="116"/>
      <c r="I34" s="116"/>
      <c r="K34" s="116"/>
      <c r="M34" s="116"/>
    </row>
    <row r="35" spans="1:15" x14ac:dyDescent="0.2">
      <c r="A35" s="101" t="s">
        <v>22</v>
      </c>
      <c r="B35" s="102"/>
      <c r="C35" s="103">
        <f t="shared" ref="C35:E35" si="4">C17+C21+C27+C33</f>
        <v>0</v>
      </c>
      <c r="D35" s="103">
        <f t="shared" si="4"/>
        <v>0</v>
      </c>
      <c r="E35" s="103">
        <f t="shared" si="4"/>
        <v>0</v>
      </c>
      <c r="F35" s="103">
        <f>F17+F21+F27+F33+F19</f>
        <v>83663678.065967992</v>
      </c>
      <c r="G35" s="103">
        <f>G17+G21+G27+G33+G19</f>
        <v>123937512.19157121</v>
      </c>
      <c r="H35" s="103">
        <f>H17+H21+H27+H33+H19</f>
        <v>54579233.535264969</v>
      </c>
      <c r="I35" s="103">
        <f>SUM(D35:H35)</f>
        <v>262180423.79280418</v>
      </c>
      <c r="K35" s="103">
        <f>K33+K27+K21+K19+K17</f>
        <v>250367028.29450402</v>
      </c>
      <c r="L35" s="151"/>
      <c r="M35" s="103">
        <f>M33+M27+M21+M19+M17</f>
        <v>11813395.498300165</v>
      </c>
      <c r="O35" s="263"/>
    </row>
  </sheetData>
  <mergeCells count="7">
    <mergeCell ref="A16:B16"/>
    <mergeCell ref="B7:F7"/>
    <mergeCell ref="A1:I1"/>
    <mergeCell ref="A2:I2"/>
    <mergeCell ref="B6:F6"/>
    <mergeCell ref="B4:F4"/>
    <mergeCell ref="B5:F5"/>
  </mergeCells>
  <printOptions horizontalCentered="1"/>
  <pageMargins left="0.5" right="0.5" top="0.75" bottom="0.6" header="1" footer="0.25"/>
  <pageSetup scale="53" orientation="landscape" useFirstPageNumber="1" r:id="rId1"/>
  <headerFooter alignWithMargins="0">
    <oddFooter>&amp;L&amp;"Arial,Bold"&amp;A
&amp;D&amp;C&amp;"Arial,Bold"Accenture Confidential and Proprietary&amp;R&amp;"Arial,Bold"Page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9"/>
  <sheetViews>
    <sheetView workbookViewId="0">
      <selection sqref="A1:E1"/>
    </sheetView>
  </sheetViews>
  <sheetFormatPr defaultColWidth="9.140625" defaultRowHeight="15" x14ac:dyDescent="0.25"/>
  <cols>
    <col min="1" max="1" width="11.7109375" style="168" customWidth="1"/>
    <col min="2" max="2" width="11.7109375" style="167" customWidth="1"/>
    <col min="3" max="3" width="45.5703125" style="167" customWidth="1"/>
    <col min="4" max="4" width="14.28515625" style="168" customWidth="1"/>
    <col min="5" max="5" width="3" style="168" customWidth="1"/>
    <col min="6" max="6" width="15" style="168" customWidth="1"/>
    <col min="7" max="9" width="13" style="168" customWidth="1"/>
    <col min="10" max="10" width="14" style="168" customWidth="1"/>
    <col min="11" max="13" width="13" style="168" customWidth="1"/>
    <col min="14" max="16384" width="9.140625" style="168"/>
  </cols>
  <sheetData>
    <row r="1" spans="1:13" ht="15.75" x14ac:dyDescent="0.25">
      <c r="A1" s="291" t="s">
        <v>156</v>
      </c>
      <c r="B1" s="291"/>
      <c r="C1" s="291"/>
      <c r="D1" s="291"/>
      <c r="E1" s="291"/>
    </row>
    <row r="2" spans="1:13" ht="15.75" x14ac:dyDescent="0.25">
      <c r="A2" s="291" t="s">
        <v>157</v>
      </c>
      <c r="B2" s="291"/>
      <c r="C2" s="291"/>
      <c r="D2" s="291"/>
      <c r="E2" s="291"/>
    </row>
    <row r="3" spans="1:13" s="152" customFormat="1" ht="75" x14ac:dyDescent="0.25">
      <c r="C3" s="170" t="s">
        <v>158</v>
      </c>
      <c r="D3" s="171" t="s">
        <v>46</v>
      </c>
      <c r="F3" s="173" t="s">
        <v>159</v>
      </c>
      <c r="G3" s="174" t="s">
        <v>160</v>
      </c>
      <c r="H3" s="174" t="s">
        <v>161</v>
      </c>
      <c r="I3" s="175" t="s">
        <v>162</v>
      </c>
      <c r="J3" s="175" t="s">
        <v>163</v>
      </c>
      <c r="K3" s="174" t="s">
        <v>164</v>
      </c>
      <c r="L3" s="174" t="s">
        <v>165</v>
      </c>
      <c r="M3" s="176" t="s">
        <v>166</v>
      </c>
    </row>
    <row r="4" spans="1:13" s="152" customFormat="1" x14ac:dyDescent="0.25">
      <c r="C4" s="169"/>
      <c r="D4" s="169"/>
      <c r="F4" s="153">
        <v>44470</v>
      </c>
      <c r="G4" s="154">
        <v>121</v>
      </c>
      <c r="H4" s="154">
        <v>187</v>
      </c>
      <c r="I4" s="155">
        <v>8000</v>
      </c>
      <c r="J4" s="155">
        <v>7075</v>
      </c>
      <c r="K4" s="154">
        <f>I4*G4</f>
        <v>968000</v>
      </c>
      <c r="L4" s="154">
        <f>J4*H4</f>
        <v>1323025</v>
      </c>
      <c r="M4" s="156">
        <f>(L4+K4)/(J4+I4)</f>
        <v>151.97512437810946</v>
      </c>
    </row>
    <row r="5" spans="1:13" s="152" customFormat="1" x14ac:dyDescent="0.25">
      <c r="C5" s="148" t="s">
        <v>167</v>
      </c>
      <c r="D5" s="172">
        <f>ROUND(158.274029850746,2)</f>
        <v>158.27000000000001</v>
      </c>
      <c r="F5" s="153">
        <v>44501</v>
      </c>
      <c r="G5" s="154">
        <v>125</v>
      </c>
      <c r="H5" s="154">
        <v>187</v>
      </c>
      <c r="I5" s="155">
        <v>8000</v>
      </c>
      <c r="J5" s="155">
        <v>7075</v>
      </c>
      <c r="K5" s="154">
        <f>I5*G5</f>
        <v>1000000</v>
      </c>
      <c r="L5" s="154">
        <f>J5*H5</f>
        <v>1323025</v>
      </c>
      <c r="M5" s="156">
        <f>(L5+K5)/(J5+I5)</f>
        <v>154.09784411276948</v>
      </c>
    </row>
    <row r="6" spans="1:13" s="152" customFormat="1" x14ac:dyDescent="0.25">
      <c r="C6" s="148" t="s">
        <v>168</v>
      </c>
      <c r="D6" s="172">
        <v>148</v>
      </c>
      <c r="F6" s="153">
        <v>44531</v>
      </c>
      <c r="G6" s="154">
        <v>125</v>
      </c>
      <c r="H6" s="154">
        <v>187</v>
      </c>
      <c r="I6" s="155">
        <v>8000</v>
      </c>
      <c r="J6" s="155">
        <v>7075</v>
      </c>
      <c r="K6" s="154">
        <f t="shared" ref="K6:L27" si="0">I6*G6</f>
        <v>1000000</v>
      </c>
      <c r="L6" s="154">
        <f t="shared" si="0"/>
        <v>1323025</v>
      </c>
      <c r="M6" s="156">
        <f t="shared" ref="M6:M28" si="1">(L6+K6)/(J6+I6)</f>
        <v>154.09784411276948</v>
      </c>
    </row>
    <row r="7" spans="1:13" s="152" customFormat="1" x14ac:dyDescent="0.25">
      <c r="F7" s="153">
        <v>44562</v>
      </c>
      <c r="G7" s="154">
        <v>125</v>
      </c>
      <c r="H7" s="154">
        <v>187</v>
      </c>
      <c r="I7" s="155">
        <v>8000</v>
      </c>
      <c r="J7" s="155">
        <v>7075</v>
      </c>
      <c r="K7" s="154">
        <f t="shared" si="0"/>
        <v>1000000</v>
      </c>
      <c r="L7" s="154">
        <f t="shared" si="0"/>
        <v>1323025</v>
      </c>
      <c r="M7" s="156">
        <f t="shared" si="1"/>
        <v>154.09784411276948</v>
      </c>
    </row>
    <row r="8" spans="1:13" s="152" customFormat="1" x14ac:dyDescent="0.25">
      <c r="F8" s="153">
        <v>44593</v>
      </c>
      <c r="G8" s="154">
        <v>125</v>
      </c>
      <c r="H8" s="154">
        <v>187</v>
      </c>
      <c r="I8" s="155">
        <v>8000</v>
      </c>
      <c r="J8" s="155">
        <v>7075</v>
      </c>
      <c r="K8" s="154">
        <f t="shared" si="0"/>
        <v>1000000</v>
      </c>
      <c r="L8" s="154">
        <f t="shared" si="0"/>
        <v>1323025</v>
      </c>
      <c r="M8" s="156">
        <f t="shared" si="1"/>
        <v>154.09784411276948</v>
      </c>
    </row>
    <row r="9" spans="1:13" s="152" customFormat="1" x14ac:dyDescent="0.25">
      <c r="F9" s="153">
        <v>44621</v>
      </c>
      <c r="G9" s="154">
        <v>125</v>
      </c>
      <c r="H9" s="154">
        <v>187</v>
      </c>
      <c r="I9" s="155">
        <v>8000</v>
      </c>
      <c r="J9" s="155">
        <v>7075</v>
      </c>
      <c r="K9" s="154">
        <f t="shared" si="0"/>
        <v>1000000</v>
      </c>
      <c r="L9" s="154">
        <f t="shared" si="0"/>
        <v>1323025</v>
      </c>
      <c r="M9" s="156">
        <f t="shared" si="1"/>
        <v>154.09784411276948</v>
      </c>
    </row>
    <row r="10" spans="1:13" s="152" customFormat="1" x14ac:dyDescent="0.25">
      <c r="F10" s="153">
        <v>44652</v>
      </c>
      <c r="G10" s="154">
        <v>125</v>
      </c>
      <c r="H10" s="154">
        <v>187</v>
      </c>
      <c r="I10" s="155">
        <v>8000</v>
      </c>
      <c r="J10" s="155">
        <v>7075</v>
      </c>
      <c r="K10" s="154">
        <f t="shared" si="0"/>
        <v>1000000</v>
      </c>
      <c r="L10" s="154">
        <f t="shared" si="0"/>
        <v>1323025</v>
      </c>
      <c r="M10" s="156">
        <f t="shared" si="1"/>
        <v>154.09784411276948</v>
      </c>
    </row>
    <row r="11" spans="1:13" s="152" customFormat="1" x14ac:dyDescent="0.25">
      <c r="F11" s="157">
        <v>44682</v>
      </c>
      <c r="G11" s="158">
        <v>125</v>
      </c>
      <c r="H11" s="158">
        <v>187</v>
      </c>
      <c r="I11" s="159">
        <v>8000</v>
      </c>
      <c r="J11" s="159">
        <v>7075</v>
      </c>
      <c r="K11" s="158">
        <f t="shared" si="0"/>
        <v>1000000</v>
      </c>
      <c r="L11" s="158">
        <f t="shared" si="0"/>
        <v>1323025</v>
      </c>
      <c r="M11" s="160">
        <f t="shared" si="1"/>
        <v>154.09784411276948</v>
      </c>
    </row>
    <row r="12" spans="1:13" s="152" customFormat="1" x14ac:dyDescent="0.25">
      <c r="F12" s="153">
        <v>44713</v>
      </c>
      <c r="G12" s="154">
        <v>125</v>
      </c>
      <c r="H12" s="154">
        <v>193</v>
      </c>
      <c r="I12" s="155">
        <v>8000</v>
      </c>
      <c r="J12" s="155">
        <v>7075</v>
      </c>
      <c r="K12" s="154">
        <f t="shared" si="0"/>
        <v>1000000</v>
      </c>
      <c r="L12" s="154">
        <f t="shared" si="0"/>
        <v>1365475</v>
      </c>
      <c r="M12" s="156">
        <f t="shared" si="1"/>
        <v>156.91376451077943</v>
      </c>
    </row>
    <row r="13" spans="1:13" s="152" customFormat="1" x14ac:dyDescent="0.25">
      <c r="F13" s="153">
        <v>44743</v>
      </c>
      <c r="G13" s="154">
        <v>125</v>
      </c>
      <c r="H13" s="154">
        <v>193</v>
      </c>
      <c r="I13" s="155">
        <v>8000</v>
      </c>
      <c r="J13" s="155">
        <v>7075</v>
      </c>
      <c r="K13" s="154">
        <f t="shared" si="0"/>
        <v>1000000</v>
      </c>
      <c r="L13" s="154">
        <f t="shared" si="0"/>
        <v>1365475</v>
      </c>
      <c r="M13" s="156">
        <f t="shared" si="1"/>
        <v>156.91376451077943</v>
      </c>
    </row>
    <row r="14" spans="1:13" s="152" customFormat="1" x14ac:dyDescent="0.25">
      <c r="F14" s="153">
        <v>44774</v>
      </c>
      <c r="G14" s="154">
        <v>125</v>
      </c>
      <c r="H14" s="154">
        <v>193</v>
      </c>
      <c r="I14" s="155">
        <v>8000</v>
      </c>
      <c r="J14" s="155">
        <v>7075</v>
      </c>
      <c r="K14" s="154">
        <f t="shared" si="0"/>
        <v>1000000</v>
      </c>
      <c r="L14" s="154">
        <f t="shared" si="0"/>
        <v>1365475</v>
      </c>
      <c r="M14" s="156">
        <f t="shared" si="1"/>
        <v>156.91376451077943</v>
      </c>
    </row>
    <row r="15" spans="1:13" s="152" customFormat="1" x14ac:dyDescent="0.25">
      <c r="F15" s="153">
        <v>44805</v>
      </c>
      <c r="G15" s="154">
        <v>125</v>
      </c>
      <c r="H15" s="154">
        <v>193</v>
      </c>
      <c r="I15" s="155">
        <v>8000</v>
      </c>
      <c r="J15" s="155">
        <v>7075</v>
      </c>
      <c r="K15" s="154">
        <f t="shared" si="0"/>
        <v>1000000</v>
      </c>
      <c r="L15" s="154">
        <f t="shared" si="0"/>
        <v>1365475</v>
      </c>
      <c r="M15" s="156">
        <f t="shared" si="1"/>
        <v>156.91376451077943</v>
      </c>
    </row>
    <row r="16" spans="1:13" s="152" customFormat="1" x14ac:dyDescent="0.25">
      <c r="F16" s="153">
        <v>44835</v>
      </c>
      <c r="G16" s="154">
        <v>125</v>
      </c>
      <c r="H16" s="154">
        <v>193</v>
      </c>
      <c r="I16" s="155">
        <v>8000</v>
      </c>
      <c r="J16" s="155">
        <v>7075</v>
      </c>
      <c r="K16" s="154">
        <f t="shared" si="0"/>
        <v>1000000</v>
      </c>
      <c r="L16" s="154">
        <f t="shared" si="0"/>
        <v>1365475</v>
      </c>
      <c r="M16" s="156">
        <f t="shared" si="1"/>
        <v>156.91376451077943</v>
      </c>
    </row>
    <row r="17" spans="1:13" s="152" customFormat="1" x14ac:dyDescent="0.25">
      <c r="F17" s="153">
        <v>44866</v>
      </c>
      <c r="G17" s="154">
        <v>132</v>
      </c>
      <c r="H17" s="154">
        <v>193</v>
      </c>
      <c r="I17" s="155">
        <v>8000</v>
      </c>
      <c r="J17" s="155">
        <v>7075</v>
      </c>
      <c r="K17" s="154">
        <f t="shared" si="0"/>
        <v>1056000</v>
      </c>
      <c r="L17" s="154">
        <f t="shared" si="0"/>
        <v>1365475</v>
      </c>
      <c r="M17" s="156">
        <f t="shared" si="1"/>
        <v>160.62852404643451</v>
      </c>
    </row>
    <row r="18" spans="1:13" s="152" customFormat="1" x14ac:dyDescent="0.25">
      <c r="F18" s="153">
        <v>44896</v>
      </c>
      <c r="G18" s="154">
        <v>132</v>
      </c>
      <c r="H18" s="154">
        <v>193</v>
      </c>
      <c r="I18" s="155">
        <v>8000</v>
      </c>
      <c r="J18" s="155">
        <v>7075</v>
      </c>
      <c r="K18" s="154">
        <f t="shared" si="0"/>
        <v>1056000</v>
      </c>
      <c r="L18" s="154">
        <f t="shared" si="0"/>
        <v>1365475</v>
      </c>
      <c r="M18" s="156">
        <f t="shared" si="1"/>
        <v>160.62852404643451</v>
      </c>
    </row>
    <row r="19" spans="1:13" s="152" customFormat="1" x14ac:dyDescent="0.25">
      <c r="F19" s="153">
        <v>44927</v>
      </c>
      <c r="G19" s="154">
        <v>132</v>
      </c>
      <c r="H19" s="154">
        <v>193</v>
      </c>
      <c r="I19" s="155">
        <v>8000</v>
      </c>
      <c r="J19" s="155">
        <v>7075</v>
      </c>
      <c r="K19" s="154">
        <f t="shared" si="0"/>
        <v>1056000</v>
      </c>
      <c r="L19" s="154">
        <f t="shared" si="0"/>
        <v>1365475</v>
      </c>
      <c r="M19" s="156">
        <f t="shared" si="1"/>
        <v>160.62852404643451</v>
      </c>
    </row>
    <row r="20" spans="1:13" s="152" customFormat="1" x14ac:dyDescent="0.25">
      <c r="F20" s="153">
        <v>44958</v>
      </c>
      <c r="G20" s="154">
        <v>132</v>
      </c>
      <c r="H20" s="154">
        <v>193</v>
      </c>
      <c r="I20" s="155">
        <v>8000</v>
      </c>
      <c r="J20" s="155">
        <v>7075</v>
      </c>
      <c r="K20" s="154">
        <f t="shared" si="0"/>
        <v>1056000</v>
      </c>
      <c r="L20" s="154">
        <f t="shared" si="0"/>
        <v>1365475</v>
      </c>
      <c r="M20" s="156">
        <f t="shared" si="1"/>
        <v>160.62852404643451</v>
      </c>
    </row>
    <row r="21" spans="1:13" s="152" customFormat="1" x14ac:dyDescent="0.25">
      <c r="F21" s="153">
        <v>44986</v>
      </c>
      <c r="G21" s="154">
        <v>132</v>
      </c>
      <c r="H21" s="154">
        <v>193</v>
      </c>
      <c r="I21" s="155">
        <v>8000</v>
      </c>
      <c r="J21" s="155">
        <v>7075</v>
      </c>
      <c r="K21" s="154">
        <f t="shared" si="0"/>
        <v>1056000</v>
      </c>
      <c r="L21" s="154">
        <f t="shared" si="0"/>
        <v>1365475</v>
      </c>
      <c r="M21" s="156">
        <f t="shared" si="1"/>
        <v>160.62852404643451</v>
      </c>
    </row>
    <row r="22" spans="1:13" s="152" customFormat="1" x14ac:dyDescent="0.25">
      <c r="F22" s="153">
        <v>45017</v>
      </c>
      <c r="G22" s="154">
        <v>132</v>
      </c>
      <c r="H22" s="154">
        <v>193</v>
      </c>
      <c r="I22" s="155">
        <v>8000</v>
      </c>
      <c r="J22" s="155">
        <v>7075</v>
      </c>
      <c r="K22" s="154">
        <f t="shared" si="0"/>
        <v>1056000</v>
      </c>
      <c r="L22" s="154">
        <f t="shared" si="0"/>
        <v>1365475</v>
      </c>
      <c r="M22" s="156">
        <f t="shared" si="1"/>
        <v>160.62852404643451</v>
      </c>
    </row>
    <row r="23" spans="1:13" s="152" customFormat="1" x14ac:dyDescent="0.25">
      <c r="F23" s="157">
        <v>45047</v>
      </c>
      <c r="G23" s="158">
        <v>132</v>
      </c>
      <c r="H23" s="158">
        <v>193</v>
      </c>
      <c r="I23" s="159">
        <v>8000</v>
      </c>
      <c r="J23" s="159">
        <v>7075</v>
      </c>
      <c r="K23" s="158">
        <f t="shared" si="0"/>
        <v>1056000</v>
      </c>
      <c r="L23" s="158">
        <f t="shared" si="0"/>
        <v>1365475</v>
      </c>
      <c r="M23" s="160">
        <f t="shared" si="1"/>
        <v>160.62852404643451</v>
      </c>
    </row>
    <row r="24" spans="1:13" s="152" customFormat="1" x14ac:dyDescent="0.25">
      <c r="F24" s="153">
        <v>45078</v>
      </c>
      <c r="G24" s="154">
        <v>132</v>
      </c>
      <c r="H24" s="154">
        <v>199</v>
      </c>
      <c r="I24" s="155">
        <v>8000</v>
      </c>
      <c r="J24" s="155">
        <v>7075</v>
      </c>
      <c r="K24" s="154">
        <f t="shared" si="0"/>
        <v>1056000</v>
      </c>
      <c r="L24" s="154">
        <f t="shared" si="0"/>
        <v>1407925</v>
      </c>
      <c r="M24" s="156">
        <f t="shared" si="1"/>
        <v>163.44444444444446</v>
      </c>
    </row>
    <row r="25" spans="1:13" s="152" customFormat="1" x14ac:dyDescent="0.25">
      <c r="F25" s="153">
        <v>45108</v>
      </c>
      <c r="G25" s="154">
        <v>132</v>
      </c>
      <c r="H25" s="154">
        <v>199</v>
      </c>
      <c r="I25" s="155">
        <v>8000</v>
      </c>
      <c r="J25" s="155">
        <v>7075</v>
      </c>
      <c r="K25" s="154">
        <f t="shared" si="0"/>
        <v>1056000</v>
      </c>
      <c r="L25" s="154">
        <f t="shared" si="0"/>
        <v>1407925</v>
      </c>
      <c r="M25" s="156">
        <f t="shared" si="1"/>
        <v>163.44444444444446</v>
      </c>
    </row>
    <row r="26" spans="1:13" s="152" customFormat="1" x14ac:dyDescent="0.25">
      <c r="F26" s="153">
        <v>45139</v>
      </c>
      <c r="G26" s="154">
        <v>132</v>
      </c>
      <c r="H26" s="154">
        <v>199</v>
      </c>
      <c r="I26" s="155">
        <v>8000</v>
      </c>
      <c r="J26" s="155">
        <v>7075</v>
      </c>
      <c r="K26" s="154">
        <f t="shared" si="0"/>
        <v>1056000</v>
      </c>
      <c r="L26" s="154">
        <f t="shared" si="0"/>
        <v>1407925</v>
      </c>
      <c r="M26" s="156">
        <f t="shared" si="1"/>
        <v>163.44444444444446</v>
      </c>
    </row>
    <row r="27" spans="1:13" s="152" customFormat="1" x14ac:dyDescent="0.25">
      <c r="F27" s="153">
        <v>45170</v>
      </c>
      <c r="G27" s="154">
        <v>132</v>
      </c>
      <c r="H27" s="154">
        <v>199</v>
      </c>
      <c r="I27" s="155">
        <v>8000</v>
      </c>
      <c r="J27" s="155">
        <v>7075</v>
      </c>
      <c r="K27" s="154">
        <f t="shared" si="0"/>
        <v>1056000</v>
      </c>
      <c r="L27" s="154">
        <f t="shared" si="0"/>
        <v>1407925</v>
      </c>
      <c r="M27" s="156">
        <f t="shared" si="1"/>
        <v>163.44444444444446</v>
      </c>
    </row>
    <row r="28" spans="1:13" s="152" customFormat="1" x14ac:dyDescent="0.25">
      <c r="F28" s="153">
        <v>45200</v>
      </c>
      <c r="G28" s="154">
        <v>132</v>
      </c>
      <c r="H28" s="154">
        <v>199</v>
      </c>
      <c r="I28" s="155">
        <v>8000</v>
      </c>
      <c r="J28" s="155">
        <v>7075</v>
      </c>
      <c r="K28" s="154">
        <f t="shared" ref="K28:L28" si="2">I28*G28</f>
        <v>1056000</v>
      </c>
      <c r="L28" s="154">
        <f t="shared" si="2"/>
        <v>1407925</v>
      </c>
      <c r="M28" s="156">
        <f t="shared" si="1"/>
        <v>163.44444444444446</v>
      </c>
    </row>
    <row r="29" spans="1:13" s="152" customFormat="1" ht="15.75" thickBot="1" x14ac:dyDescent="0.3">
      <c r="F29" s="153"/>
      <c r="G29" s="154"/>
      <c r="H29" s="154"/>
      <c r="I29" s="161">
        <f>SUM(I4:I28)</f>
        <v>200000</v>
      </c>
      <c r="J29" s="161">
        <f>SUM(J4:J28)</f>
        <v>176875</v>
      </c>
      <c r="K29" s="162">
        <f>SUM(K4:K28)</f>
        <v>25640000</v>
      </c>
      <c r="L29" s="162">
        <f>SUM(L4:L28)</f>
        <v>34009525</v>
      </c>
      <c r="M29" s="163">
        <f>SUM(K29:L29)/SUM(I29:J29)</f>
        <v>158.27402985074627</v>
      </c>
    </row>
    <row r="30" spans="1:13" s="152" customFormat="1" ht="7.5" customHeight="1" thickTop="1" x14ac:dyDescent="0.25">
      <c r="A30" s="164"/>
      <c r="B30" s="154"/>
      <c r="C30" s="154"/>
      <c r="D30" s="155"/>
      <c r="E30" s="155"/>
    </row>
    <row r="31" spans="1:13" s="152" customFormat="1" x14ac:dyDescent="0.25">
      <c r="E31" s="155"/>
      <c r="F31" s="164" t="s">
        <v>169</v>
      </c>
      <c r="G31" s="154"/>
      <c r="H31" s="154"/>
      <c r="I31" s="165">
        <f>M29</f>
        <v>158.27402985074627</v>
      </c>
    </row>
    <row r="32" spans="1:13" s="152" customFormat="1" x14ac:dyDescent="0.25">
      <c r="F32" s="164"/>
      <c r="G32" s="154"/>
      <c r="H32" s="154"/>
      <c r="I32" s="165"/>
    </row>
    <row r="33" spans="1:9" x14ac:dyDescent="0.25">
      <c r="B33" s="168"/>
      <c r="C33" s="168"/>
      <c r="F33" s="166"/>
      <c r="G33" s="167"/>
      <c r="H33" s="167"/>
      <c r="I33" s="165"/>
    </row>
    <row r="34" spans="1:9" x14ac:dyDescent="0.25">
      <c r="A34" s="166"/>
    </row>
    <row r="35" spans="1:9" s="167" customFormat="1" x14ac:dyDescent="0.25">
      <c r="A35" s="166"/>
      <c r="D35" s="168"/>
      <c r="E35" s="168"/>
      <c r="F35" s="168"/>
      <c r="G35" s="168"/>
      <c r="H35" s="168"/>
      <c r="I35" s="168"/>
    </row>
    <row r="36" spans="1:9" s="167" customFormat="1" x14ac:dyDescent="0.25">
      <c r="A36" s="166"/>
      <c r="D36" s="168"/>
      <c r="E36" s="168"/>
      <c r="F36" s="168"/>
      <c r="G36" s="168"/>
      <c r="H36" s="168"/>
      <c r="I36" s="168"/>
    </row>
    <row r="37" spans="1:9" s="167" customFormat="1" x14ac:dyDescent="0.25">
      <c r="A37" s="166"/>
      <c r="D37" s="168"/>
      <c r="E37" s="168"/>
      <c r="F37" s="168"/>
      <c r="G37" s="168"/>
      <c r="H37" s="168"/>
      <c r="I37" s="168"/>
    </row>
    <row r="38" spans="1:9" s="167" customFormat="1" x14ac:dyDescent="0.25">
      <c r="A38" s="166"/>
      <c r="D38" s="168"/>
      <c r="E38" s="168"/>
      <c r="F38" s="168"/>
      <c r="G38" s="168"/>
      <c r="H38" s="168"/>
      <c r="I38" s="168"/>
    </row>
    <row r="39" spans="1:9" s="167" customFormat="1" x14ac:dyDescent="0.25">
      <c r="A39" s="166"/>
      <c r="D39" s="168"/>
      <c r="E39" s="168"/>
      <c r="F39" s="168"/>
      <c r="G39" s="168"/>
      <c r="H39" s="168"/>
      <c r="I39" s="168"/>
    </row>
  </sheetData>
  <mergeCells count="2">
    <mergeCell ref="A1:E1"/>
    <mergeCell ref="A2:E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8"/>
  <sheetViews>
    <sheetView zoomScaleNormal="100" workbookViewId="0">
      <selection sqref="A1:H2"/>
    </sheetView>
  </sheetViews>
  <sheetFormatPr defaultColWidth="9.140625" defaultRowHeight="15" x14ac:dyDescent="0.25"/>
  <cols>
    <col min="1" max="1" width="56.28515625" style="66" customWidth="1"/>
    <col min="2" max="2" width="18.28515625" style="69" hidden="1" customWidth="1"/>
    <col min="3" max="6" width="18.28515625" style="69" customWidth="1"/>
    <col min="7" max="16384" width="9.140625" style="66"/>
  </cols>
  <sheetData>
    <row r="1" spans="1:8" x14ac:dyDescent="0.25">
      <c r="A1" s="301" t="s">
        <v>170</v>
      </c>
      <c r="B1" s="301"/>
      <c r="C1" s="301"/>
      <c r="D1" s="301"/>
      <c r="E1" s="301"/>
      <c r="F1" s="301"/>
      <c r="G1" s="301"/>
      <c r="H1" s="301"/>
    </row>
    <row r="2" spans="1:8" x14ac:dyDescent="0.25">
      <c r="A2" s="301"/>
      <c r="B2" s="301"/>
      <c r="C2" s="301"/>
      <c r="D2" s="301"/>
      <c r="E2" s="301"/>
      <c r="F2" s="301"/>
      <c r="G2" s="301"/>
      <c r="H2" s="301"/>
    </row>
    <row r="3" spans="1:8" ht="18" x14ac:dyDescent="0.25">
      <c r="A3" s="301" t="s">
        <v>171</v>
      </c>
      <c r="B3" s="301"/>
      <c r="C3" s="301"/>
      <c r="D3" s="301"/>
      <c r="E3" s="301"/>
      <c r="F3" s="301"/>
      <c r="G3" s="301"/>
      <c r="H3" s="301"/>
    </row>
    <row r="4" spans="1:8" ht="18" x14ac:dyDescent="0.25">
      <c r="A4" s="252"/>
      <c r="B4" s="252"/>
      <c r="C4" s="252"/>
      <c r="D4" s="252"/>
      <c r="E4" s="252"/>
      <c r="F4" s="252"/>
      <c r="G4" s="252"/>
      <c r="H4" s="252"/>
    </row>
    <row r="5" spans="1:8" ht="36.75" customHeight="1" x14ac:dyDescent="0.35">
      <c r="A5" s="142"/>
      <c r="B5" s="143" t="s">
        <v>172</v>
      </c>
      <c r="C5" s="143" t="s">
        <v>173</v>
      </c>
      <c r="D5" s="143" t="s">
        <v>174</v>
      </c>
      <c r="E5" s="143" t="s">
        <v>175</v>
      </c>
      <c r="F5" s="143" t="s">
        <v>176</v>
      </c>
    </row>
    <row r="6" spans="1:8" s="67" customFormat="1" ht="27.75" customHeight="1" x14ac:dyDescent="0.25">
      <c r="A6" s="144" t="s">
        <v>57</v>
      </c>
      <c r="B6" s="145" t="s">
        <v>46</v>
      </c>
      <c r="C6" s="145" t="s">
        <v>46</v>
      </c>
      <c r="D6" s="145" t="s">
        <v>46</v>
      </c>
      <c r="E6" s="145" t="s">
        <v>46</v>
      </c>
      <c r="F6" s="145" t="s">
        <v>46</v>
      </c>
    </row>
    <row r="7" spans="1:8" ht="9" customHeight="1" x14ac:dyDescent="0.25">
      <c r="A7" s="146"/>
      <c r="B7" s="147"/>
      <c r="C7" s="147"/>
      <c r="D7" s="147"/>
      <c r="E7" s="147"/>
      <c r="F7" s="147"/>
    </row>
    <row r="8" spans="1:8" x14ac:dyDescent="0.25">
      <c r="A8" s="148" t="s">
        <v>177</v>
      </c>
      <c r="B8" s="149">
        <v>446.5</v>
      </c>
      <c r="C8" s="150">
        <f>B8*1.029</f>
        <v>459.44849999999997</v>
      </c>
      <c r="D8" s="150">
        <f>C8*1.029</f>
        <v>472.77250649999991</v>
      </c>
      <c r="E8" s="150">
        <f>D8*1.029</f>
        <v>486.48290918849989</v>
      </c>
      <c r="F8" s="150">
        <f>E8*1.029</f>
        <v>500.59091355496633</v>
      </c>
    </row>
    <row r="9" spans="1:8" x14ac:dyDescent="0.25">
      <c r="A9" s="148" t="s">
        <v>178</v>
      </c>
      <c r="B9" s="149">
        <v>262.43</v>
      </c>
      <c r="C9" s="150">
        <f t="shared" ref="C9:D13" si="0">B9*1.029</f>
        <v>270.04046999999997</v>
      </c>
      <c r="D9" s="150">
        <f t="shared" si="0"/>
        <v>277.87164362999994</v>
      </c>
      <c r="E9" s="150">
        <f t="shared" ref="E9:F9" si="1">D9*1.029</f>
        <v>285.92992129526993</v>
      </c>
      <c r="F9" s="150">
        <f t="shared" si="1"/>
        <v>294.22188901283272</v>
      </c>
    </row>
    <row r="10" spans="1:8" x14ac:dyDescent="0.25">
      <c r="A10" s="148" t="s">
        <v>101</v>
      </c>
      <c r="B10" s="149">
        <v>255.4</v>
      </c>
      <c r="C10" s="150">
        <f t="shared" si="0"/>
        <v>262.8066</v>
      </c>
      <c r="D10" s="150">
        <f t="shared" si="0"/>
        <v>270.4279914</v>
      </c>
      <c r="E10" s="150">
        <f t="shared" ref="E10:F10" si="2">D10*1.029</f>
        <v>278.27040315059998</v>
      </c>
      <c r="F10" s="150">
        <f t="shared" si="2"/>
        <v>286.34024484196738</v>
      </c>
    </row>
    <row r="11" spans="1:8" x14ac:dyDescent="0.25">
      <c r="A11" s="148" t="s">
        <v>179</v>
      </c>
      <c r="B11" s="149">
        <v>192.74</v>
      </c>
      <c r="C11" s="150">
        <f t="shared" si="0"/>
        <v>198.32945999999998</v>
      </c>
      <c r="D11" s="150">
        <f t="shared" si="0"/>
        <v>204.08101433999997</v>
      </c>
      <c r="E11" s="150">
        <f t="shared" ref="E11:F11" si="3">D11*1.029</f>
        <v>209.99936375585995</v>
      </c>
      <c r="F11" s="150">
        <f t="shared" si="3"/>
        <v>216.08934530477987</v>
      </c>
    </row>
    <row r="12" spans="1:8" x14ac:dyDescent="0.25">
      <c r="A12" s="148" t="s">
        <v>103</v>
      </c>
      <c r="B12" s="149">
        <v>167.06</v>
      </c>
      <c r="C12" s="150">
        <f t="shared" si="0"/>
        <v>171.90473999999998</v>
      </c>
      <c r="D12" s="150">
        <f t="shared" si="0"/>
        <v>176.88997745999995</v>
      </c>
      <c r="E12" s="150">
        <f t="shared" ref="E12:F12" si="4">D12*1.029</f>
        <v>182.01978680633994</v>
      </c>
      <c r="F12" s="150">
        <f t="shared" si="4"/>
        <v>187.29836062372377</v>
      </c>
    </row>
    <row r="13" spans="1:8" x14ac:dyDescent="0.25">
      <c r="A13" s="148" t="s">
        <v>102</v>
      </c>
      <c r="B13" s="149">
        <v>185.88</v>
      </c>
      <c r="C13" s="150">
        <f t="shared" si="0"/>
        <v>191.27051999999998</v>
      </c>
      <c r="D13" s="150">
        <f t="shared" si="0"/>
        <v>196.81736507999997</v>
      </c>
      <c r="E13" s="150">
        <f t="shared" ref="E13:F14" si="5">D13*1.029</f>
        <v>202.52506866731994</v>
      </c>
      <c r="F13" s="150">
        <f t="shared" si="5"/>
        <v>208.3982956586722</v>
      </c>
    </row>
    <row r="14" spans="1:8" x14ac:dyDescent="0.25">
      <c r="A14" s="148" t="s">
        <v>180</v>
      </c>
      <c r="B14" s="149">
        <v>137.30000000000001</v>
      </c>
      <c r="C14" s="150">
        <f t="shared" ref="C14" si="6">B14*1.029</f>
        <v>141.2817</v>
      </c>
      <c r="D14" s="150">
        <f t="shared" ref="D14" si="7">C14*1.029</f>
        <v>145.37886929999999</v>
      </c>
      <c r="E14" s="150">
        <f t="shared" si="5"/>
        <v>149.59485650969998</v>
      </c>
      <c r="F14" s="150">
        <f t="shared" si="5"/>
        <v>153.93310734848126</v>
      </c>
    </row>
    <row r="15" spans="1:8" x14ac:dyDescent="0.25">
      <c r="A15" s="229" t="s">
        <v>181</v>
      </c>
      <c r="B15" s="230">
        <v>125</v>
      </c>
      <c r="C15" s="230">
        <v>125</v>
      </c>
      <c r="D15" s="230">
        <v>125</v>
      </c>
      <c r="E15" s="230">
        <v>125</v>
      </c>
      <c r="F15" s="230">
        <v>125</v>
      </c>
    </row>
    <row r="18" spans="1:6" x14ac:dyDescent="0.25">
      <c r="A18" s="253"/>
      <c r="B18" s="254"/>
      <c r="C18" s="254"/>
      <c r="D18" s="254"/>
      <c r="E18" s="254"/>
      <c r="F18" s="254"/>
    </row>
  </sheetData>
  <mergeCells count="2">
    <mergeCell ref="A1:H2"/>
    <mergeCell ref="A3:H3"/>
  </mergeCells>
  <pageMargins left="0.7" right="0.7" top="0.75" bottom="0.75" header="0.3" footer="0.3"/>
  <pageSetup scale="84" orientation="landscape" horizontalDpi="4294967295" verticalDpi="4294967295" r:id="rId1"/>
  <headerFooter>
    <oddFooter>&amp;L&amp;A
&amp;D&amp;CAccenture Confidential and Proprietary&amp;RPage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3"/>
  <sheetViews>
    <sheetView workbookViewId="0"/>
  </sheetViews>
  <sheetFormatPr defaultColWidth="9.140625" defaultRowHeight="12" x14ac:dyDescent="0.2"/>
  <cols>
    <col min="1" max="1" width="9.140625" style="61"/>
    <col min="2" max="2" width="36.140625" style="61" customWidth="1"/>
    <col min="3" max="3" width="15.5703125" style="182" customWidth="1"/>
    <col min="4" max="4" width="15.5703125" style="61" customWidth="1"/>
    <col min="5" max="5" width="15.5703125" style="87" customWidth="1"/>
    <col min="6" max="6" width="15.5703125" style="61" customWidth="1"/>
    <col min="7" max="7" width="15.5703125" style="182" customWidth="1"/>
    <col min="8" max="8" width="15.5703125" style="61" customWidth="1"/>
    <col min="9" max="9" width="15.5703125" style="87" customWidth="1"/>
    <col min="10" max="10" width="15.5703125" style="61" customWidth="1"/>
    <col min="11" max="11" width="15.5703125" style="182" customWidth="1"/>
    <col min="12" max="12" width="15.5703125" style="61" customWidth="1"/>
    <col min="13" max="13" width="15.5703125" style="87" customWidth="1"/>
    <col min="14" max="14" width="15.5703125" style="61" customWidth="1"/>
    <col min="15" max="15" width="15.5703125" style="87" customWidth="1"/>
    <col min="16" max="16" width="15.5703125" style="61" customWidth="1"/>
    <col min="17" max="16384" width="9.140625" style="61"/>
  </cols>
  <sheetData>
    <row r="1" spans="1:16" ht="15.75" x14ac:dyDescent="0.25">
      <c r="A1" s="73"/>
      <c r="B1" s="277" t="s">
        <v>37</v>
      </c>
      <c r="C1" s="277"/>
      <c r="D1" s="277"/>
      <c r="E1" s="277"/>
      <c r="F1" s="277"/>
      <c r="G1" s="277"/>
      <c r="H1" s="277"/>
      <c r="I1" s="277"/>
      <c r="J1" s="277"/>
      <c r="K1" s="277"/>
      <c r="L1" s="277"/>
      <c r="M1" s="277"/>
      <c r="N1" s="277"/>
      <c r="O1" s="277"/>
      <c r="P1" s="277"/>
    </row>
    <row r="2" spans="1:16" ht="15.75" x14ac:dyDescent="0.25">
      <c r="A2" s="73"/>
      <c r="B2" s="277" t="s">
        <v>38</v>
      </c>
      <c r="C2" s="277"/>
      <c r="D2" s="277"/>
      <c r="E2" s="277"/>
      <c r="F2" s="277"/>
      <c r="G2" s="277"/>
      <c r="H2" s="277"/>
      <c r="I2" s="277"/>
      <c r="J2" s="277"/>
      <c r="K2" s="277"/>
      <c r="L2" s="277"/>
      <c r="M2" s="277"/>
      <c r="N2" s="277"/>
      <c r="O2" s="277"/>
      <c r="P2" s="277"/>
    </row>
    <row r="3" spans="1:16" x14ac:dyDescent="0.2">
      <c r="A3" s="73"/>
      <c r="B3" s="74"/>
      <c r="C3" s="74"/>
      <c r="D3" s="74"/>
      <c r="E3" s="110"/>
      <c r="F3" s="74"/>
      <c r="G3" s="74"/>
      <c r="H3" s="74"/>
      <c r="I3" s="74"/>
      <c r="J3" s="74"/>
      <c r="K3" s="74"/>
      <c r="L3" s="74"/>
      <c r="M3" s="74"/>
      <c r="N3" s="74"/>
      <c r="O3" s="74"/>
      <c r="P3" s="73"/>
    </row>
    <row r="4" spans="1:16" ht="12.75" customHeight="1" x14ac:dyDescent="0.2">
      <c r="A4" s="73"/>
      <c r="B4" s="88" t="s">
        <v>39</v>
      </c>
      <c r="C4" s="278" t="s">
        <v>5</v>
      </c>
      <c r="D4" s="279"/>
      <c r="E4" s="279"/>
      <c r="F4" s="280"/>
      <c r="G4" s="278" t="s">
        <v>6</v>
      </c>
      <c r="H4" s="279"/>
      <c r="I4" s="279"/>
      <c r="J4" s="280"/>
      <c r="K4" s="278" t="s">
        <v>40</v>
      </c>
      <c r="L4" s="279"/>
      <c r="M4" s="279"/>
      <c r="N4" s="280"/>
      <c r="O4" s="192" t="s">
        <v>41</v>
      </c>
      <c r="P4" s="89" t="s">
        <v>8</v>
      </c>
    </row>
    <row r="5" spans="1:16" ht="12.75" customHeight="1" x14ac:dyDescent="0.2">
      <c r="A5" s="73"/>
      <c r="B5" s="88"/>
      <c r="C5" s="278" t="s">
        <v>42</v>
      </c>
      <c r="D5" s="279"/>
      <c r="E5" s="279"/>
      <c r="F5" s="280"/>
      <c r="G5" s="278" t="s">
        <v>43</v>
      </c>
      <c r="H5" s="279"/>
      <c r="I5" s="279"/>
      <c r="J5" s="280"/>
      <c r="K5" s="278" t="s">
        <v>44</v>
      </c>
      <c r="L5" s="279"/>
      <c r="M5" s="279"/>
      <c r="N5" s="280"/>
      <c r="O5" s="192"/>
      <c r="P5" s="89"/>
    </row>
    <row r="6" spans="1:16" x14ac:dyDescent="0.2">
      <c r="A6" s="73"/>
      <c r="B6" s="90"/>
      <c r="C6" s="141" t="s">
        <v>45</v>
      </c>
      <c r="D6" s="141" t="s">
        <v>46</v>
      </c>
      <c r="E6" s="76" t="s">
        <v>47</v>
      </c>
      <c r="F6" s="77" t="s">
        <v>48</v>
      </c>
      <c r="G6" s="141" t="s">
        <v>45</v>
      </c>
      <c r="H6" s="141" t="s">
        <v>46</v>
      </c>
      <c r="I6" s="76" t="s">
        <v>47</v>
      </c>
      <c r="J6" s="77" t="s">
        <v>48</v>
      </c>
      <c r="K6" s="141" t="s">
        <v>45</v>
      </c>
      <c r="L6" s="141" t="s">
        <v>46</v>
      </c>
      <c r="M6" s="76" t="s">
        <v>47</v>
      </c>
      <c r="N6" s="77" t="s">
        <v>48</v>
      </c>
      <c r="O6" s="76"/>
      <c r="P6" s="75"/>
    </row>
    <row r="7" spans="1:16" x14ac:dyDescent="0.2">
      <c r="A7" s="73"/>
      <c r="B7" s="96" t="s">
        <v>49</v>
      </c>
      <c r="C7" s="185">
        <f>SUM(C8:C9)</f>
        <v>89.73</v>
      </c>
      <c r="D7" s="97"/>
      <c r="E7" s="185">
        <f>SUM(E8:E9)</f>
        <v>120600</v>
      </c>
      <c r="F7" s="97">
        <f>SUM(F8:F9)</f>
        <v>19087362</v>
      </c>
      <c r="G7" s="185">
        <f>SUM(G8:G9)</f>
        <v>89.73</v>
      </c>
      <c r="H7" s="97"/>
      <c r="I7" s="185">
        <f>SUM(I8:I9)</f>
        <v>180900</v>
      </c>
      <c r="J7" s="97">
        <f>SUM(J8:J9)</f>
        <v>28631043</v>
      </c>
      <c r="K7" s="185">
        <f>SUM(K8:K9)</f>
        <v>89.73</v>
      </c>
      <c r="L7" s="97"/>
      <c r="M7" s="185">
        <f>SUM(M8:M9)</f>
        <v>75375</v>
      </c>
      <c r="N7" s="97">
        <f>SUM(N8:N9)</f>
        <v>11929601.25</v>
      </c>
      <c r="O7" s="185">
        <f>SUM(O8:O9)</f>
        <v>376875</v>
      </c>
      <c r="P7" s="97">
        <f>SUM(P8:P9)</f>
        <v>59648006.25</v>
      </c>
    </row>
    <row r="8" spans="1:16" x14ac:dyDescent="0.2">
      <c r="A8" s="73"/>
      <c r="B8" s="91" t="s">
        <v>50</v>
      </c>
      <c r="C8" s="183">
        <v>89.73</v>
      </c>
      <c r="D8" s="140">
        <v>158.27000000000001</v>
      </c>
      <c r="E8" s="183">
        <v>120600</v>
      </c>
      <c r="F8" s="78">
        <f>D8*E8</f>
        <v>19087362</v>
      </c>
      <c r="G8" s="183">
        <v>89.73</v>
      </c>
      <c r="H8" s="140">
        <v>158.27000000000001</v>
      </c>
      <c r="I8" s="183">
        <v>180900</v>
      </c>
      <c r="J8" s="78">
        <f>H8*I8</f>
        <v>28631043</v>
      </c>
      <c r="K8" s="183">
        <v>89.73</v>
      </c>
      <c r="L8" s="140">
        <v>158.27000000000001</v>
      </c>
      <c r="M8" s="183">
        <v>75375</v>
      </c>
      <c r="N8" s="78">
        <f>L8*M8</f>
        <v>11929601.25</v>
      </c>
      <c r="O8" s="183">
        <f>E8+I8+M8</f>
        <v>376875</v>
      </c>
      <c r="P8" s="92">
        <f>F8+J8+N8</f>
        <v>59648006.25</v>
      </c>
    </row>
    <row r="9" spans="1:16" x14ac:dyDescent="0.2">
      <c r="A9" s="73"/>
      <c r="B9" s="91"/>
      <c r="C9" s="78"/>
      <c r="D9" s="78"/>
      <c r="E9" s="183"/>
      <c r="F9" s="78"/>
      <c r="G9" s="78"/>
      <c r="H9" s="78"/>
      <c r="I9" s="183"/>
      <c r="J9" s="78"/>
      <c r="K9" s="78"/>
      <c r="L9" s="78"/>
      <c r="M9" s="183"/>
      <c r="N9" s="78"/>
      <c r="O9" s="183"/>
      <c r="P9" s="92"/>
    </row>
    <row r="10" spans="1:16" ht="24" x14ac:dyDescent="0.2">
      <c r="A10" s="73"/>
      <c r="B10" s="96" t="s">
        <v>51</v>
      </c>
      <c r="C10" s="185">
        <f>SUM(C11:C12)</f>
        <v>20</v>
      </c>
      <c r="D10" s="97"/>
      <c r="E10" s="185">
        <f t="shared" ref="E10:P10" si="0">SUM(E11:E11)</f>
        <v>26888</v>
      </c>
      <c r="F10" s="97">
        <f t="shared" si="0"/>
        <v>4255563.7600000007</v>
      </c>
      <c r="G10" s="185">
        <f>SUM(G11:G12)</f>
        <v>20</v>
      </c>
      <c r="H10" s="97"/>
      <c r="I10" s="185">
        <f t="shared" si="0"/>
        <v>40332</v>
      </c>
      <c r="J10" s="97">
        <f t="shared" si="0"/>
        <v>6383345.6400000006</v>
      </c>
      <c r="K10" s="185">
        <f>SUM(K11:K12)</f>
        <v>20</v>
      </c>
      <c r="L10" s="97"/>
      <c r="M10" s="185">
        <f t="shared" si="0"/>
        <v>16805</v>
      </c>
      <c r="N10" s="97">
        <f t="shared" si="0"/>
        <v>2659727.35</v>
      </c>
      <c r="O10" s="185">
        <f t="shared" si="0"/>
        <v>84025</v>
      </c>
      <c r="P10" s="97">
        <f t="shared" si="0"/>
        <v>13298636.750000002</v>
      </c>
    </row>
    <row r="11" spans="1:16" x14ac:dyDescent="0.2">
      <c r="A11" s="73"/>
      <c r="B11" s="91" t="s">
        <v>9</v>
      </c>
      <c r="C11" s="183">
        <v>20</v>
      </c>
      <c r="D11" s="140">
        <v>158.27000000000001</v>
      </c>
      <c r="E11" s="183">
        <f>3361*8</f>
        <v>26888</v>
      </c>
      <c r="F11" s="78">
        <f>D11*E11</f>
        <v>4255563.7600000007</v>
      </c>
      <c r="G11" s="183">
        <v>20</v>
      </c>
      <c r="H11" s="140">
        <v>158.27000000000001</v>
      </c>
      <c r="I11" s="183">
        <f>3361*12</f>
        <v>40332</v>
      </c>
      <c r="J11" s="78">
        <f>H11*I11</f>
        <v>6383345.6400000006</v>
      </c>
      <c r="K11" s="183">
        <v>20</v>
      </c>
      <c r="L11" s="140">
        <v>158.27000000000001</v>
      </c>
      <c r="M11" s="183">
        <f>3361*5</f>
        <v>16805</v>
      </c>
      <c r="N11" s="78">
        <f>L11*M11</f>
        <v>2659727.35</v>
      </c>
      <c r="O11" s="183">
        <f>E11+I11+M11</f>
        <v>84025</v>
      </c>
      <c r="P11" s="92">
        <f>F11+J11+N11</f>
        <v>13298636.750000002</v>
      </c>
    </row>
    <row r="12" spans="1:16" x14ac:dyDescent="0.2">
      <c r="A12" s="73"/>
      <c r="B12" s="91"/>
      <c r="C12" s="78"/>
      <c r="D12" s="78"/>
      <c r="E12" s="93"/>
      <c r="F12" s="78"/>
      <c r="G12" s="78"/>
      <c r="H12" s="78"/>
      <c r="I12" s="93"/>
      <c r="J12" s="78"/>
      <c r="K12" s="78"/>
      <c r="L12" s="78"/>
      <c r="M12" s="93"/>
      <c r="N12" s="78"/>
      <c r="O12" s="93"/>
      <c r="P12" s="92"/>
    </row>
    <row r="13" spans="1:16" ht="24" x14ac:dyDescent="0.2">
      <c r="A13" s="73"/>
      <c r="B13" s="90" t="s">
        <v>52</v>
      </c>
      <c r="C13" s="188">
        <f>C7+C10</f>
        <v>109.73</v>
      </c>
      <c r="D13" s="94"/>
      <c r="E13" s="188">
        <f>E7+E10</f>
        <v>147488</v>
      </c>
      <c r="F13" s="94">
        <f>F10+F7</f>
        <v>23342925.760000002</v>
      </c>
      <c r="G13" s="188">
        <f>G7+G10</f>
        <v>109.73</v>
      </c>
      <c r="H13" s="94"/>
      <c r="I13" s="188">
        <f>I7+I10</f>
        <v>221232</v>
      </c>
      <c r="J13" s="94">
        <f>J10+J7</f>
        <v>35014388.640000001</v>
      </c>
      <c r="K13" s="188">
        <f>K7+K10</f>
        <v>109.73</v>
      </c>
      <c r="L13" s="94"/>
      <c r="M13" s="188">
        <f>M7+M10</f>
        <v>92180</v>
      </c>
      <c r="N13" s="94">
        <f>N10+N7</f>
        <v>14589328.6</v>
      </c>
      <c r="O13" s="188">
        <f>O7+O10</f>
        <v>460900</v>
      </c>
      <c r="P13" s="94">
        <f>P10+P7</f>
        <v>72946643</v>
      </c>
    </row>
    <row r="14" spans="1:16" x14ac:dyDescent="0.2">
      <c r="A14" s="73"/>
      <c r="B14" s="79"/>
      <c r="C14" s="81"/>
      <c r="D14" s="81"/>
      <c r="E14" s="80"/>
      <c r="F14" s="81"/>
      <c r="G14" s="81"/>
      <c r="H14" s="81"/>
      <c r="I14" s="80"/>
      <c r="J14" s="81"/>
      <c r="K14" s="81"/>
      <c r="L14" s="81"/>
      <c r="M14" s="80"/>
      <c r="N14" s="81"/>
      <c r="O14" s="80"/>
      <c r="P14" s="81"/>
    </row>
    <row r="15" spans="1:16" x14ac:dyDescent="0.2">
      <c r="A15" s="73"/>
      <c r="B15" s="79"/>
      <c r="C15" s="81"/>
      <c r="D15" s="81"/>
      <c r="E15" s="80"/>
      <c r="F15" s="81"/>
      <c r="G15" s="81"/>
      <c r="H15" s="81"/>
      <c r="I15" s="80"/>
      <c r="J15" s="81"/>
      <c r="K15" s="81"/>
      <c r="L15" s="81"/>
      <c r="M15" s="80"/>
      <c r="N15" s="73"/>
      <c r="O15" s="80"/>
      <c r="P15" s="81"/>
    </row>
    <row r="16" spans="1:16" x14ac:dyDescent="0.2">
      <c r="A16" s="73"/>
      <c r="B16" s="82" t="s">
        <v>23</v>
      </c>
      <c r="C16" s="73"/>
      <c r="D16" s="73"/>
      <c r="E16" s="189"/>
      <c r="F16" s="84"/>
      <c r="G16" s="84"/>
      <c r="H16" s="84"/>
      <c r="I16" s="83"/>
      <c r="J16" s="84"/>
      <c r="K16" s="84"/>
      <c r="L16" s="73"/>
      <c r="M16" s="83"/>
      <c r="N16" s="73"/>
      <c r="O16" s="83"/>
      <c r="P16" s="73"/>
    </row>
    <row r="17" spans="1:16" x14ac:dyDescent="0.2">
      <c r="A17" s="85">
        <v>1</v>
      </c>
      <c r="B17" s="281" t="s">
        <v>53</v>
      </c>
      <c r="C17" s="281"/>
      <c r="D17" s="281"/>
      <c r="E17" s="281"/>
      <c r="F17" s="281"/>
      <c r="G17" s="281"/>
      <c r="H17" s="281"/>
      <c r="I17" s="281"/>
      <c r="J17" s="73"/>
      <c r="K17" s="73"/>
      <c r="L17" s="73"/>
      <c r="M17" s="83"/>
      <c r="N17" s="73"/>
      <c r="O17" s="80"/>
      <c r="P17" s="73"/>
    </row>
    <row r="18" spans="1:16" x14ac:dyDescent="0.2">
      <c r="A18" s="85">
        <v>2</v>
      </c>
      <c r="B18" s="281"/>
      <c r="C18" s="281"/>
      <c r="D18" s="281"/>
      <c r="E18" s="281"/>
      <c r="F18" s="281"/>
      <c r="G18" s="281"/>
      <c r="H18" s="281"/>
      <c r="I18" s="281"/>
      <c r="J18" s="73"/>
      <c r="K18" s="73"/>
      <c r="L18" s="73"/>
      <c r="M18" s="83"/>
      <c r="N18" s="73"/>
      <c r="P18" s="95"/>
    </row>
    <row r="19" spans="1:16" x14ac:dyDescent="0.2">
      <c r="A19" s="85">
        <v>3</v>
      </c>
      <c r="B19" s="281"/>
      <c r="C19" s="281"/>
      <c r="D19" s="281"/>
      <c r="E19" s="281"/>
      <c r="F19" s="281"/>
      <c r="G19" s="281"/>
      <c r="H19" s="281"/>
      <c r="I19" s="281"/>
      <c r="J19" s="73"/>
      <c r="K19" s="73"/>
      <c r="L19" s="73"/>
      <c r="M19" s="83"/>
      <c r="N19" s="73"/>
      <c r="O19" s="83"/>
      <c r="P19" s="84"/>
    </row>
    <row r="20" spans="1:16" x14ac:dyDescent="0.2">
      <c r="A20" s="85">
        <v>4</v>
      </c>
      <c r="B20" s="281"/>
      <c r="C20" s="281"/>
      <c r="D20" s="281"/>
      <c r="E20" s="281"/>
      <c r="F20" s="281"/>
      <c r="G20" s="281"/>
      <c r="H20" s="281"/>
      <c r="I20" s="281"/>
      <c r="J20" s="73"/>
      <c r="K20" s="73"/>
      <c r="L20" s="73"/>
      <c r="M20" s="83"/>
      <c r="N20" s="73"/>
      <c r="O20" s="83"/>
      <c r="P20" s="84"/>
    </row>
    <row r="21" spans="1:16" x14ac:dyDescent="0.2">
      <c r="A21" s="85">
        <v>5</v>
      </c>
      <c r="B21" s="281"/>
      <c r="C21" s="281"/>
      <c r="D21" s="281"/>
      <c r="E21" s="281"/>
      <c r="F21" s="281"/>
      <c r="G21" s="281"/>
      <c r="H21" s="281"/>
      <c r="I21" s="281"/>
      <c r="J21" s="73"/>
      <c r="K21" s="73"/>
      <c r="L21" s="73"/>
      <c r="M21" s="83"/>
      <c r="N21" s="73"/>
      <c r="P21" s="84"/>
    </row>
    <row r="22" spans="1:16" x14ac:dyDescent="0.2">
      <c r="A22" s="182"/>
      <c r="B22" s="182"/>
      <c r="D22" s="182"/>
      <c r="F22" s="182"/>
      <c r="H22" s="182"/>
      <c r="J22" s="182"/>
      <c r="L22" s="182"/>
      <c r="N22" s="182"/>
      <c r="O22" s="83"/>
      <c r="P22" s="84"/>
    </row>
    <row r="23" spans="1:16" x14ac:dyDescent="0.2">
      <c r="A23" s="182"/>
      <c r="B23" s="182"/>
      <c r="D23" s="182"/>
      <c r="F23" s="182"/>
      <c r="H23" s="182"/>
      <c r="J23" s="182"/>
      <c r="L23" s="182"/>
      <c r="N23" s="182"/>
      <c r="P23" s="84"/>
    </row>
  </sheetData>
  <mergeCells count="13">
    <mergeCell ref="B18:I18"/>
    <mergeCell ref="B19:I19"/>
    <mergeCell ref="B20:I20"/>
    <mergeCell ref="B21:I21"/>
    <mergeCell ref="B17:I17"/>
    <mergeCell ref="B1:P1"/>
    <mergeCell ref="B2:P2"/>
    <mergeCell ref="C5:F5"/>
    <mergeCell ref="C4:F4"/>
    <mergeCell ref="G5:J5"/>
    <mergeCell ref="G4:J4"/>
    <mergeCell ref="K5:N5"/>
    <mergeCell ref="K4:N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F074A-2C9D-40AC-BEC6-B2757A9A6A10}">
  <dimension ref="A1:Z78"/>
  <sheetViews>
    <sheetView zoomScaleNormal="100" workbookViewId="0">
      <pane xSplit="2" ySplit="6" topLeftCell="C46" activePane="bottomRight" state="frozenSplit"/>
      <selection pane="topRight" activeCell="E1" sqref="E1"/>
      <selection pane="bottomLeft" activeCell="A7" sqref="A7"/>
      <selection pane="bottomRight" activeCell="B70" sqref="B70:I70"/>
    </sheetView>
  </sheetViews>
  <sheetFormatPr defaultColWidth="9.140625" defaultRowHeight="12" x14ac:dyDescent="0.2"/>
  <cols>
    <col min="1" max="1" width="9.140625" style="182"/>
    <col min="2" max="2" width="36.140625" style="182" customWidth="1"/>
    <col min="3" max="3" width="14.140625" style="215" customWidth="1"/>
    <col min="4" max="4" width="14.140625" style="205" customWidth="1"/>
    <col min="5" max="5" width="15.5703125" style="205" customWidth="1"/>
    <col min="6" max="6" width="15.5703125" style="215" customWidth="1"/>
    <col min="7" max="8" width="15.5703125" style="205" customWidth="1"/>
    <col min="9" max="9" width="15.5703125" style="215" customWidth="1"/>
    <col min="10" max="11" width="15.5703125" style="205" customWidth="1"/>
    <col min="12" max="12" width="15.5703125" style="215" customWidth="1"/>
    <col min="13" max="14" width="15.5703125" style="205" customWidth="1"/>
    <col min="15" max="15" width="15.5703125" style="215" customWidth="1"/>
    <col min="16" max="17" width="15.5703125" style="205" customWidth="1"/>
    <col min="18" max="18" width="15.5703125" style="215" customWidth="1"/>
    <col min="19" max="19" width="15.5703125" style="205" customWidth="1"/>
    <col min="20" max="20" width="15.5703125" style="87" customWidth="1"/>
    <col min="21" max="21" width="3.140625" style="182" customWidth="1"/>
    <col min="22" max="22" width="15.5703125" style="87" customWidth="1"/>
    <col min="23" max="23" width="2.28515625" style="182" customWidth="1"/>
    <col min="24" max="24" width="15.5703125" style="87" customWidth="1"/>
    <col min="25" max="16384" width="9.140625" style="182"/>
  </cols>
  <sheetData>
    <row r="1" spans="1:24" ht="15.75" x14ac:dyDescent="0.25">
      <c r="A1" s="73"/>
      <c r="B1" s="277" t="s">
        <v>54</v>
      </c>
      <c r="C1" s="277"/>
      <c r="D1" s="277"/>
      <c r="E1" s="277"/>
      <c r="F1" s="277"/>
      <c r="G1" s="277"/>
      <c r="H1" s="277"/>
      <c r="I1" s="277"/>
      <c r="J1" s="277"/>
      <c r="K1" s="277"/>
      <c r="L1" s="277"/>
      <c r="M1" s="277"/>
      <c r="N1" s="277"/>
      <c r="O1" s="277"/>
      <c r="P1" s="277"/>
      <c r="Q1" s="277"/>
      <c r="R1" s="277"/>
      <c r="S1" s="277"/>
      <c r="T1" s="277"/>
      <c r="V1" s="182"/>
      <c r="X1" s="182"/>
    </row>
    <row r="2" spans="1:24" ht="15.75" x14ac:dyDescent="0.25">
      <c r="A2" s="73"/>
      <c r="B2" s="277" t="s">
        <v>55</v>
      </c>
      <c r="C2" s="277"/>
      <c r="D2" s="277"/>
      <c r="E2" s="277"/>
      <c r="F2" s="277"/>
      <c r="G2" s="277"/>
      <c r="H2" s="277"/>
      <c r="I2" s="277"/>
      <c r="J2" s="277"/>
      <c r="K2" s="277"/>
      <c r="L2" s="277"/>
      <c r="M2" s="277"/>
      <c r="N2" s="277"/>
      <c r="O2" s="277"/>
      <c r="P2" s="277"/>
      <c r="Q2" s="277"/>
      <c r="R2" s="277"/>
      <c r="S2" s="277"/>
      <c r="T2" s="277"/>
      <c r="V2" s="182"/>
      <c r="X2" s="182"/>
    </row>
    <row r="3" spans="1:24" x14ac:dyDescent="0.2">
      <c r="A3" s="73"/>
      <c r="B3" s="74"/>
      <c r="C3" s="208"/>
      <c r="D3" s="194"/>
      <c r="E3" s="194"/>
      <c r="F3" s="208" t="s">
        <v>56</v>
      </c>
      <c r="G3" s="194"/>
      <c r="H3" s="194"/>
      <c r="I3" s="208"/>
      <c r="J3" s="194"/>
      <c r="K3" s="195"/>
      <c r="L3" s="208"/>
      <c r="M3" s="194"/>
      <c r="N3" s="194"/>
      <c r="O3" s="208"/>
      <c r="P3" s="194"/>
      <c r="Q3" s="194"/>
      <c r="R3" s="208"/>
      <c r="S3" s="194"/>
      <c r="T3" s="83"/>
      <c r="V3" s="83"/>
      <c r="X3" s="83"/>
    </row>
    <row r="4" spans="1:24" x14ac:dyDescent="0.2">
      <c r="A4" s="73"/>
      <c r="B4" s="74"/>
      <c r="C4" s="208"/>
      <c r="D4" s="194"/>
      <c r="E4" s="194"/>
      <c r="F4" s="208"/>
      <c r="G4" s="194"/>
      <c r="H4" s="194"/>
      <c r="I4" s="208"/>
      <c r="J4" s="194"/>
      <c r="K4" s="195"/>
      <c r="L4" s="213"/>
      <c r="M4" s="196"/>
      <c r="N4" s="194"/>
      <c r="O4" s="213"/>
      <c r="P4" s="196"/>
      <c r="Q4" s="194"/>
      <c r="R4" s="213"/>
      <c r="S4" s="194"/>
      <c r="T4" s="83"/>
      <c r="V4" s="83"/>
      <c r="X4" s="83"/>
    </row>
    <row r="5" spans="1:24" ht="30" customHeight="1" x14ac:dyDescent="0.2">
      <c r="A5" s="73"/>
      <c r="B5" s="88" t="s">
        <v>12</v>
      </c>
      <c r="C5" s="193"/>
      <c r="D5" s="282" t="s">
        <v>3</v>
      </c>
      <c r="E5" s="283"/>
      <c r="F5" s="284"/>
      <c r="G5" s="278" t="s">
        <v>4</v>
      </c>
      <c r="H5" s="279"/>
      <c r="I5" s="280"/>
      <c r="J5" s="282" t="s">
        <v>5</v>
      </c>
      <c r="K5" s="283"/>
      <c r="L5" s="284"/>
      <c r="M5" s="278" t="s">
        <v>6</v>
      </c>
      <c r="N5" s="279"/>
      <c r="O5" s="280"/>
      <c r="P5" s="282" t="s">
        <v>7</v>
      </c>
      <c r="Q5" s="283"/>
      <c r="R5" s="284"/>
      <c r="S5" s="192" t="s">
        <v>41</v>
      </c>
      <c r="T5" s="89" t="s">
        <v>8</v>
      </c>
      <c r="V5" s="89" t="s">
        <v>194</v>
      </c>
      <c r="X5" s="89" t="s">
        <v>186</v>
      </c>
    </row>
    <row r="6" spans="1:24" ht="24" x14ac:dyDescent="0.2">
      <c r="A6" s="73"/>
      <c r="B6" s="90" t="s">
        <v>57</v>
      </c>
      <c r="C6" s="209" t="s">
        <v>46</v>
      </c>
      <c r="D6" s="141" t="s">
        <v>45</v>
      </c>
      <c r="E6" s="141" t="s">
        <v>47</v>
      </c>
      <c r="F6" s="141" t="s">
        <v>48</v>
      </c>
      <c r="G6" s="141" t="s">
        <v>45</v>
      </c>
      <c r="H6" s="141" t="s">
        <v>47</v>
      </c>
      <c r="I6" s="141" t="s">
        <v>48</v>
      </c>
      <c r="J6" s="141" t="s">
        <v>45</v>
      </c>
      <c r="K6" s="141" t="s">
        <v>47</v>
      </c>
      <c r="L6" s="141" t="s">
        <v>48</v>
      </c>
      <c r="M6" s="141" t="s">
        <v>45</v>
      </c>
      <c r="N6" s="141" t="s">
        <v>47</v>
      </c>
      <c r="O6" s="141" t="s">
        <v>48</v>
      </c>
      <c r="P6" s="141" t="s">
        <v>45</v>
      </c>
      <c r="Q6" s="141" t="s">
        <v>47</v>
      </c>
      <c r="R6" s="141" t="s">
        <v>48</v>
      </c>
      <c r="S6" s="141"/>
      <c r="T6" s="184"/>
      <c r="V6" s="184"/>
      <c r="X6" s="184"/>
    </row>
    <row r="7" spans="1:24" x14ac:dyDescent="0.2">
      <c r="A7" s="73"/>
      <c r="B7" s="96" t="s">
        <v>58</v>
      </c>
      <c r="C7" s="219"/>
      <c r="D7" s="197">
        <f t="shared" ref="D7:T7" si="0">SUM(D8:D40)</f>
        <v>0</v>
      </c>
      <c r="E7" s="197">
        <f t="shared" si="0"/>
        <v>0</v>
      </c>
      <c r="F7" s="210">
        <f t="shared" si="0"/>
        <v>0</v>
      </c>
      <c r="G7" s="197">
        <f t="shared" si="0"/>
        <v>0</v>
      </c>
      <c r="H7" s="197">
        <f t="shared" si="0"/>
        <v>0</v>
      </c>
      <c r="I7" s="210">
        <f t="shared" si="0"/>
        <v>0</v>
      </c>
      <c r="J7" s="197">
        <f t="shared" si="0"/>
        <v>151.3704582960064</v>
      </c>
      <c r="K7" s="197">
        <f t="shared" si="0"/>
        <v>225687.2</v>
      </c>
      <c r="L7" s="210">
        <f t="shared" si="0"/>
        <v>33401705.600000001</v>
      </c>
      <c r="M7" s="197">
        <f t="shared" si="0"/>
        <v>163.97667984189727</v>
      </c>
      <c r="N7" s="197">
        <f t="shared" si="0"/>
        <v>337960.8</v>
      </c>
      <c r="O7" s="210">
        <f t="shared" si="0"/>
        <v>50018198.399999999</v>
      </c>
      <c r="P7" s="197">
        <f t="shared" si="0"/>
        <v>173.51308411214953</v>
      </c>
      <c r="Q7" s="197">
        <f t="shared" si="0"/>
        <v>151095.20000000001</v>
      </c>
      <c r="R7" s="210">
        <f t="shared" si="0"/>
        <v>22362089.600000001</v>
      </c>
      <c r="S7" s="197">
        <f t="shared" si="0"/>
        <v>714743.2</v>
      </c>
      <c r="T7" s="186">
        <f t="shared" si="0"/>
        <v>105781993.59999999</v>
      </c>
      <c r="V7" s="186">
        <f t="shared" ref="V7:X7" si="1">SUM(V8:V40)</f>
        <v>107618377.59999999</v>
      </c>
      <c r="X7" s="186">
        <f t="shared" si="1"/>
        <v>-1836384</v>
      </c>
    </row>
    <row r="8" spans="1:24" s="177" customFormat="1" x14ac:dyDescent="0.2">
      <c r="A8" s="73"/>
      <c r="B8" s="91" t="s">
        <v>59</v>
      </c>
      <c r="C8" s="217">
        <v>148</v>
      </c>
      <c r="D8" s="199">
        <v>0</v>
      </c>
      <c r="E8" s="199">
        <v>0</v>
      </c>
      <c r="F8" s="211">
        <f>$C8*E8</f>
        <v>0</v>
      </c>
      <c r="G8" s="199">
        <v>0</v>
      </c>
      <c r="H8" s="199">
        <v>0</v>
      </c>
      <c r="I8" s="211">
        <f t="shared" ref="I8:L29" si="2">$C8*H8</f>
        <v>0</v>
      </c>
      <c r="J8" s="199">
        <f>K8/1336</f>
        <v>5</v>
      </c>
      <c r="K8" s="199">
        <v>6680</v>
      </c>
      <c r="L8" s="211">
        <f>$C8*K8</f>
        <v>988640</v>
      </c>
      <c r="M8" s="199">
        <f t="shared" ref="M8:M17" si="3">N8/2024</f>
        <v>5</v>
      </c>
      <c r="N8" s="199">
        <v>10120</v>
      </c>
      <c r="O8" s="211">
        <f>$C8*N8</f>
        <v>1497760</v>
      </c>
      <c r="P8" s="199">
        <f t="shared" ref="P8:P39" si="4">Q8/856</f>
        <v>5</v>
      </c>
      <c r="Q8" s="199">
        <v>4280</v>
      </c>
      <c r="R8" s="211">
        <f>$C8*Q8</f>
        <v>633440</v>
      </c>
      <c r="S8" s="199">
        <f>E8+H8+K8+N8+Q8</f>
        <v>21080</v>
      </c>
      <c r="T8" s="187">
        <f>F8+I8+L8+O8+R8</f>
        <v>3119840</v>
      </c>
      <c r="V8" s="187">
        <v>3119840</v>
      </c>
      <c r="X8" s="187">
        <f>T8-V8</f>
        <v>0</v>
      </c>
    </row>
    <row r="9" spans="1:24" s="177" customFormat="1" x14ac:dyDescent="0.2">
      <c r="A9" s="73"/>
      <c r="B9" s="91" t="s">
        <v>60</v>
      </c>
      <c r="C9" s="217">
        <v>148</v>
      </c>
      <c r="D9" s="199">
        <v>0</v>
      </c>
      <c r="E9" s="199">
        <v>0</v>
      </c>
      <c r="F9" s="211">
        <f t="shared" ref="F9:F39" si="5">$C9*E9</f>
        <v>0</v>
      </c>
      <c r="G9" s="199">
        <v>0</v>
      </c>
      <c r="H9" s="199">
        <v>0</v>
      </c>
      <c r="I9" s="211">
        <f t="shared" si="2"/>
        <v>0</v>
      </c>
      <c r="J9" s="199">
        <f>K9/1336</f>
        <v>1</v>
      </c>
      <c r="K9" s="199">
        <v>1336</v>
      </c>
      <c r="L9" s="211">
        <f t="shared" si="2"/>
        <v>197728</v>
      </c>
      <c r="M9" s="199">
        <f t="shared" si="3"/>
        <v>1</v>
      </c>
      <c r="N9" s="199">
        <v>2024</v>
      </c>
      <c r="O9" s="211">
        <f t="shared" ref="O9:O39" si="6">$C9*N9</f>
        <v>299552</v>
      </c>
      <c r="P9" s="199">
        <f t="shared" si="4"/>
        <v>1</v>
      </c>
      <c r="Q9" s="199">
        <v>856</v>
      </c>
      <c r="R9" s="211">
        <f t="shared" ref="R9:R39" si="7">$C9*Q9</f>
        <v>126688</v>
      </c>
      <c r="S9" s="199">
        <f t="shared" ref="S9:T29" si="8">E9+H9+K9+N9+Q9</f>
        <v>4216</v>
      </c>
      <c r="T9" s="187">
        <f t="shared" si="8"/>
        <v>623968</v>
      </c>
      <c r="V9" s="187">
        <v>623968</v>
      </c>
      <c r="X9" s="187">
        <f t="shared" ref="X9:X39" si="9">T9-V9</f>
        <v>0</v>
      </c>
    </row>
    <row r="10" spans="1:24" s="177" customFormat="1" x14ac:dyDescent="0.2">
      <c r="A10" s="73"/>
      <c r="B10" s="91" t="s">
        <v>61</v>
      </c>
      <c r="C10" s="217">
        <v>148</v>
      </c>
      <c r="D10" s="199">
        <v>0</v>
      </c>
      <c r="E10" s="199">
        <v>0</v>
      </c>
      <c r="F10" s="211">
        <f t="shared" si="5"/>
        <v>0</v>
      </c>
      <c r="G10" s="199">
        <v>0</v>
      </c>
      <c r="H10" s="199">
        <v>0</v>
      </c>
      <c r="I10" s="211">
        <f t="shared" si="2"/>
        <v>0</v>
      </c>
      <c r="J10" s="199">
        <f>K10/1336</f>
        <v>5</v>
      </c>
      <c r="K10" s="199">
        <v>6680</v>
      </c>
      <c r="L10" s="211">
        <f t="shared" si="2"/>
        <v>988640</v>
      </c>
      <c r="M10" s="199">
        <f t="shared" si="3"/>
        <v>5</v>
      </c>
      <c r="N10" s="199">
        <v>10120</v>
      </c>
      <c r="O10" s="211">
        <f t="shared" si="6"/>
        <v>1497760</v>
      </c>
      <c r="P10" s="199">
        <f t="shared" si="4"/>
        <v>5</v>
      </c>
      <c r="Q10" s="199">
        <v>4280</v>
      </c>
      <c r="R10" s="211">
        <f t="shared" si="7"/>
        <v>633440</v>
      </c>
      <c r="S10" s="199">
        <f t="shared" si="8"/>
        <v>21080</v>
      </c>
      <c r="T10" s="187">
        <f t="shared" si="8"/>
        <v>3119840</v>
      </c>
      <c r="V10" s="187">
        <v>3119840</v>
      </c>
      <c r="X10" s="187">
        <f t="shared" si="9"/>
        <v>0</v>
      </c>
    </row>
    <row r="11" spans="1:24" s="177" customFormat="1" x14ac:dyDescent="0.2">
      <c r="A11" s="73"/>
      <c r="B11" s="91" t="s">
        <v>62</v>
      </c>
      <c r="C11" s="217">
        <v>148</v>
      </c>
      <c r="D11" s="199">
        <v>0</v>
      </c>
      <c r="E11" s="199">
        <v>0</v>
      </c>
      <c r="F11" s="211">
        <f t="shared" si="5"/>
        <v>0</v>
      </c>
      <c r="G11" s="199">
        <v>0</v>
      </c>
      <c r="H11" s="199">
        <v>0</v>
      </c>
      <c r="I11" s="211">
        <f t="shared" si="2"/>
        <v>0</v>
      </c>
      <c r="J11" s="199">
        <f>K11/1336</f>
        <v>3</v>
      </c>
      <c r="K11" s="199">
        <v>4008</v>
      </c>
      <c r="L11" s="211">
        <f t="shared" si="2"/>
        <v>593184</v>
      </c>
      <c r="M11" s="199">
        <f t="shared" si="3"/>
        <v>3</v>
      </c>
      <c r="N11" s="199">
        <v>6072</v>
      </c>
      <c r="O11" s="211">
        <f t="shared" si="6"/>
        <v>898656</v>
      </c>
      <c r="P11" s="199">
        <f t="shared" si="4"/>
        <v>3</v>
      </c>
      <c r="Q11" s="199">
        <v>2568</v>
      </c>
      <c r="R11" s="211">
        <f t="shared" si="7"/>
        <v>380064</v>
      </c>
      <c r="S11" s="199">
        <f t="shared" si="8"/>
        <v>12648</v>
      </c>
      <c r="T11" s="187">
        <f t="shared" si="8"/>
        <v>1871904</v>
      </c>
      <c r="V11" s="187">
        <v>1871904</v>
      </c>
      <c r="X11" s="187">
        <f t="shared" si="9"/>
        <v>0</v>
      </c>
    </row>
    <row r="12" spans="1:24" s="177" customFormat="1" x14ac:dyDescent="0.2">
      <c r="A12" s="73"/>
      <c r="B12" s="91" t="s">
        <v>63</v>
      </c>
      <c r="C12" s="217">
        <v>148</v>
      </c>
      <c r="D12" s="199">
        <v>0</v>
      </c>
      <c r="E12" s="199">
        <v>0</v>
      </c>
      <c r="F12" s="211">
        <f t="shared" si="5"/>
        <v>0</v>
      </c>
      <c r="G12" s="199">
        <v>0</v>
      </c>
      <c r="H12" s="199">
        <v>0</v>
      </c>
      <c r="I12" s="211">
        <f t="shared" si="2"/>
        <v>0</v>
      </c>
      <c r="J12" s="199">
        <v>4</v>
      </c>
      <c r="K12" s="199">
        <v>9352</v>
      </c>
      <c r="L12" s="211">
        <f t="shared" si="2"/>
        <v>1384096</v>
      </c>
      <c r="M12" s="199">
        <v>4</v>
      </c>
      <c r="N12" s="199">
        <v>14168</v>
      </c>
      <c r="O12" s="211">
        <f t="shared" si="6"/>
        <v>2096864</v>
      </c>
      <c r="P12" s="199">
        <v>4</v>
      </c>
      <c r="Q12" s="199">
        <v>5992</v>
      </c>
      <c r="R12" s="211">
        <f t="shared" si="7"/>
        <v>886816</v>
      </c>
      <c r="S12" s="199">
        <f t="shared" si="8"/>
        <v>29512</v>
      </c>
      <c r="T12" s="187">
        <f t="shared" si="8"/>
        <v>4367776</v>
      </c>
      <c r="V12" s="187">
        <v>4367776</v>
      </c>
      <c r="X12" s="187">
        <f t="shared" si="9"/>
        <v>0</v>
      </c>
    </row>
    <row r="13" spans="1:24" s="177" customFormat="1" x14ac:dyDescent="0.2">
      <c r="A13" s="73"/>
      <c r="B13" s="91" t="s">
        <v>64</v>
      </c>
      <c r="C13" s="217">
        <v>148</v>
      </c>
      <c r="D13" s="199">
        <v>0</v>
      </c>
      <c r="E13" s="199">
        <v>0</v>
      </c>
      <c r="F13" s="211">
        <f t="shared" si="5"/>
        <v>0</v>
      </c>
      <c r="G13" s="199">
        <v>0</v>
      </c>
      <c r="H13" s="199">
        <v>0</v>
      </c>
      <c r="I13" s="211">
        <f t="shared" si="2"/>
        <v>0</v>
      </c>
      <c r="J13" s="199">
        <f>K13/1336</f>
        <v>3</v>
      </c>
      <c r="K13" s="199">
        <v>4008</v>
      </c>
      <c r="L13" s="211">
        <f t="shared" si="2"/>
        <v>593184</v>
      </c>
      <c r="M13" s="199">
        <f t="shared" si="3"/>
        <v>3</v>
      </c>
      <c r="N13" s="199">
        <v>6072</v>
      </c>
      <c r="O13" s="211">
        <f t="shared" si="6"/>
        <v>898656</v>
      </c>
      <c r="P13" s="199">
        <f t="shared" si="4"/>
        <v>3</v>
      </c>
      <c r="Q13" s="199">
        <v>2568</v>
      </c>
      <c r="R13" s="211">
        <f t="shared" si="7"/>
        <v>380064</v>
      </c>
      <c r="S13" s="199">
        <f t="shared" si="8"/>
        <v>12648</v>
      </c>
      <c r="T13" s="187">
        <f t="shared" si="8"/>
        <v>1871904</v>
      </c>
      <c r="V13" s="187">
        <v>1871904</v>
      </c>
      <c r="X13" s="187">
        <f t="shared" si="9"/>
        <v>0</v>
      </c>
    </row>
    <row r="14" spans="1:24" s="177" customFormat="1" x14ac:dyDescent="0.2">
      <c r="A14" s="73"/>
      <c r="B14" s="91" t="s">
        <v>65</v>
      </c>
      <c r="C14" s="217">
        <v>148</v>
      </c>
      <c r="D14" s="199">
        <v>0</v>
      </c>
      <c r="E14" s="199">
        <v>0</v>
      </c>
      <c r="F14" s="211">
        <f t="shared" si="5"/>
        <v>0</v>
      </c>
      <c r="G14" s="199">
        <v>0</v>
      </c>
      <c r="H14" s="199">
        <v>0</v>
      </c>
      <c r="I14" s="211">
        <f t="shared" si="2"/>
        <v>0</v>
      </c>
      <c r="J14" s="199">
        <f>K14/1336</f>
        <v>1</v>
      </c>
      <c r="K14" s="199">
        <v>1336</v>
      </c>
      <c r="L14" s="211">
        <f t="shared" si="2"/>
        <v>197728</v>
      </c>
      <c r="M14" s="199">
        <f t="shared" si="3"/>
        <v>1</v>
      </c>
      <c r="N14" s="199">
        <v>2024</v>
      </c>
      <c r="O14" s="211">
        <f t="shared" si="6"/>
        <v>299552</v>
      </c>
      <c r="P14" s="199">
        <f t="shared" si="4"/>
        <v>1</v>
      </c>
      <c r="Q14" s="199">
        <v>856</v>
      </c>
      <c r="R14" s="211">
        <f t="shared" si="7"/>
        <v>126688</v>
      </c>
      <c r="S14" s="199">
        <f t="shared" si="8"/>
        <v>4216</v>
      </c>
      <c r="T14" s="187">
        <f t="shared" si="8"/>
        <v>623968</v>
      </c>
      <c r="V14" s="187">
        <v>623968</v>
      </c>
      <c r="X14" s="187">
        <f t="shared" si="9"/>
        <v>0</v>
      </c>
    </row>
    <row r="15" spans="1:24" s="177" customFormat="1" x14ac:dyDescent="0.2">
      <c r="A15" s="73"/>
      <c r="B15" s="91" t="s">
        <v>66</v>
      </c>
      <c r="C15" s="217">
        <v>148</v>
      </c>
      <c r="D15" s="199">
        <v>0</v>
      </c>
      <c r="E15" s="199">
        <v>0</v>
      </c>
      <c r="F15" s="211">
        <f t="shared" si="5"/>
        <v>0</v>
      </c>
      <c r="G15" s="199">
        <v>0</v>
      </c>
      <c r="H15" s="199">
        <v>0</v>
      </c>
      <c r="I15" s="211">
        <f t="shared" si="2"/>
        <v>0</v>
      </c>
      <c r="J15" s="199">
        <f>K15/1336</f>
        <v>9</v>
      </c>
      <c r="K15" s="199">
        <v>12024</v>
      </c>
      <c r="L15" s="211">
        <f t="shared" si="2"/>
        <v>1779552</v>
      </c>
      <c r="M15" s="199">
        <f t="shared" si="3"/>
        <v>9</v>
      </c>
      <c r="N15" s="199">
        <v>18216</v>
      </c>
      <c r="O15" s="211">
        <f t="shared" si="6"/>
        <v>2695968</v>
      </c>
      <c r="P15" s="199">
        <f t="shared" si="4"/>
        <v>9</v>
      </c>
      <c r="Q15" s="199">
        <v>7704</v>
      </c>
      <c r="R15" s="211">
        <f t="shared" si="7"/>
        <v>1140192</v>
      </c>
      <c r="S15" s="199">
        <f t="shared" si="8"/>
        <v>37944</v>
      </c>
      <c r="T15" s="187">
        <f t="shared" si="8"/>
        <v>5615712</v>
      </c>
      <c r="V15" s="187">
        <v>5615712</v>
      </c>
      <c r="X15" s="187">
        <f t="shared" si="9"/>
        <v>0</v>
      </c>
    </row>
    <row r="16" spans="1:24" s="177" customFormat="1" x14ac:dyDescent="0.2">
      <c r="A16" s="73"/>
      <c r="B16" s="91" t="s">
        <v>67</v>
      </c>
      <c r="C16" s="217">
        <v>148</v>
      </c>
      <c r="D16" s="199">
        <v>0</v>
      </c>
      <c r="E16" s="199">
        <v>0</v>
      </c>
      <c r="F16" s="211">
        <f t="shared" si="5"/>
        <v>0</v>
      </c>
      <c r="G16" s="199">
        <v>0</v>
      </c>
      <c r="H16" s="199">
        <v>0</v>
      </c>
      <c r="I16" s="211">
        <f t="shared" si="2"/>
        <v>0</v>
      </c>
      <c r="J16" s="199">
        <v>5</v>
      </c>
      <c r="K16" s="199">
        <v>6680</v>
      </c>
      <c r="L16" s="211">
        <f t="shared" si="2"/>
        <v>988640</v>
      </c>
      <c r="M16" s="199">
        <v>5</v>
      </c>
      <c r="N16" s="199">
        <v>10120</v>
      </c>
      <c r="O16" s="211">
        <f t="shared" si="6"/>
        <v>1497760</v>
      </c>
      <c r="P16" s="199">
        <v>5</v>
      </c>
      <c r="Q16" s="199">
        <v>4280</v>
      </c>
      <c r="R16" s="211">
        <f t="shared" si="7"/>
        <v>633440</v>
      </c>
      <c r="S16" s="199">
        <f t="shared" si="8"/>
        <v>21080</v>
      </c>
      <c r="T16" s="187">
        <f t="shared" si="8"/>
        <v>3119840</v>
      </c>
      <c r="V16" s="187">
        <v>3119840</v>
      </c>
      <c r="X16" s="187">
        <f t="shared" si="9"/>
        <v>0</v>
      </c>
    </row>
    <row r="17" spans="1:24" s="177" customFormat="1" x14ac:dyDescent="0.2">
      <c r="A17" s="73"/>
      <c r="B17" s="91" t="s">
        <v>68</v>
      </c>
      <c r="C17" s="217">
        <v>148</v>
      </c>
      <c r="D17" s="199">
        <v>0</v>
      </c>
      <c r="E17" s="199">
        <v>0</v>
      </c>
      <c r="F17" s="211">
        <f t="shared" si="5"/>
        <v>0</v>
      </c>
      <c r="G17" s="199">
        <v>0</v>
      </c>
      <c r="H17" s="199">
        <v>0</v>
      </c>
      <c r="I17" s="211">
        <f t="shared" si="2"/>
        <v>0</v>
      </c>
      <c r="J17" s="199">
        <f t="shared" ref="J17:J34" si="10">K17/1336</f>
        <v>15.200000000000001</v>
      </c>
      <c r="K17" s="199">
        <v>20307.2</v>
      </c>
      <c r="L17" s="211">
        <f t="shared" si="2"/>
        <v>3005465.6</v>
      </c>
      <c r="M17" s="199">
        <f t="shared" si="3"/>
        <v>15.200000000000001</v>
      </c>
      <c r="N17" s="199">
        <v>30764.800000000003</v>
      </c>
      <c r="O17" s="211">
        <f t="shared" si="6"/>
        <v>4553190.4000000004</v>
      </c>
      <c r="P17" s="199">
        <f t="shared" si="4"/>
        <v>15.200000000000001</v>
      </c>
      <c r="Q17" s="199">
        <v>13011.2</v>
      </c>
      <c r="R17" s="211">
        <f t="shared" si="7"/>
        <v>1925657.6000000001</v>
      </c>
      <c r="S17" s="199">
        <f t="shared" si="8"/>
        <v>64083.199999999997</v>
      </c>
      <c r="T17" s="187">
        <f t="shared" si="8"/>
        <v>9484313.5999999996</v>
      </c>
      <c r="V17" s="187">
        <v>9484313.5999999996</v>
      </c>
      <c r="X17" s="187">
        <f t="shared" si="9"/>
        <v>0</v>
      </c>
    </row>
    <row r="18" spans="1:24" s="177" customFormat="1" x14ac:dyDescent="0.2">
      <c r="A18" s="73"/>
      <c r="B18" s="91" t="s">
        <v>69</v>
      </c>
      <c r="C18" s="217">
        <v>148</v>
      </c>
      <c r="D18" s="199">
        <v>0</v>
      </c>
      <c r="E18" s="199">
        <v>0</v>
      </c>
      <c r="F18" s="211">
        <f t="shared" si="5"/>
        <v>0</v>
      </c>
      <c r="G18" s="199">
        <v>0</v>
      </c>
      <c r="H18" s="199">
        <v>0</v>
      </c>
      <c r="I18" s="211">
        <f t="shared" si="2"/>
        <v>0</v>
      </c>
      <c r="J18" s="199">
        <f t="shared" si="10"/>
        <v>1</v>
      </c>
      <c r="K18" s="199">
        <v>1336</v>
      </c>
      <c r="L18" s="211">
        <f t="shared" si="2"/>
        <v>197728</v>
      </c>
      <c r="M18" s="199">
        <f>N18/2024</f>
        <v>1</v>
      </c>
      <c r="N18" s="199">
        <v>2024</v>
      </c>
      <c r="O18" s="211">
        <f t="shared" si="6"/>
        <v>299552</v>
      </c>
      <c r="P18" s="199">
        <f t="shared" si="4"/>
        <v>1</v>
      </c>
      <c r="Q18" s="199">
        <v>856</v>
      </c>
      <c r="R18" s="211">
        <f t="shared" si="7"/>
        <v>126688</v>
      </c>
      <c r="S18" s="199">
        <f t="shared" si="8"/>
        <v>4216</v>
      </c>
      <c r="T18" s="187">
        <f t="shared" si="8"/>
        <v>623968</v>
      </c>
      <c r="V18" s="187">
        <v>623968</v>
      </c>
      <c r="X18" s="187">
        <f t="shared" si="9"/>
        <v>0</v>
      </c>
    </row>
    <row r="19" spans="1:24" s="177" customFormat="1" x14ac:dyDescent="0.2">
      <c r="A19" s="73"/>
      <c r="B19" s="91" t="s">
        <v>70</v>
      </c>
      <c r="C19" s="217">
        <v>148</v>
      </c>
      <c r="D19" s="199">
        <v>0</v>
      </c>
      <c r="E19" s="199">
        <v>0</v>
      </c>
      <c r="F19" s="211">
        <f t="shared" si="5"/>
        <v>0</v>
      </c>
      <c r="G19" s="199">
        <v>0</v>
      </c>
      <c r="H19" s="199">
        <v>0</v>
      </c>
      <c r="I19" s="211">
        <f t="shared" si="2"/>
        <v>0</v>
      </c>
      <c r="J19" s="199">
        <f t="shared" si="10"/>
        <v>7</v>
      </c>
      <c r="K19" s="199">
        <v>9352</v>
      </c>
      <c r="L19" s="211">
        <f t="shared" si="2"/>
        <v>1384096</v>
      </c>
      <c r="M19" s="199">
        <f t="shared" ref="M19:M39" si="11">N19/2024</f>
        <v>7</v>
      </c>
      <c r="N19" s="199">
        <v>14168</v>
      </c>
      <c r="O19" s="211">
        <f t="shared" si="6"/>
        <v>2096864</v>
      </c>
      <c r="P19" s="199">
        <f t="shared" si="4"/>
        <v>7</v>
      </c>
      <c r="Q19" s="199">
        <v>5992</v>
      </c>
      <c r="R19" s="211">
        <f t="shared" si="7"/>
        <v>886816</v>
      </c>
      <c r="S19" s="199">
        <f t="shared" si="8"/>
        <v>29512</v>
      </c>
      <c r="T19" s="187">
        <f t="shared" si="8"/>
        <v>4367776</v>
      </c>
      <c r="V19" s="187">
        <v>4367776</v>
      </c>
      <c r="X19" s="187">
        <f t="shared" si="9"/>
        <v>0</v>
      </c>
    </row>
    <row r="20" spans="1:24" s="177" customFormat="1" x14ac:dyDescent="0.2">
      <c r="A20" s="73"/>
      <c r="B20" s="91" t="s">
        <v>71</v>
      </c>
      <c r="C20" s="217">
        <v>148</v>
      </c>
      <c r="D20" s="199">
        <v>0</v>
      </c>
      <c r="E20" s="199">
        <v>0</v>
      </c>
      <c r="F20" s="211">
        <f t="shared" si="5"/>
        <v>0</v>
      </c>
      <c r="G20" s="199">
        <v>0</v>
      </c>
      <c r="H20" s="199">
        <v>0</v>
      </c>
      <c r="I20" s="211">
        <f t="shared" si="2"/>
        <v>0</v>
      </c>
      <c r="J20" s="199">
        <f t="shared" si="10"/>
        <v>2.2455089820359282</v>
      </c>
      <c r="K20" s="199">
        <v>3000</v>
      </c>
      <c r="L20" s="211">
        <f t="shared" si="2"/>
        <v>444000</v>
      </c>
      <c r="M20" s="199">
        <f t="shared" si="11"/>
        <v>2</v>
      </c>
      <c r="N20" s="199">
        <v>4048</v>
      </c>
      <c r="O20" s="211">
        <f t="shared" si="6"/>
        <v>599104</v>
      </c>
      <c r="P20" s="199">
        <f t="shared" si="4"/>
        <v>2</v>
      </c>
      <c r="Q20" s="199">
        <v>1712</v>
      </c>
      <c r="R20" s="211">
        <f t="shared" si="7"/>
        <v>253376</v>
      </c>
      <c r="S20" s="199">
        <f t="shared" si="8"/>
        <v>8760</v>
      </c>
      <c r="T20" s="187">
        <f t="shared" si="8"/>
        <v>1296480</v>
      </c>
      <c r="V20" s="187">
        <v>1296480</v>
      </c>
      <c r="X20" s="187">
        <f t="shared" si="9"/>
        <v>0</v>
      </c>
    </row>
    <row r="21" spans="1:24" s="177" customFormat="1" x14ac:dyDescent="0.2">
      <c r="A21" s="73"/>
      <c r="B21" s="91" t="s">
        <v>63</v>
      </c>
      <c r="C21" s="217">
        <v>148</v>
      </c>
      <c r="D21" s="199">
        <v>0</v>
      </c>
      <c r="E21" s="199">
        <v>0</v>
      </c>
      <c r="F21" s="211">
        <f t="shared" si="5"/>
        <v>0</v>
      </c>
      <c r="G21" s="199">
        <v>0</v>
      </c>
      <c r="H21" s="199">
        <v>0</v>
      </c>
      <c r="I21" s="211">
        <f t="shared" si="2"/>
        <v>0</v>
      </c>
      <c r="J21" s="199">
        <f t="shared" si="10"/>
        <v>0.24550898203592814</v>
      </c>
      <c r="K21" s="199">
        <v>328</v>
      </c>
      <c r="L21" s="211">
        <f t="shared" si="2"/>
        <v>48544</v>
      </c>
      <c r="M21" s="199">
        <f t="shared" si="11"/>
        <v>0</v>
      </c>
      <c r="N21" s="199">
        <v>0</v>
      </c>
      <c r="O21" s="211">
        <f t="shared" si="6"/>
        <v>0</v>
      </c>
      <c r="P21" s="199">
        <f t="shared" si="4"/>
        <v>0</v>
      </c>
      <c r="Q21" s="199">
        <v>0</v>
      </c>
      <c r="R21" s="211">
        <f t="shared" si="7"/>
        <v>0</v>
      </c>
      <c r="S21" s="199">
        <f t="shared" si="8"/>
        <v>328</v>
      </c>
      <c r="T21" s="187">
        <f t="shared" si="8"/>
        <v>48544</v>
      </c>
      <c r="V21" s="187">
        <v>48544</v>
      </c>
      <c r="X21" s="187">
        <f t="shared" si="9"/>
        <v>0</v>
      </c>
    </row>
    <row r="22" spans="1:24" s="177" customFormat="1" x14ac:dyDescent="0.2">
      <c r="A22" s="73"/>
      <c r="B22" s="91" t="s">
        <v>72</v>
      </c>
      <c r="C22" s="217">
        <v>148</v>
      </c>
      <c r="D22" s="199">
        <v>0</v>
      </c>
      <c r="E22" s="199">
        <v>0</v>
      </c>
      <c r="F22" s="211">
        <f t="shared" si="5"/>
        <v>0</v>
      </c>
      <c r="G22" s="199">
        <v>0</v>
      </c>
      <c r="H22" s="199">
        <v>0</v>
      </c>
      <c r="I22" s="211">
        <f t="shared" si="2"/>
        <v>0</v>
      </c>
      <c r="J22" s="199">
        <f t="shared" si="10"/>
        <v>1</v>
      </c>
      <c r="K22" s="199">
        <v>1336</v>
      </c>
      <c r="L22" s="211">
        <f t="shared" si="2"/>
        <v>197728</v>
      </c>
      <c r="M22" s="199">
        <f t="shared" si="11"/>
        <v>1</v>
      </c>
      <c r="N22" s="199">
        <v>2024</v>
      </c>
      <c r="O22" s="211">
        <f t="shared" si="6"/>
        <v>299552</v>
      </c>
      <c r="P22" s="199">
        <f t="shared" si="4"/>
        <v>1</v>
      </c>
      <c r="Q22" s="199">
        <v>856</v>
      </c>
      <c r="R22" s="211">
        <f t="shared" si="7"/>
        <v>126688</v>
      </c>
      <c r="S22" s="199">
        <f t="shared" si="8"/>
        <v>4216</v>
      </c>
      <c r="T22" s="187">
        <f t="shared" si="8"/>
        <v>623968</v>
      </c>
      <c r="V22" s="187">
        <v>623968</v>
      </c>
      <c r="X22" s="187">
        <f t="shared" si="9"/>
        <v>0</v>
      </c>
    </row>
    <row r="23" spans="1:24" s="177" customFormat="1" x14ac:dyDescent="0.2">
      <c r="A23" s="73"/>
      <c r="B23" s="91" t="s">
        <v>73</v>
      </c>
      <c r="C23" s="217">
        <v>148</v>
      </c>
      <c r="D23" s="199">
        <v>0</v>
      </c>
      <c r="E23" s="199">
        <v>0</v>
      </c>
      <c r="F23" s="211">
        <f t="shared" si="5"/>
        <v>0</v>
      </c>
      <c r="G23" s="199">
        <v>0</v>
      </c>
      <c r="H23" s="199">
        <v>0</v>
      </c>
      <c r="I23" s="211">
        <f t="shared" si="2"/>
        <v>0</v>
      </c>
      <c r="J23" s="199">
        <f t="shared" si="10"/>
        <v>1</v>
      </c>
      <c r="K23" s="199">
        <v>1336</v>
      </c>
      <c r="L23" s="211">
        <f t="shared" si="2"/>
        <v>197728</v>
      </c>
      <c r="M23" s="199">
        <f t="shared" si="11"/>
        <v>1</v>
      </c>
      <c r="N23" s="199">
        <v>2024</v>
      </c>
      <c r="O23" s="211">
        <f t="shared" si="6"/>
        <v>299552</v>
      </c>
      <c r="P23" s="199">
        <f t="shared" si="4"/>
        <v>1</v>
      </c>
      <c r="Q23" s="199">
        <v>856</v>
      </c>
      <c r="R23" s="211">
        <f t="shared" si="7"/>
        <v>126688</v>
      </c>
      <c r="S23" s="199">
        <f t="shared" si="8"/>
        <v>4216</v>
      </c>
      <c r="T23" s="187">
        <f t="shared" si="8"/>
        <v>623968</v>
      </c>
      <c r="V23" s="187">
        <v>623968</v>
      </c>
      <c r="X23" s="187">
        <f t="shared" si="9"/>
        <v>0</v>
      </c>
    </row>
    <row r="24" spans="1:24" s="177" customFormat="1" x14ac:dyDescent="0.2">
      <c r="A24" s="73"/>
      <c r="B24" s="91" t="s">
        <v>74</v>
      </c>
      <c r="C24" s="217">
        <v>148</v>
      </c>
      <c r="D24" s="199">
        <v>0</v>
      </c>
      <c r="E24" s="199">
        <v>0</v>
      </c>
      <c r="F24" s="211">
        <f t="shared" si="5"/>
        <v>0</v>
      </c>
      <c r="G24" s="199">
        <v>0</v>
      </c>
      <c r="H24" s="199">
        <v>0</v>
      </c>
      <c r="I24" s="211">
        <f t="shared" si="2"/>
        <v>0</v>
      </c>
      <c r="J24" s="199">
        <f t="shared" si="10"/>
        <v>15</v>
      </c>
      <c r="K24" s="199">
        <v>20040</v>
      </c>
      <c r="L24" s="211">
        <f t="shared" si="2"/>
        <v>2965920</v>
      </c>
      <c r="M24" s="199">
        <f t="shared" si="11"/>
        <v>15</v>
      </c>
      <c r="N24" s="199">
        <v>30360</v>
      </c>
      <c r="O24" s="211">
        <f t="shared" si="6"/>
        <v>4493280</v>
      </c>
      <c r="P24" s="199">
        <f t="shared" si="4"/>
        <v>15</v>
      </c>
      <c r="Q24" s="199">
        <v>12840</v>
      </c>
      <c r="R24" s="211">
        <f t="shared" si="7"/>
        <v>1900320</v>
      </c>
      <c r="S24" s="199">
        <f t="shared" si="8"/>
        <v>63240</v>
      </c>
      <c r="T24" s="187">
        <f t="shared" si="8"/>
        <v>9359520</v>
      </c>
      <c r="V24" s="187">
        <v>9359520</v>
      </c>
      <c r="X24" s="187">
        <f t="shared" si="9"/>
        <v>0</v>
      </c>
    </row>
    <row r="25" spans="1:24" s="177" customFormat="1" x14ac:dyDescent="0.2">
      <c r="A25" s="73"/>
      <c r="B25" s="91" t="s">
        <v>75</v>
      </c>
      <c r="C25" s="217">
        <v>148</v>
      </c>
      <c r="D25" s="199">
        <v>0</v>
      </c>
      <c r="E25" s="199">
        <v>0</v>
      </c>
      <c r="F25" s="211">
        <f t="shared" si="5"/>
        <v>0</v>
      </c>
      <c r="G25" s="199">
        <v>0</v>
      </c>
      <c r="H25" s="199">
        <v>0</v>
      </c>
      <c r="I25" s="211">
        <f t="shared" si="2"/>
        <v>0</v>
      </c>
      <c r="J25" s="199">
        <f t="shared" si="10"/>
        <v>14</v>
      </c>
      <c r="K25" s="199">
        <v>18704</v>
      </c>
      <c r="L25" s="211">
        <f>$C25*K25</f>
        <v>2768192</v>
      </c>
      <c r="M25" s="199">
        <f t="shared" si="11"/>
        <v>14.762845849802371</v>
      </c>
      <c r="N25" s="199">
        <v>29880</v>
      </c>
      <c r="O25" s="211">
        <f t="shared" si="6"/>
        <v>4422240</v>
      </c>
      <c r="P25" s="199">
        <f t="shared" si="4"/>
        <v>18.186915887850468</v>
      </c>
      <c r="Q25" s="199">
        <v>15568</v>
      </c>
      <c r="R25" s="211">
        <f t="shared" si="7"/>
        <v>2304064</v>
      </c>
      <c r="S25" s="199">
        <f t="shared" si="8"/>
        <v>64152</v>
      </c>
      <c r="T25" s="187">
        <f t="shared" si="8"/>
        <v>9494496</v>
      </c>
      <c r="V25" s="187">
        <v>10403808</v>
      </c>
      <c r="X25" s="187">
        <f t="shared" si="9"/>
        <v>-909312</v>
      </c>
    </row>
    <row r="26" spans="1:24" s="177" customFormat="1" x14ac:dyDescent="0.2">
      <c r="A26" s="73"/>
      <c r="B26" s="91" t="s">
        <v>76</v>
      </c>
      <c r="C26" s="217">
        <v>148</v>
      </c>
      <c r="D26" s="199">
        <v>0</v>
      </c>
      <c r="E26" s="199">
        <v>0</v>
      </c>
      <c r="F26" s="211">
        <f t="shared" si="5"/>
        <v>0</v>
      </c>
      <c r="G26" s="199">
        <v>0</v>
      </c>
      <c r="H26" s="199">
        <v>0</v>
      </c>
      <c r="I26" s="211">
        <f t="shared" si="2"/>
        <v>0</v>
      </c>
      <c r="J26" s="199">
        <f t="shared" si="10"/>
        <v>6</v>
      </c>
      <c r="K26" s="199">
        <v>8016</v>
      </c>
      <c r="L26" s="211">
        <f t="shared" si="2"/>
        <v>1186368</v>
      </c>
      <c r="M26" s="199">
        <f t="shared" si="11"/>
        <v>6.3359683794466406</v>
      </c>
      <c r="N26" s="199">
        <v>12824</v>
      </c>
      <c r="O26" s="211">
        <f t="shared" si="6"/>
        <v>1897952</v>
      </c>
      <c r="P26" s="199">
        <f t="shared" si="4"/>
        <v>7.7943925233644862</v>
      </c>
      <c r="Q26" s="199">
        <v>6672</v>
      </c>
      <c r="R26" s="211">
        <f t="shared" si="7"/>
        <v>987456</v>
      </c>
      <c r="S26" s="199">
        <f t="shared" si="8"/>
        <v>27512</v>
      </c>
      <c r="T26" s="187">
        <f t="shared" si="8"/>
        <v>4071776</v>
      </c>
      <c r="V26" s="187">
        <v>4596288</v>
      </c>
      <c r="X26" s="187">
        <f t="shared" si="9"/>
        <v>-524512</v>
      </c>
    </row>
    <row r="27" spans="1:24" s="177" customFormat="1" x14ac:dyDescent="0.2">
      <c r="A27" s="73"/>
      <c r="B27" s="91" t="s">
        <v>77</v>
      </c>
      <c r="C27" s="217">
        <v>148</v>
      </c>
      <c r="D27" s="199">
        <v>0</v>
      </c>
      <c r="E27" s="199">
        <v>0</v>
      </c>
      <c r="F27" s="211">
        <f t="shared" si="5"/>
        <v>0</v>
      </c>
      <c r="G27" s="199">
        <v>0</v>
      </c>
      <c r="H27" s="199">
        <v>0</v>
      </c>
      <c r="I27" s="211">
        <f t="shared" si="2"/>
        <v>0</v>
      </c>
      <c r="J27" s="199">
        <f t="shared" si="10"/>
        <v>1</v>
      </c>
      <c r="K27" s="199">
        <v>1336</v>
      </c>
      <c r="L27" s="211">
        <f t="shared" si="2"/>
        <v>197728</v>
      </c>
      <c r="M27" s="199">
        <f t="shared" si="11"/>
        <v>1</v>
      </c>
      <c r="N27" s="199">
        <v>2024</v>
      </c>
      <c r="O27" s="211">
        <f t="shared" si="6"/>
        <v>299552</v>
      </c>
      <c r="P27" s="199">
        <f t="shared" si="4"/>
        <v>1</v>
      </c>
      <c r="Q27" s="199">
        <v>856</v>
      </c>
      <c r="R27" s="211">
        <f t="shared" si="7"/>
        <v>126688</v>
      </c>
      <c r="S27" s="199">
        <f t="shared" si="8"/>
        <v>4216</v>
      </c>
      <c r="T27" s="187">
        <f t="shared" si="8"/>
        <v>623968</v>
      </c>
      <c r="V27" s="187">
        <v>623968</v>
      </c>
      <c r="X27" s="187">
        <f t="shared" si="9"/>
        <v>0</v>
      </c>
    </row>
    <row r="28" spans="1:24" s="177" customFormat="1" x14ac:dyDescent="0.2">
      <c r="A28" s="73"/>
      <c r="B28" s="91" t="s">
        <v>78</v>
      </c>
      <c r="C28" s="217">
        <v>148</v>
      </c>
      <c r="D28" s="199">
        <v>0</v>
      </c>
      <c r="E28" s="199">
        <v>0</v>
      </c>
      <c r="F28" s="211">
        <f t="shared" si="5"/>
        <v>0</v>
      </c>
      <c r="G28" s="199">
        <v>0</v>
      </c>
      <c r="H28" s="199">
        <v>0</v>
      </c>
      <c r="I28" s="211">
        <f t="shared" si="2"/>
        <v>0</v>
      </c>
      <c r="J28" s="199">
        <f t="shared" si="10"/>
        <v>0.73652694610778446</v>
      </c>
      <c r="K28" s="199">
        <v>984</v>
      </c>
      <c r="L28" s="211">
        <f t="shared" si="2"/>
        <v>145632</v>
      </c>
      <c r="M28" s="199">
        <f t="shared" si="11"/>
        <v>0</v>
      </c>
      <c r="N28" s="199">
        <v>0</v>
      </c>
      <c r="O28" s="211">
        <f t="shared" si="6"/>
        <v>0</v>
      </c>
      <c r="P28" s="199">
        <f t="shared" si="4"/>
        <v>0</v>
      </c>
      <c r="Q28" s="199">
        <v>0</v>
      </c>
      <c r="R28" s="211">
        <f t="shared" si="7"/>
        <v>0</v>
      </c>
      <c r="S28" s="199">
        <f t="shared" si="8"/>
        <v>984</v>
      </c>
      <c r="T28" s="187">
        <f t="shared" si="8"/>
        <v>145632</v>
      </c>
      <c r="V28" s="187">
        <v>145632</v>
      </c>
      <c r="X28" s="187">
        <f t="shared" si="9"/>
        <v>0</v>
      </c>
    </row>
    <row r="29" spans="1:24" s="177" customFormat="1" x14ac:dyDescent="0.2">
      <c r="A29" s="73"/>
      <c r="B29" s="91" t="s">
        <v>79</v>
      </c>
      <c r="C29" s="217">
        <v>148</v>
      </c>
      <c r="D29" s="199">
        <v>0</v>
      </c>
      <c r="E29" s="199">
        <v>0</v>
      </c>
      <c r="F29" s="211">
        <f t="shared" si="5"/>
        <v>0</v>
      </c>
      <c r="G29" s="199">
        <v>0</v>
      </c>
      <c r="H29" s="199">
        <v>0</v>
      </c>
      <c r="I29" s="211">
        <f t="shared" si="2"/>
        <v>0</v>
      </c>
      <c r="J29" s="199">
        <f t="shared" si="10"/>
        <v>4</v>
      </c>
      <c r="K29" s="199">
        <v>5344</v>
      </c>
      <c r="L29" s="211">
        <f t="shared" si="2"/>
        <v>790912</v>
      </c>
      <c r="M29" s="199">
        <f t="shared" si="11"/>
        <v>4</v>
      </c>
      <c r="N29" s="199">
        <v>8096</v>
      </c>
      <c r="O29" s="211">
        <f t="shared" si="6"/>
        <v>1198208</v>
      </c>
      <c r="P29" s="199">
        <f t="shared" si="4"/>
        <v>4</v>
      </c>
      <c r="Q29" s="199">
        <v>3424</v>
      </c>
      <c r="R29" s="211">
        <f t="shared" si="7"/>
        <v>506752</v>
      </c>
      <c r="S29" s="199">
        <f t="shared" si="8"/>
        <v>16864</v>
      </c>
      <c r="T29" s="187">
        <f t="shared" si="8"/>
        <v>2495872</v>
      </c>
      <c r="V29" s="187">
        <v>2495872</v>
      </c>
      <c r="X29" s="187">
        <f t="shared" si="9"/>
        <v>0</v>
      </c>
    </row>
    <row r="30" spans="1:24" s="177" customFormat="1" x14ac:dyDescent="0.2">
      <c r="A30" s="73"/>
      <c r="B30" s="91" t="s">
        <v>80</v>
      </c>
      <c r="C30" s="217">
        <v>148</v>
      </c>
      <c r="D30" s="199">
        <v>0</v>
      </c>
      <c r="E30" s="199">
        <v>0</v>
      </c>
      <c r="F30" s="211">
        <f t="shared" si="5"/>
        <v>0</v>
      </c>
      <c r="G30" s="199">
        <v>0</v>
      </c>
      <c r="H30" s="199">
        <v>0</v>
      </c>
      <c r="I30" s="211">
        <f t="shared" ref="I30:I39" si="12">$C30*H30</f>
        <v>0</v>
      </c>
      <c r="J30" s="199">
        <f t="shared" si="10"/>
        <v>2</v>
      </c>
      <c r="K30" s="199">
        <v>2672</v>
      </c>
      <c r="L30" s="211">
        <f t="shared" ref="L30:L39" si="13">$C30*K30</f>
        <v>395456</v>
      </c>
      <c r="M30" s="199">
        <f t="shared" si="11"/>
        <v>1</v>
      </c>
      <c r="N30" s="199">
        <v>2024</v>
      </c>
      <c r="O30" s="211">
        <f t="shared" si="6"/>
        <v>299552</v>
      </c>
      <c r="P30" s="199">
        <f t="shared" si="4"/>
        <v>1.794392523364486</v>
      </c>
      <c r="Q30" s="199">
        <v>1536</v>
      </c>
      <c r="R30" s="211">
        <f t="shared" si="7"/>
        <v>227328</v>
      </c>
      <c r="S30" s="199">
        <f t="shared" ref="S30:T39" si="14">E30+H30+K30+N30+Q30</f>
        <v>6232</v>
      </c>
      <c r="T30" s="187">
        <f t="shared" si="14"/>
        <v>922336</v>
      </c>
      <c r="V30" s="187">
        <v>922336</v>
      </c>
      <c r="X30" s="187">
        <f t="shared" si="9"/>
        <v>0</v>
      </c>
    </row>
    <row r="31" spans="1:24" s="177" customFormat="1" x14ac:dyDescent="0.2">
      <c r="A31" s="73"/>
      <c r="B31" s="91" t="s">
        <v>81</v>
      </c>
      <c r="C31" s="217">
        <v>148</v>
      </c>
      <c r="D31" s="199">
        <v>0</v>
      </c>
      <c r="E31" s="199">
        <v>0</v>
      </c>
      <c r="F31" s="211">
        <f t="shared" si="5"/>
        <v>0</v>
      </c>
      <c r="G31" s="199">
        <v>0</v>
      </c>
      <c r="H31" s="199">
        <v>0</v>
      </c>
      <c r="I31" s="211">
        <f t="shared" si="12"/>
        <v>0</v>
      </c>
      <c r="J31" s="199">
        <f t="shared" si="10"/>
        <v>2</v>
      </c>
      <c r="K31" s="199">
        <v>2672</v>
      </c>
      <c r="L31" s="211">
        <f t="shared" si="13"/>
        <v>395456</v>
      </c>
      <c r="M31" s="199">
        <f t="shared" si="11"/>
        <v>1.4229249011857708</v>
      </c>
      <c r="N31" s="199">
        <v>2880</v>
      </c>
      <c r="O31" s="211">
        <f t="shared" si="6"/>
        <v>426240</v>
      </c>
      <c r="P31" s="199">
        <f t="shared" si="4"/>
        <v>1</v>
      </c>
      <c r="Q31" s="199">
        <v>856</v>
      </c>
      <c r="R31" s="211">
        <f t="shared" si="7"/>
        <v>126688</v>
      </c>
      <c r="S31" s="199">
        <f t="shared" si="14"/>
        <v>6408</v>
      </c>
      <c r="T31" s="187">
        <f t="shared" si="14"/>
        <v>948384</v>
      </c>
      <c r="V31" s="187">
        <v>948384</v>
      </c>
      <c r="X31" s="187">
        <f t="shared" si="9"/>
        <v>0</v>
      </c>
    </row>
    <row r="32" spans="1:24" s="177" customFormat="1" x14ac:dyDescent="0.2">
      <c r="A32" s="73"/>
      <c r="B32" s="91" t="s">
        <v>82</v>
      </c>
      <c r="C32" s="217">
        <v>148</v>
      </c>
      <c r="D32" s="199">
        <v>0</v>
      </c>
      <c r="E32" s="199">
        <v>0</v>
      </c>
      <c r="F32" s="211">
        <f t="shared" si="5"/>
        <v>0</v>
      </c>
      <c r="G32" s="199">
        <v>0</v>
      </c>
      <c r="H32" s="199">
        <v>0</v>
      </c>
      <c r="I32" s="211">
        <f t="shared" si="12"/>
        <v>0</v>
      </c>
      <c r="J32" s="199">
        <f t="shared" si="10"/>
        <v>6</v>
      </c>
      <c r="K32" s="199">
        <f>6680+1336</f>
        <v>8016</v>
      </c>
      <c r="L32" s="211">
        <f t="shared" si="13"/>
        <v>1186368</v>
      </c>
      <c r="M32" s="199">
        <f t="shared" si="11"/>
        <v>6</v>
      </c>
      <c r="N32" s="199">
        <f>10120+2024</f>
        <v>12144</v>
      </c>
      <c r="O32" s="211">
        <f t="shared" si="6"/>
        <v>1797312</v>
      </c>
      <c r="P32" s="199">
        <f t="shared" si="4"/>
        <v>6</v>
      </c>
      <c r="Q32" s="199">
        <f>4280+856</f>
        <v>5136</v>
      </c>
      <c r="R32" s="211">
        <f t="shared" si="7"/>
        <v>760128</v>
      </c>
      <c r="S32" s="199">
        <f t="shared" si="14"/>
        <v>25296</v>
      </c>
      <c r="T32" s="187">
        <f t="shared" si="14"/>
        <v>3743808</v>
      </c>
      <c r="V32" s="187">
        <v>3743808</v>
      </c>
      <c r="X32" s="187">
        <f t="shared" si="9"/>
        <v>0</v>
      </c>
    </row>
    <row r="33" spans="1:24" s="177" customFormat="1" x14ac:dyDescent="0.2">
      <c r="A33" s="73"/>
      <c r="B33" s="91" t="s">
        <v>83</v>
      </c>
      <c r="C33" s="217">
        <v>148</v>
      </c>
      <c r="D33" s="199">
        <v>0</v>
      </c>
      <c r="E33" s="199">
        <v>0</v>
      </c>
      <c r="F33" s="211">
        <f t="shared" si="5"/>
        <v>0</v>
      </c>
      <c r="G33" s="199">
        <v>0</v>
      </c>
      <c r="H33" s="199">
        <v>0</v>
      </c>
      <c r="I33" s="211">
        <f t="shared" si="12"/>
        <v>0</v>
      </c>
      <c r="J33" s="199">
        <f t="shared" si="10"/>
        <v>2</v>
      </c>
      <c r="K33" s="199">
        <v>2672</v>
      </c>
      <c r="L33" s="211">
        <f t="shared" si="13"/>
        <v>395456</v>
      </c>
      <c r="M33" s="199">
        <f t="shared" si="11"/>
        <v>2</v>
      </c>
      <c r="N33" s="199">
        <v>4048</v>
      </c>
      <c r="O33" s="211">
        <f t="shared" si="6"/>
        <v>599104</v>
      </c>
      <c r="P33" s="199">
        <f t="shared" si="4"/>
        <v>2</v>
      </c>
      <c r="Q33" s="199">
        <v>1712</v>
      </c>
      <c r="R33" s="211">
        <f t="shared" si="7"/>
        <v>253376</v>
      </c>
      <c r="S33" s="199">
        <f t="shared" si="14"/>
        <v>8432</v>
      </c>
      <c r="T33" s="187">
        <f t="shared" si="14"/>
        <v>1247936</v>
      </c>
      <c r="V33" s="187">
        <v>1247936</v>
      </c>
      <c r="X33" s="187">
        <f t="shared" si="9"/>
        <v>0</v>
      </c>
    </row>
    <row r="34" spans="1:24" s="177" customFormat="1" ht="24" x14ac:dyDescent="0.2">
      <c r="A34" s="73"/>
      <c r="B34" s="91" t="s">
        <v>84</v>
      </c>
      <c r="C34" s="217">
        <v>148</v>
      </c>
      <c r="D34" s="199">
        <v>0</v>
      </c>
      <c r="E34" s="199">
        <v>0</v>
      </c>
      <c r="F34" s="211">
        <f t="shared" si="5"/>
        <v>0</v>
      </c>
      <c r="G34" s="199">
        <v>0</v>
      </c>
      <c r="H34" s="199">
        <v>0</v>
      </c>
      <c r="I34" s="211">
        <f t="shared" si="12"/>
        <v>0</v>
      </c>
      <c r="J34" s="199">
        <f t="shared" si="10"/>
        <v>1</v>
      </c>
      <c r="K34" s="199">
        <v>1336</v>
      </c>
      <c r="L34" s="211">
        <f t="shared" si="13"/>
        <v>197728</v>
      </c>
      <c r="M34" s="199">
        <f t="shared" si="11"/>
        <v>1</v>
      </c>
      <c r="N34" s="199">
        <v>2024</v>
      </c>
      <c r="O34" s="211">
        <f t="shared" si="6"/>
        <v>299552</v>
      </c>
      <c r="P34" s="199">
        <f t="shared" si="4"/>
        <v>1</v>
      </c>
      <c r="Q34" s="199">
        <v>856</v>
      </c>
      <c r="R34" s="211">
        <f t="shared" si="7"/>
        <v>126688</v>
      </c>
      <c r="S34" s="199">
        <f t="shared" si="14"/>
        <v>4216</v>
      </c>
      <c r="T34" s="187">
        <f t="shared" si="14"/>
        <v>623968</v>
      </c>
      <c r="V34" s="187">
        <v>623968</v>
      </c>
      <c r="X34" s="187">
        <f t="shared" si="9"/>
        <v>0</v>
      </c>
    </row>
    <row r="35" spans="1:24" s="177" customFormat="1" x14ac:dyDescent="0.2">
      <c r="A35" s="73"/>
      <c r="B35" s="91" t="s">
        <v>85</v>
      </c>
      <c r="C35" s="217">
        <v>148</v>
      </c>
      <c r="D35" s="199">
        <v>0</v>
      </c>
      <c r="E35" s="199">
        <v>0</v>
      </c>
      <c r="F35" s="211">
        <f t="shared" si="5"/>
        <v>0</v>
      </c>
      <c r="G35" s="199">
        <v>0</v>
      </c>
      <c r="H35" s="199">
        <v>0</v>
      </c>
      <c r="I35" s="211">
        <f t="shared" si="12"/>
        <v>0</v>
      </c>
      <c r="J35" s="199">
        <f>K35/1336</f>
        <v>6</v>
      </c>
      <c r="K35" s="199">
        <f>9352-1336</f>
        <v>8016</v>
      </c>
      <c r="L35" s="211">
        <f t="shared" si="13"/>
        <v>1186368</v>
      </c>
      <c r="M35" s="199">
        <f t="shared" si="11"/>
        <v>6</v>
      </c>
      <c r="N35" s="199">
        <f>14168-2024</f>
        <v>12144</v>
      </c>
      <c r="O35" s="211">
        <f t="shared" si="6"/>
        <v>1797312</v>
      </c>
      <c r="P35" s="199">
        <f t="shared" si="4"/>
        <v>6</v>
      </c>
      <c r="Q35" s="199">
        <f>5992-856</f>
        <v>5136</v>
      </c>
      <c r="R35" s="211">
        <f t="shared" si="7"/>
        <v>760128</v>
      </c>
      <c r="S35" s="199">
        <f t="shared" si="14"/>
        <v>25296</v>
      </c>
      <c r="T35" s="187">
        <f t="shared" si="14"/>
        <v>3743808</v>
      </c>
      <c r="V35" s="187">
        <v>3743808</v>
      </c>
      <c r="X35" s="187">
        <f t="shared" si="9"/>
        <v>0</v>
      </c>
    </row>
    <row r="36" spans="1:24" s="177" customFormat="1" x14ac:dyDescent="0.2">
      <c r="A36" s="73"/>
      <c r="B36" s="91" t="s">
        <v>86</v>
      </c>
      <c r="C36" s="217">
        <v>148</v>
      </c>
      <c r="D36" s="199">
        <v>0</v>
      </c>
      <c r="E36" s="199">
        <v>0</v>
      </c>
      <c r="F36" s="211">
        <f t="shared" si="5"/>
        <v>0</v>
      </c>
      <c r="G36" s="199">
        <v>0</v>
      </c>
      <c r="H36" s="199">
        <v>0</v>
      </c>
      <c r="I36" s="211">
        <f t="shared" si="12"/>
        <v>0</v>
      </c>
      <c r="J36" s="199">
        <f t="shared" ref="J36:J39" si="15">K36/2032</f>
        <v>4.2736220472440944</v>
      </c>
      <c r="K36" s="199">
        <v>8684</v>
      </c>
      <c r="L36" s="211">
        <f t="shared" si="13"/>
        <v>1285232</v>
      </c>
      <c r="M36" s="199">
        <f t="shared" si="11"/>
        <v>6.5</v>
      </c>
      <c r="N36" s="199">
        <v>13156</v>
      </c>
      <c r="O36" s="211">
        <f t="shared" si="6"/>
        <v>1947088</v>
      </c>
      <c r="P36" s="199">
        <f t="shared" si="4"/>
        <v>6.5</v>
      </c>
      <c r="Q36" s="199">
        <v>5564</v>
      </c>
      <c r="R36" s="211">
        <f t="shared" si="7"/>
        <v>823472</v>
      </c>
      <c r="S36" s="199">
        <f t="shared" si="14"/>
        <v>27404</v>
      </c>
      <c r="T36" s="187">
        <f t="shared" si="14"/>
        <v>4055792</v>
      </c>
      <c r="V36" s="187">
        <v>3805968</v>
      </c>
      <c r="X36" s="187">
        <f t="shared" si="9"/>
        <v>249824</v>
      </c>
    </row>
    <row r="37" spans="1:24" s="177" customFormat="1" x14ac:dyDescent="0.2">
      <c r="A37" s="73"/>
      <c r="B37" s="91" t="s">
        <v>87</v>
      </c>
      <c r="C37" s="217">
        <v>148</v>
      </c>
      <c r="D37" s="199">
        <v>0</v>
      </c>
      <c r="E37" s="199">
        <v>0</v>
      </c>
      <c r="F37" s="211">
        <f t="shared" si="5"/>
        <v>0</v>
      </c>
      <c r="G37" s="199">
        <f t="shared" ref="G37:G38" si="16">H37/2032</f>
        <v>0</v>
      </c>
      <c r="H37" s="199">
        <v>0</v>
      </c>
      <c r="I37" s="211">
        <f t="shared" si="12"/>
        <v>0</v>
      </c>
      <c r="J37" s="199">
        <f t="shared" si="15"/>
        <v>11.177165354330709</v>
      </c>
      <c r="K37" s="199">
        <v>22712</v>
      </c>
      <c r="L37" s="211">
        <f t="shared" si="13"/>
        <v>3361376</v>
      </c>
      <c r="M37" s="199">
        <f t="shared" si="11"/>
        <v>17.33201581027668</v>
      </c>
      <c r="N37" s="199">
        <v>35080</v>
      </c>
      <c r="O37" s="211">
        <f t="shared" si="6"/>
        <v>5191840</v>
      </c>
      <c r="P37" s="199">
        <f t="shared" si="4"/>
        <v>22.037383177570092</v>
      </c>
      <c r="Q37" s="199">
        <v>18864</v>
      </c>
      <c r="R37" s="211">
        <f t="shared" si="7"/>
        <v>2791872</v>
      </c>
      <c r="S37" s="199">
        <f t="shared" si="14"/>
        <v>76656</v>
      </c>
      <c r="T37" s="187">
        <f t="shared" si="14"/>
        <v>11345088</v>
      </c>
      <c r="V37" s="187">
        <v>11997472</v>
      </c>
      <c r="X37" s="187">
        <f t="shared" si="9"/>
        <v>-652384</v>
      </c>
    </row>
    <row r="38" spans="1:24" s="177" customFormat="1" x14ac:dyDescent="0.2">
      <c r="A38" s="73"/>
      <c r="B38" s="91" t="s">
        <v>88</v>
      </c>
      <c r="C38" s="217">
        <v>148</v>
      </c>
      <c r="D38" s="199">
        <v>0</v>
      </c>
      <c r="E38" s="199">
        <v>0</v>
      </c>
      <c r="F38" s="211">
        <f t="shared" si="5"/>
        <v>0</v>
      </c>
      <c r="G38" s="199">
        <f t="shared" si="16"/>
        <v>0</v>
      </c>
      <c r="H38" s="199">
        <v>0</v>
      </c>
      <c r="I38" s="211">
        <f t="shared" si="12"/>
        <v>0</v>
      </c>
      <c r="J38" s="199">
        <f t="shared" si="15"/>
        <v>11.177165354330709</v>
      </c>
      <c r="K38" s="199">
        <v>22712</v>
      </c>
      <c r="L38" s="211">
        <f t="shared" si="13"/>
        <v>3361376</v>
      </c>
      <c r="M38" s="199">
        <f t="shared" si="11"/>
        <v>17</v>
      </c>
      <c r="N38" s="199">
        <v>34408</v>
      </c>
      <c r="O38" s="211">
        <f t="shared" si="6"/>
        <v>5092384</v>
      </c>
      <c r="P38" s="199">
        <f t="shared" si="4"/>
        <v>17</v>
      </c>
      <c r="Q38" s="199">
        <v>14552</v>
      </c>
      <c r="R38" s="211">
        <f t="shared" si="7"/>
        <v>2153696</v>
      </c>
      <c r="S38" s="199">
        <f t="shared" si="14"/>
        <v>71672</v>
      </c>
      <c r="T38" s="187">
        <f t="shared" si="14"/>
        <v>10607456</v>
      </c>
      <c r="V38" s="187">
        <v>10607456</v>
      </c>
      <c r="X38" s="187">
        <f t="shared" si="9"/>
        <v>0</v>
      </c>
    </row>
    <row r="39" spans="1:24" s="177" customFormat="1" x14ac:dyDescent="0.2">
      <c r="A39" s="73"/>
      <c r="B39" s="91" t="s">
        <v>89</v>
      </c>
      <c r="C39" s="217">
        <v>148</v>
      </c>
      <c r="D39" s="199">
        <f>E39/1160</f>
        <v>0</v>
      </c>
      <c r="E39" s="199">
        <v>0</v>
      </c>
      <c r="F39" s="211">
        <f t="shared" si="5"/>
        <v>0</v>
      </c>
      <c r="G39" s="199">
        <f>H39/2032</f>
        <v>0</v>
      </c>
      <c r="H39" s="199">
        <v>0</v>
      </c>
      <c r="I39" s="211">
        <f t="shared" si="12"/>
        <v>0</v>
      </c>
      <c r="J39" s="199">
        <f t="shared" si="15"/>
        <v>1.3149606299212599</v>
      </c>
      <c r="K39" s="199">
        <f>4064-1392</f>
        <v>2672</v>
      </c>
      <c r="L39" s="211">
        <f t="shared" si="13"/>
        <v>395456</v>
      </c>
      <c r="M39" s="199">
        <f t="shared" si="11"/>
        <v>1.4229249011857708</v>
      </c>
      <c r="N39" s="199">
        <v>2880</v>
      </c>
      <c r="O39" s="211">
        <f t="shared" si="6"/>
        <v>426240</v>
      </c>
      <c r="P39" s="199">
        <f t="shared" si="4"/>
        <v>1</v>
      </c>
      <c r="Q39" s="199">
        <v>856</v>
      </c>
      <c r="R39" s="211">
        <f t="shared" si="7"/>
        <v>126688</v>
      </c>
      <c r="S39" s="199">
        <f t="shared" si="14"/>
        <v>6408</v>
      </c>
      <c r="T39" s="187">
        <f t="shared" si="14"/>
        <v>948384</v>
      </c>
      <c r="V39" s="187">
        <v>948384</v>
      </c>
      <c r="X39" s="187">
        <f t="shared" si="9"/>
        <v>0</v>
      </c>
    </row>
    <row r="40" spans="1:24" x14ac:dyDescent="0.2">
      <c r="A40" s="73"/>
      <c r="B40" s="91"/>
      <c r="C40" s="211"/>
      <c r="D40" s="200"/>
      <c r="E40" s="200"/>
      <c r="F40" s="211"/>
      <c r="G40" s="200"/>
      <c r="H40" s="200"/>
      <c r="I40" s="211"/>
      <c r="J40" s="200"/>
      <c r="K40" s="200"/>
      <c r="L40" s="211"/>
      <c r="M40" s="200"/>
      <c r="N40" s="200"/>
      <c r="O40" s="211"/>
      <c r="P40" s="200"/>
      <c r="Q40" s="200"/>
      <c r="R40" s="211"/>
      <c r="S40" s="200"/>
      <c r="T40" s="187"/>
      <c r="V40" s="187"/>
      <c r="X40" s="187"/>
    </row>
    <row r="41" spans="1:24" ht="24" x14ac:dyDescent="0.2">
      <c r="A41" s="73"/>
      <c r="B41" s="96" t="s">
        <v>90</v>
      </c>
      <c r="C41" s="216"/>
      <c r="D41" s="198"/>
      <c r="E41" s="197">
        <f t="shared" ref="E41:T41" si="17">SUM(E42:E44)</f>
        <v>0</v>
      </c>
      <c r="F41" s="210">
        <f t="shared" si="17"/>
        <v>0</v>
      </c>
      <c r="G41" s="197">
        <f>SUM(G42:G44)</f>
        <v>0</v>
      </c>
      <c r="H41" s="197">
        <f t="shared" si="17"/>
        <v>0</v>
      </c>
      <c r="I41" s="210">
        <f t="shared" si="17"/>
        <v>0</v>
      </c>
      <c r="J41" s="197">
        <f>SUM(J42:J44)</f>
        <v>14.347305389221557</v>
      </c>
      <c r="K41" s="197">
        <f t="shared" si="17"/>
        <v>19168</v>
      </c>
      <c r="L41" s="210">
        <f t="shared" si="17"/>
        <v>2836864</v>
      </c>
      <c r="M41" s="197">
        <f>SUM(M42:M44)</f>
        <v>6.0158102766798418</v>
      </c>
      <c r="N41" s="197">
        <f t="shared" si="17"/>
        <v>12176</v>
      </c>
      <c r="O41" s="210">
        <f t="shared" si="17"/>
        <v>1802048</v>
      </c>
      <c r="P41" s="197">
        <f>SUM(P42:P44)</f>
        <v>20.411214953271028</v>
      </c>
      <c r="Q41" s="197">
        <f t="shared" si="17"/>
        <v>17472</v>
      </c>
      <c r="R41" s="210">
        <f t="shared" si="17"/>
        <v>2585856</v>
      </c>
      <c r="S41" s="197">
        <f t="shared" si="17"/>
        <v>48816</v>
      </c>
      <c r="T41" s="186">
        <f t="shared" si="17"/>
        <v>7224768</v>
      </c>
      <c r="V41" s="186">
        <f t="shared" ref="V41:X41" si="18">SUM(V42:V44)</f>
        <v>7189248</v>
      </c>
      <c r="X41" s="186">
        <f t="shared" si="18"/>
        <v>35520</v>
      </c>
    </row>
    <row r="42" spans="1:24" x14ac:dyDescent="0.2">
      <c r="A42" s="73"/>
      <c r="B42" s="91" t="s">
        <v>87</v>
      </c>
      <c r="C42" s="217">
        <v>148</v>
      </c>
      <c r="D42" s="199">
        <v>0</v>
      </c>
      <c r="E42" s="199">
        <v>0</v>
      </c>
      <c r="F42" s="211">
        <f>$C42*E42</f>
        <v>0</v>
      </c>
      <c r="G42" s="199">
        <v>0</v>
      </c>
      <c r="H42" s="199">
        <v>0</v>
      </c>
      <c r="I42" s="211">
        <f t="shared" ref="I42:I43" si="19">$C42*H42</f>
        <v>0</v>
      </c>
      <c r="J42" s="199">
        <f>K42/1336</f>
        <v>4</v>
      </c>
      <c r="K42" s="199">
        <v>5344</v>
      </c>
      <c r="L42" s="211">
        <f t="shared" ref="L42:L43" si="20">$C42*K42</f>
        <v>790912</v>
      </c>
      <c r="M42" s="199">
        <f>N42/2024</f>
        <v>4.0158102766798418</v>
      </c>
      <c r="N42" s="199">
        <v>8128</v>
      </c>
      <c r="O42" s="211">
        <f t="shared" ref="O42:O43" si="21">$C42*N42</f>
        <v>1202944</v>
      </c>
      <c r="P42" s="199">
        <f t="shared" ref="P42:P43" si="22">Q42/856</f>
        <v>20</v>
      </c>
      <c r="Q42" s="199">
        <v>17120</v>
      </c>
      <c r="R42" s="211">
        <f t="shared" ref="R42:R43" si="23">$C42*Q42</f>
        <v>2533760</v>
      </c>
      <c r="S42" s="199">
        <f>E42+H42+K42+N42+Q42</f>
        <v>30592</v>
      </c>
      <c r="T42" s="187">
        <f>F42+I42+L42+O42+R42</f>
        <v>4527616</v>
      </c>
      <c r="V42" s="187">
        <v>4492096</v>
      </c>
      <c r="X42" s="187">
        <f t="shared" ref="X42:X43" si="24">T42-V42</f>
        <v>35520</v>
      </c>
    </row>
    <row r="43" spans="1:24" x14ac:dyDescent="0.2">
      <c r="A43" s="73"/>
      <c r="B43" s="91" t="s">
        <v>88</v>
      </c>
      <c r="C43" s="217">
        <v>148</v>
      </c>
      <c r="D43" s="199">
        <f>E43/1160</f>
        <v>0</v>
      </c>
      <c r="E43" s="199">
        <v>0</v>
      </c>
      <c r="F43" s="211">
        <f t="shared" ref="F43" si="25">$C43*E43</f>
        <v>0</v>
      </c>
      <c r="G43" s="199">
        <v>0</v>
      </c>
      <c r="H43" s="199">
        <v>0</v>
      </c>
      <c r="I43" s="211">
        <f t="shared" si="19"/>
        <v>0</v>
      </c>
      <c r="J43" s="199">
        <f>K43/1336</f>
        <v>10.347305389221557</v>
      </c>
      <c r="K43" s="199">
        <f>15216-1392</f>
        <v>13824</v>
      </c>
      <c r="L43" s="211">
        <f t="shared" si="20"/>
        <v>2045952</v>
      </c>
      <c r="M43" s="199">
        <f>N43/2024</f>
        <v>2</v>
      </c>
      <c r="N43" s="199">
        <v>4048</v>
      </c>
      <c r="O43" s="211">
        <f t="shared" si="21"/>
        <v>599104</v>
      </c>
      <c r="P43" s="199">
        <f t="shared" si="22"/>
        <v>0.41121495327102803</v>
      </c>
      <c r="Q43" s="199">
        <v>352</v>
      </c>
      <c r="R43" s="211">
        <f t="shared" si="23"/>
        <v>52096</v>
      </c>
      <c r="S43" s="199">
        <f>E43+H43+K43+N43+Q43</f>
        <v>18224</v>
      </c>
      <c r="T43" s="187">
        <f>F43+I43+L43+O43+R43</f>
        <v>2697152</v>
      </c>
      <c r="V43" s="187">
        <v>2697152</v>
      </c>
      <c r="X43" s="187">
        <f t="shared" si="24"/>
        <v>0</v>
      </c>
    </row>
    <row r="44" spans="1:24" x14ac:dyDescent="0.2">
      <c r="A44" s="73"/>
      <c r="B44" s="91"/>
      <c r="C44" s="211"/>
      <c r="D44" s="200"/>
      <c r="E44" s="200"/>
      <c r="F44" s="211"/>
      <c r="G44" s="200"/>
      <c r="H44" s="200"/>
      <c r="I44" s="211"/>
      <c r="J44" s="200"/>
      <c r="K44" s="200"/>
      <c r="L44" s="211"/>
      <c r="M44" s="200"/>
      <c r="N44" s="200"/>
      <c r="O44" s="211"/>
      <c r="P44" s="200"/>
      <c r="Q44" s="200"/>
      <c r="R44" s="211"/>
      <c r="S44" s="200"/>
      <c r="T44" s="187"/>
      <c r="V44" s="187"/>
      <c r="X44" s="187"/>
    </row>
    <row r="45" spans="1:24" ht="24" x14ac:dyDescent="0.2">
      <c r="A45" s="73"/>
      <c r="B45" s="96" t="s">
        <v>91</v>
      </c>
      <c r="C45" s="216"/>
      <c r="D45" s="197">
        <f t="shared" ref="D45:T45" si="26">SUM(D46:D49)</f>
        <v>0</v>
      </c>
      <c r="E45" s="197">
        <f t="shared" si="26"/>
        <v>0</v>
      </c>
      <c r="F45" s="210">
        <f t="shared" si="26"/>
        <v>0</v>
      </c>
      <c r="G45" s="197">
        <f t="shared" si="26"/>
        <v>0</v>
      </c>
      <c r="H45" s="197">
        <f t="shared" si="26"/>
        <v>0</v>
      </c>
      <c r="I45" s="210">
        <f t="shared" si="26"/>
        <v>0</v>
      </c>
      <c r="J45" s="197">
        <f t="shared" si="26"/>
        <v>6</v>
      </c>
      <c r="K45" s="197">
        <f t="shared" si="26"/>
        <v>8016</v>
      </c>
      <c r="L45" s="210">
        <f t="shared" si="26"/>
        <v>1186368</v>
      </c>
      <c r="M45" s="197">
        <f t="shared" si="26"/>
        <v>6</v>
      </c>
      <c r="N45" s="197">
        <f t="shared" si="26"/>
        <v>12144</v>
      </c>
      <c r="O45" s="210">
        <f t="shared" si="26"/>
        <v>1797312</v>
      </c>
      <c r="P45" s="197">
        <f t="shared" si="26"/>
        <v>6</v>
      </c>
      <c r="Q45" s="197">
        <f t="shared" si="26"/>
        <v>5136</v>
      </c>
      <c r="R45" s="210">
        <f t="shared" si="26"/>
        <v>760128</v>
      </c>
      <c r="S45" s="197">
        <f t="shared" si="26"/>
        <v>25296</v>
      </c>
      <c r="T45" s="186">
        <f t="shared" si="26"/>
        <v>3743808</v>
      </c>
      <c r="V45" s="186">
        <f t="shared" ref="V45:X45" si="27">SUM(V46:V49)</f>
        <v>3743808</v>
      </c>
      <c r="X45" s="186">
        <f t="shared" si="27"/>
        <v>0</v>
      </c>
    </row>
    <row r="46" spans="1:24" s="177" customFormat="1" x14ac:dyDescent="0.2">
      <c r="A46" s="73"/>
      <c r="B46" s="91" t="s">
        <v>68</v>
      </c>
      <c r="C46" s="217">
        <v>148</v>
      </c>
      <c r="D46" s="199">
        <v>0</v>
      </c>
      <c r="E46" s="199">
        <v>0</v>
      </c>
      <c r="F46" s="211">
        <f>$C46*E46</f>
        <v>0</v>
      </c>
      <c r="G46" s="199">
        <v>0</v>
      </c>
      <c r="H46" s="199">
        <v>0</v>
      </c>
      <c r="I46" s="211">
        <f>$C46*H46</f>
        <v>0</v>
      </c>
      <c r="J46" s="199">
        <v>1</v>
      </c>
      <c r="K46" s="199">
        <v>1336</v>
      </c>
      <c r="L46" s="211">
        <f>$C46*K46</f>
        <v>197728</v>
      </c>
      <c r="M46" s="199">
        <v>1</v>
      </c>
      <c r="N46" s="199">
        <v>2024</v>
      </c>
      <c r="O46" s="211">
        <f>$C46*N46</f>
        <v>299552</v>
      </c>
      <c r="P46" s="199">
        <v>1</v>
      </c>
      <c r="Q46" s="199">
        <v>856</v>
      </c>
      <c r="R46" s="211">
        <f>$C46*Q46</f>
        <v>126688</v>
      </c>
      <c r="S46" s="199">
        <f t="shared" ref="S46:T48" si="28">E46+H46+K46+N46+Q46</f>
        <v>4216</v>
      </c>
      <c r="T46" s="187">
        <f t="shared" si="28"/>
        <v>623968</v>
      </c>
      <c r="V46" s="187">
        <v>623968</v>
      </c>
      <c r="X46" s="187">
        <f t="shared" ref="X46:X48" si="29">T46-V46</f>
        <v>0</v>
      </c>
    </row>
    <row r="47" spans="1:24" s="177" customFormat="1" x14ac:dyDescent="0.2">
      <c r="A47" s="73"/>
      <c r="B47" s="91" t="s">
        <v>86</v>
      </c>
      <c r="C47" s="217">
        <v>148</v>
      </c>
      <c r="D47" s="199">
        <v>0</v>
      </c>
      <c r="E47" s="199">
        <v>0</v>
      </c>
      <c r="F47" s="211">
        <f>$C47*E47</f>
        <v>0</v>
      </c>
      <c r="G47" s="199">
        <v>0</v>
      </c>
      <c r="H47" s="199">
        <v>0</v>
      </c>
      <c r="I47" s="211">
        <f>$C47*H47</f>
        <v>0</v>
      </c>
      <c r="J47" s="199">
        <v>1</v>
      </c>
      <c r="K47" s="199">
        <f>1336*1</f>
        <v>1336</v>
      </c>
      <c r="L47" s="211">
        <f>$C47*K47</f>
        <v>197728</v>
      </c>
      <c r="M47" s="199">
        <v>1</v>
      </c>
      <c r="N47" s="199">
        <v>2024</v>
      </c>
      <c r="O47" s="211">
        <f>$C47*N47</f>
        <v>299552</v>
      </c>
      <c r="P47" s="199">
        <v>1</v>
      </c>
      <c r="Q47" s="199">
        <v>856</v>
      </c>
      <c r="R47" s="211">
        <f>$C47*Q47</f>
        <v>126688</v>
      </c>
      <c r="S47" s="199">
        <f t="shared" si="28"/>
        <v>4216</v>
      </c>
      <c r="T47" s="187">
        <f t="shared" si="28"/>
        <v>623968</v>
      </c>
      <c r="V47" s="187">
        <v>623968</v>
      </c>
      <c r="X47" s="187">
        <f t="shared" si="29"/>
        <v>0</v>
      </c>
    </row>
    <row r="48" spans="1:24" s="177" customFormat="1" x14ac:dyDescent="0.2">
      <c r="A48" s="73"/>
      <c r="B48" s="91" t="s">
        <v>87</v>
      </c>
      <c r="C48" s="217">
        <v>148</v>
      </c>
      <c r="D48" s="199">
        <v>0</v>
      </c>
      <c r="E48" s="199">
        <v>0</v>
      </c>
      <c r="F48" s="211">
        <f>$C48*E48</f>
        <v>0</v>
      </c>
      <c r="G48" s="199">
        <v>0</v>
      </c>
      <c r="H48" s="199">
        <v>0</v>
      </c>
      <c r="I48" s="211">
        <f>$C48*H48</f>
        <v>0</v>
      </c>
      <c r="J48" s="199">
        <f>K48/1336</f>
        <v>4</v>
      </c>
      <c r="K48" s="199">
        <f>1336*4</f>
        <v>5344</v>
      </c>
      <c r="L48" s="211">
        <f>$C48*K48</f>
        <v>790912</v>
      </c>
      <c r="M48" s="199">
        <f>N48/2024</f>
        <v>4</v>
      </c>
      <c r="N48" s="199">
        <f>2024*4</f>
        <v>8096</v>
      </c>
      <c r="O48" s="211">
        <f>$C48*N48</f>
        <v>1198208</v>
      </c>
      <c r="P48" s="199">
        <f>Q48/856</f>
        <v>4</v>
      </c>
      <c r="Q48" s="199">
        <f>856*4</f>
        <v>3424</v>
      </c>
      <c r="R48" s="211">
        <f>$C48*Q48</f>
        <v>506752</v>
      </c>
      <c r="S48" s="199">
        <f t="shared" si="28"/>
        <v>16864</v>
      </c>
      <c r="T48" s="187">
        <f t="shared" si="28"/>
        <v>2495872</v>
      </c>
      <c r="U48" s="256"/>
      <c r="V48" s="187">
        <v>2495872</v>
      </c>
      <c r="X48" s="187">
        <f t="shared" si="29"/>
        <v>0</v>
      </c>
    </row>
    <row r="49" spans="1:26" x14ac:dyDescent="0.2">
      <c r="A49" s="73"/>
      <c r="B49" s="91"/>
      <c r="C49" s="218"/>
      <c r="D49" s="201"/>
      <c r="E49" s="199"/>
      <c r="F49" s="211"/>
      <c r="G49" s="200"/>
      <c r="H49" s="199"/>
      <c r="I49" s="211"/>
      <c r="J49" s="200"/>
      <c r="K49" s="199"/>
      <c r="L49" s="211"/>
      <c r="M49" s="200"/>
      <c r="N49" s="199"/>
      <c r="O49" s="211"/>
      <c r="P49" s="200"/>
      <c r="Q49" s="199"/>
      <c r="R49" s="211"/>
      <c r="S49" s="199"/>
      <c r="T49" s="187"/>
      <c r="V49" s="187"/>
      <c r="X49" s="187"/>
    </row>
    <row r="50" spans="1:26" x14ac:dyDescent="0.2">
      <c r="A50" s="73"/>
      <c r="B50" s="96" t="s">
        <v>192</v>
      </c>
      <c r="C50" s="216"/>
      <c r="D50" s="197">
        <f>SUM(D51:D52)</f>
        <v>0</v>
      </c>
      <c r="E50" s="197">
        <f>SUM(E51:E51)</f>
        <v>0</v>
      </c>
      <c r="F50" s="210">
        <f>SUM(F51:F51)</f>
        <v>0</v>
      </c>
      <c r="G50" s="197">
        <f>SUM(G51:G52)</f>
        <v>0</v>
      </c>
      <c r="H50" s="197">
        <f>SUM(H51:H51)</f>
        <v>0</v>
      </c>
      <c r="I50" s="210">
        <f>SUM(I51:I51)</f>
        <v>0</v>
      </c>
      <c r="J50" s="197">
        <f>SUM(J51:J52)</f>
        <v>1</v>
      </c>
      <c r="K50" s="197">
        <f>SUM(K51:K51)</f>
        <v>838</v>
      </c>
      <c r="L50" s="210">
        <f>SUM(L51:L51)</f>
        <v>124024</v>
      </c>
      <c r="M50" s="197">
        <f>SUM(M51:M52)</f>
        <v>1</v>
      </c>
      <c r="N50" s="197">
        <f>SUM(N51:N51)</f>
        <v>2024</v>
      </c>
      <c r="O50" s="210">
        <f>SUM(O51:O51)</f>
        <v>299552</v>
      </c>
      <c r="P50" s="197">
        <f>SUM(P51:P52)</f>
        <v>1</v>
      </c>
      <c r="Q50" s="197">
        <f>SUM(Q51:Q51)</f>
        <v>856</v>
      </c>
      <c r="R50" s="210">
        <f>SUM(R51:R51)</f>
        <v>126688</v>
      </c>
      <c r="S50" s="197">
        <f>SUM(S51:S51)</f>
        <v>3718</v>
      </c>
      <c r="T50" s="186">
        <f>SUM(T51:T51)</f>
        <v>550264</v>
      </c>
      <c r="V50" s="186">
        <f>SUM(V51:V51)</f>
        <v>0</v>
      </c>
      <c r="X50" s="186">
        <f>SUM(X51:X51)</f>
        <v>550264</v>
      </c>
    </row>
    <row r="51" spans="1:26" x14ac:dyDescent="0.2">
      <c r="A51" s="73"/>
      <c r="B51" s="91" t="s">
        <v>193</v>
      </c>
      <c r="C51" s="217">
        <v>148</v>
      </c>
      <c r="D51" s="199">
        <v>0</v>
      </c>
      <c r="E51" s="199">
        <v>0</v>
      </c>
      <c r="F51" s="211">
        <f t="shared" ref="F51" si="30">$C51*E51</f>
        <v>0</v>
      </c>
      <c r="G51" s="199">
        <v>0</v>
      </c>
      <c r="H51" s="199">
        <v>0</v>
      </c>
      <c r="I51" s="211">
        <f t="shared" ref="I51" si="31">$C51*H51</f>
        <v>0</v>
      </c>
      <c r="J51" s="199">
        <v>1</v>
      </c>
      <c r="K51" s="199">
        <v>838</v>
      </c>
      <c r="L51" s="211">
        <f t="shared" ref="L51" si="32">$C51*K51</f>
        <v>124024</v>
      </c>
      <c r="M51" s="199">
        <v>1</v>
      </c>
      <c r="N51" s="199">
        <v>2024</v>
      </c>
      <c r="O51" s="211">
        <f t="shared" ref="O51" si="33">$C51*N51</f>
        <v>299552</v>
      </c>
      <c r="P51" s="199">
        <v>1</v>
      </c>
      <c r="Q51" s="199">
        <v>856</v>
      </c>
      <c r="R51" s="211">
        <f t="shared" ref="R51" si="34">$C51*Q51</f>
        <v>126688</v>
      </c>
      <c r="S51" s="199">
        <f>E51+H51+K51+N51+Q51</f>
        <v>3718</v>
      </c>
      <c r="T51" s="187">
        <f>F51+I51+L51+O51+R51</f>
        <v>550264</v>
      </c>
      <c r="V51" s="187">
        <v>0</v>
      </c>
      <c r="X51" s="187">
        <f t="shared" ref="X51" si="35">T51-V51</f>
        <v>550264</v>
      </c>
    </row>
    <row r="52" spans="1:26" x14ac:dyDescent="0.2">
      <c r="A52" s="73"/>
      <c r="B52" s="91"/>
      <c r="C52" s="218"/>
      <c r="D52" s="201"/>
      <c r="E52" s="199"/>
      <c r="F52" s="211"/>
      <c r="G52" s="200"/>
      <c r="H52" s="199"/>
      <c r="I52" s="211"/>
      <c r="J52" s="200"/>
      <c r="K52" s="199"/>
      <c r="L52" s="211"/>
      <c r="M52" s="200"/>
      <c r="N52" s="199"/>
      <c r="O52" s="211"/>
      <c r="P52" s="200"/>
      <c r="Q52" s="199"/>
      <c r="R52" s="211"/>
      <c r="S52" s="199"/>
      <c r="T52" s="187"/>
      <c r="V52" s="187"/>
      <c r="X52" s="187"/>
    </row>
    <row r="53" spans="1:26" ht="24" x14ac:dyDescent="0.2">
      <c r="A53" s="73"/>
      <c r="B53" s="96" t="s">
        <v>187</v>
      </c>
      <c r="C53" s="216"/>
      <c r="D53" s="197">
        <f t="shared" ref="D53:I53" si="36">SUM(D54:D57)</f>
        <v>0</v>
      </c>
      <c r="E53" s="197">
        <f t="shared" si="36"/>
        <v>0</v>
      </c>
      <c r="F53" s="210">
        <f t="shared" si="36"/>
        <v>0</v>
      </c>
      <c r="G53" s="197">
        <f t="shared" si="36"/>
        <v>0</v>
      </c>
      <c r="H53" s="197">
        <f t="shared" si="36"/>
        <v>0</v>
      </c>
      <c r="I53" s="210">
        <f t="shared" si="36"/>
        <v>0</v>
      </c>
      <c r="J53" s="197">
        <f t="shared" ref="J53:T53" si="37">SUM(J54:J57)</f>
        <v>4</v>
      </c>
      <c r="K53" s="197">
        <f t="shared" si="37"/>
        <v>5344</v>
      </c>
      <c r="L53" s="210">
        <f t="shared" si="37"/>
        <v>474023.95292800001</v>
      </c>
      <c r="M53" s="197">
        <f t="shared" si="37"/>
        <v>4</v>
      </c>
      <c r="N53" s="197">
        <f t="shared" si="37"/>
        <v>8096</v>
      </c>
      <c r="O53" s="210">
        <f t="shared" si="37"/>
        <v>718132.09635200002</v>
      </c>
      <c r="P53" s="197">
        <f t="shared" si="37"/>
        <v>4</v>
      </c>
      <c r="Q53" s="197">
        <f t="shared" si="37"/>
        <v>3424</v>
      </c>
      <c r="R53" s="210">
        <f t="shared" si="37"/>
        <v>303715.94588800002</v>
      </c>
      <c r="S53" s="197">
        <f t="shared" si="37"/>
        <v>16864</v>
      </c>
      <c r="T53" s="186">
        <f t="shared" si="37"/>
        <v>1495871.995168</v>
      </c>
      <c r="V53" s="186">
        <f t="shared" ref="V53:X53" si="38">SUM(V54:V57)</f>
        <v>0</v>
      </c>
      <c r="X53" s="186">
        <f t="shared" si="38"/>
        <v>1495871.995168</v>
      </c>
      <c r="Z53" s="264"/>
    </row>
    <row r="54" spans="1:26" x14ac:dyDescent="0.2">
      <c r="A54" s="73"/>
      <c r="B54" s="91" t="s">
        <v>188</v>
      </c>
      <c r="C54" s="217">
        <v>88.702087000000006</v>
      </c>
      <c r="D54" s="199">
        <v>0</v>
      </c>
      <c r="E54" s="199">
        <v>0</v>
      </c>
      <c r="F54" s="211">
        <f>$C54*E54</f>
        <v>0</v>
      </c>
      <c r="G54" s="199">
        <v>0</v>
      </c>
      <c r="H54" s="199">
        <v>0</v>
      </c>
      <c r="I54" s="211">
        <f>$C54*H54</f>
        <v>0</v>
      </c>
      <c r="J54" s="199">
        <v>1</v>
      </c>
      <c r="K54" s="199">
        <f t="shared" ref="K54:K57" si="39">1336*1</f>
        <v>1336</v>
      </c>
      <c r="L54" s="211">
        <f>$C54*K54</f>
        <v>118505.988232</v>
      </c>
      <c r="M54" s="199">
        <v>1</v>
      </c>
      <c r="N54" s="199">
        <v>2024</v>
      </c>
      <c r="O54" s="211">
        <f>$C54*N54</f>
        <v>179533.02408800001</v>
      </c>
      <c r="P54" s="199">
        <v>1</v>
      </c>
      <c r="Q54" s="199">
        <v>856</v>
      </c>
      <c r="R54" s="211">
        <f>$C54*Q54</f>
        <v>75928.986472000004</v>
      </c>
      <c r="S54" s="199">
        <f t="shared" ref="S54:S57" si="40">E54+H54+K54+N54+Q54</f>
        <v>4216</v>
      </c>
      <c r="T54" s="187">
        <f t="shared" ref="T54:T57" si="41">F54+I54+L54+O54+R54</f>
        <v>373967.998792</v>
      </c>
      <c r="V54" s="187">
        <v>0</v>
      </c>
      <c r="X54" s="187">
        <f t="shared" ref="X54:X57" si="42">T54-V54</f>
        <v>373967.998792</v>
      </c>
    </row>
    <row r="55" spans="1:26" x14ac:dyDescent="0.2">
      <c r="A55" s="73"/>
      <c r="B55" s="91" t="s">
        <v>189</v>
      </c>
      <c r="C55" s="217">
        <v>88.702087000000006</v>
      </c>
      <c r="D55" s="199">
        <v>0</v>
      </c>
      <c r="E55" s="199">
        <v>0</v>
      </c>
      <c r="F55" s="211">
        <f>$C55*E55</f>
        <v>0</v>
      </c>
      <c r="G55" s="199">
        <v>0</v>
      </c>
      <c r="H55" s="199">
        <v>0</v>
      </c>
      <c r="I55" s="211">
        <f>$C55*H55</f>
        <v>0</v>
      </c>
      <c r="J55" s="199">
        <v>1</v>
      </c>
      <c r="K55" s="199">
        <f t="shared" si="39"/>
        <v>1336</v>
      </c>
      <c r="L55" s="211">
        <f>$C55*K55</f>
        <v>118505.988232</v>
      </c>
      <c r="M55" s="199">
        <v>1</v>
      </c>
      <c r="N55" s="199">
        <v>2024</v>
      </c>
      <c r="O55" s="211">
        <f>$C55*N55</f>
        <v>179533.02408800001</v>
      </c>
      <c r="P55" s="199">
        <v>1</v>
      </c>
      <c r="Q55" s="199">
        <v>856</v>
      </c>
      <c r="R55" s="211">
        <f>$C55*Q55</f>
        <v>75928.986472000004</v>
      </c>
      <c r="S55" s="199">
        <f t="shared" si="40"/>
        <v>4216</v>
      </c>
      <c r="T55" s="187">
        <f t="shared" si="41"/>
        <v>373967.998792</v>
      </c>
      <c r="V55" s="187">
        <v>0</v>
      </c>
      <c r="X55" s="187">
        <f t="shared" si="42"/>
        <v>373967.998792</v>
      </c>
    </row>
    <row r="56" spans="1:26" ht="24" x14ac:dyDescent="0.2">
      <c r="A56" s="73"/>
      <c r="B56" s="91" t="s">
        <v>190</v>
      </c>
      <c r="C56" s="217">
        <v>88.702087000000006</v>
      </c>
      <c r="D56" s="199">
        <v>0</v>
      </c>
      <c r="E56" s="199">
        <v>0</v>
      </c>
      <c r="F56" s="211">
        <f>$C56*E56</f>
        <v>0</v>
      </c>
      <c r="G56" s="199">
        <v>0</v>
      </c>
      <c r="H56" s="199">
        <v>0</v>
      </c>
      <c r="I56" s="211">
        <f>$C56*H56</f>
        <v>0</v>
      </c>
      <c r="J56" s="199">
        <v>1</v>
      </c>
      <c r="K56" s="199">
        <f t="shared" si="39"/>
        <v>1336</v>
      </c>
      <c r="L56" s="211">
        <f>$C56*K56</f>
        <v>118505.988232</v>
      </c>
      <c r="M56" s="199">
        <v>1</v>
      </c>
      <c r="N56" s="199">
        <v>2024</v>
      </c>
      <c r="O56" s="211">
        <f>$C56*N56</f>
        <v>179533.02408800001</v>
      </c>
      <c r="P56" s="199">
        <v>1</v>
      </c>
      <c r="Q56" s="199">
        <v>856</v>
      </c>
      <c r="R56" s="211">
        <f>$C56*Q56</f>
        <v>75928.986472000004</v>
      </c>
      <c r="S56" s="199">
        <f t="shared" si="40"/>
        <v>4216</v>
      </c>
      <c r="T56" s="187">
        <f t="shared" si="41"/>
        <v>373967.998792</v>
      </c>
      <c r="V56" s="187">
        <v>0</v>
      </c>
      <c r="X56" s="187">
        <f t="shared" si="42"/>
        <v>373967.998792</v>
      </c>
    </row>
    <row r="57" spans="1:26" x14ac:dyDescent="0.2">
      <c r="A57" s="73"/>
      <c r="B57" s="91" t="s">
        <v>191</v>
      </c>
      <c r="C57" s="217">
        <v>88.702087000000006</v>
      </c>
      <c r="D57" s="199">
        <v>0</v>
      </c>
      <c r="E57" s="199">
        <v>0</v>
      </c>
      <c r="F57" s="211">
        <f>$C57*E57</f>
        <v>0</v>
      </c>
      <c r="G57" s="199">
        <v>0</v>
      </c>
      <c r="H57" s="199">
        <v>0</v>
      </c>
      <c r="I57" s="211">
        <f>$C57*H57</f>
        <v>0</v>
      </c>
      <c r="J57" s="199">
        <v>1</v>
      </c>
      <c r="K57" s="199">
        <f t="shared" si="39"/>
        <v>1336</v>
      </c>
      <c r="L57" s="211">
        <f>$C57*K57</f>
        <v>118505.988232</v>
      </c>
      <c r="M57" s="199">
        <v>1</v>
      </c>
      <c r="N57" s="199">
        <v>2024</v>
      </c>
      <c r="O57" s="211">
        <f>$C57*N57</f>
        <v>179533.02408800001</v>
      </c>
      <c r="P57" s="199">
        <v>1</v>
      </c>
      <c r="Q57" s="199">
        <v>856</v>
      </c>
      <c r="R57" s="211">
        <f>$C57*Q57</f>
        <v>75928.986472000004</v>
      </c>
      <c r="S57" s="199">
        <f t="shared" si="40"/>
        <v>4216</v>
      </c>
      <c r="T57" s="187">
        <f t="shared" si="41"/>
        <v>373967.998792</v>
      </c>
      <c r="V57" s="187">
        <v>0</v>
      </c>
      <c r="X57" s="187">
        <f t="shared" si="42"/>
        <v>373967.998792</v>
      </c>
    </row>
    <row r="58" spans="1:26" x14ac:dyDescent="0.2">
      <c r="A58" s="73"/>
      <c r="B58" s="91"/>
      <c r="C58" s="218"/>
      <c r="D58" s="201"/>
      <c r="E58" s="199"/>
      <c r="F58" s="211"/>
      <c r="G58" s="200"/>
      <c r="H58" s="199"/>
      <c r="I58" s="211"/>
      <c r="J58" s="200"/>
      <c r="K58" s="199"/>
      <c r="L58" s="211"/>
      <c r="M58" s="200"/>
      <c r="N58" s="199"/>
      <c r="O58" s="211"/>
      <c r="P58" s="200"/>
      <c r="Q58" s="199"/>
      <c r="R58" s="211"/>
      <c r="S58" s="199"/>
      <c r="T58" s="187"/>
      <c r="V58" s="187"/>
      <c r="X58" s="187"/>
    </row>
    <row r="59" spans="1:26" ht="24" x14ac:dyDescent="0.2">
      <c r="A59" s="73"/>
      <c r="B59" s="96" t="s">
        <v>92</v>
      </c>
      <c r="C59" s="216"/>
      <c r="D59" s="197">
        <f>SUM(D60:D61)</f>
        <v>0</v>
      </c>
      <c r="E59" s="197">
        <f>SUM(E60:E60)</f>
        <v>0</v>
      </c>
      <c r="F59" s="210">
        <f>SUM(F60:F60)</f>
        <v>0</v>
      </c>
      <c r="G59" s="197">
        <f>SUM(G60:G61)</f>
        <v>0</v>
      </c>
      <c r="H59" s="197">
        <f>SUM(H60:H60)</f>
        <v>0</v>
      </c>
      <c r="I59" s="210">
        <f>SUM(I60:I60)</f>
        <v>0</v>
      </c>
      <c r="J59" s="197">
        <f>SUM(J60:J61)</f>
        <v>1</v>
      </c>
      <c r="K59" s="197">
        <f>SUM(K60:K60)</f>
        <v>1336</v>
      </c>
      <c r="L59" s="210">
        <f>SUM(L60:L60)</f>
        <v>197728</v>
      </c>
      <c r="M59" s="197">
        <f>SUM(M60:M61)</f>
        <v>1</v>
      </c>
      <c r="N59" s="197">
        <f>SUM(N60:N60)</f>
        <v>2024</v>
      </c>
      <c r="O59" s="210">
        <f>SUM(O60:O60)</f>
        <v>299552</v>
      </c>
      <c r="P59" s="197">
        <f>SUM(P60:P61)</f>
        <v>1</v>
      </c>
      <c r="Q59" s="197">
        <f>SUM(Q60:Q60)</f>
        <v>856</v>
      </c>
      <c r="R59" s="210">
        <f>SUM(R60:R60)</f>
        <v>126688</v>
      </c>
      <c r="S59" s="197">
        <f>SUM(S60:S60)</f>
        <v>4216</v>
      </c>
      <c r="T59" s="186">
        <f>SUM(T60:T60)</f>
        <v>623968</v>
      </c>
      <c r="V59" s="186">
        <f>SUM(V60:V60)</f>
        <v>623968</v>
      </c>
      <c r="X59" s="186">
        <f>SUM(X60:X60)</f>
        <v>0</v>
      </c>
    </row>
    <row r="60" spans="1:26" x14ac:dyDescent="0.2">
      <c r="A60" s="73"/>
      <c r="B60" s="91" t="s">
        <v>87</v>
      </c>
      <c r="C60" s="217">
        <v>148</v>
      </c>
      <c r="D60" s="199">
        <v>0</v>
      </c>
      <c r="E60" s="199">
        <v>0</v>
      </c>
      <c r="F60" s="211">
        <f t="shared" ref="F60" si="43">$C60*E60</f>
        <v>0</v>
      </c>
      <c r="G60" s="199">
        <v>0</v>
      </c>
      <c r="H60" s="199">
        <v>0</v>
      </c>
      <c r="I60" s="211">
        <f t="shared" ref="I60" si="44">$C60*H60</f>
        <v>0</v>
      </c>
      <c r="J60" s="199">
        <v>1</v>
      </c>
      <c r="K60" s="199">
        <v>1336</v>
      </c>
      <c r="L60" s="211">
        <f t="shared" ref="L60" si="45">$C60*K60</f>
        <v>197728</v>
      </c>
      <c r="M60" s="199">
        <v>1</v>
      </c>
      <c r="N60" s="199">
        <v>2024</v>
      </c>
      <c r="O60" s="211">
        <f t="shared" ref="O60" si="46">$C60*N60</f>
        <v>299552</v>
      </c>
      <c r="P60" s="199">
        <v>1</v>
      </c>
      <c r="Q60" s="199">
        <v>856</v>
      </c>
      <c r="R60" s="211">
        <f t="shared" ref="R60" si="47">$C60*Q60</f>
        <v>126688</v>
      </c>
      <c r="S60" s="199">
        <f>E60+H60+K60+N60+Q60</f>
        <v>4216</v>
      </c>
      <c r="T60" s="187">
        <f>F60+I60+L60+O60+R60</f>
        <v>623968</v>
      </c>
      <c r="V60" s="187">
        <v>623968</v>
      </c>
      <c r="X60" s="187">
        <f t="shared" ref="X60" si="48">T60-V60</f>
        <v>0</v>
      </c>
    </row>
    <row r="61" spans="1:26" x14ac:dyDescent="0.2">
      <c r="A61" s="73"/>
      <c r="B61" s="91"/>
      <c r="C61" s="218"/>
      <c r="D61" s="201"/>
      <c r="E61" s="199"/>
      <c r="F61" s="211"/>
      <c r="G61" s="200"/>
      <c r="H61" s="199"/>
      <c r="I61" s="211"/>
      <c r="J61" s="200"/>
      <c r="K61" s="199"/>
      <c r="L61" s="211"/>
      <c r="M61" s="200"/>
      <c r="N61" s="199"/>
      <c r="O61" s="211"/>
      <c r="P61" s="200"/>
      <c r="Q61" s="199"/>
      <c r="R61" s="211"/>
      <c r="S61" s="199"/>
      <c r="T61" s="187"/>
      <c r="V61" s="187"/>
      <c r="X61" s="187"/>
    </row>
    <row r="62" spans="1:26" ht="24" x14ac:dyDescent="0.2">
      <c r="A62" s="73"/>
      <c r="B62" s="90" t="s">
        <v>93</v>
      </c>
      <c r="C62" s="212"/>
      <c r="D62" s="202">
        <f>D7+D59+D45+D41</f>
        <v>0</v>
      </c>
      <c r="E62" s="202">
        <f>E7+E59+E45+E41</f>
        <v>0</v>
      </c>
      <c r="F62" s="212">
        <f>F59+F7+F45+F41</f>
        <v>0</v>
      </c>
      <c r="G62" s="202">
        <f>G7+G59+G45+G41</f>
        <v>0</v>
      </c>
      <c r="H62" s="202">
        <f>H7+H59+H45+H41</f>
        <v>0</v>
      </c>
      <c r="I62" s="212">
        <f>I59+I7+I45+I41</f>
        <v>0</v>
      </c>
      <c r="J62" s="202">
        <f t="shared" ref="J62:T62" si="49">J7+J59+J45+J41+J53+J50</f>
        <v>177.71776368522796</v>
      </c>
      <c r="K62" s="202">
        <f t="shared" si="49"/>
        <v>260389.2</v>
      </c>
      <c r="L62" s="259">
        <f t="shared" si="49"/>
        <v>38220713.552928001</v>
      </c>
      <c r="M62" s="202">
        <f t="shared" si="49"/>
        <v>181.99249011857711</v>
      </c>
      <c r="N62" s="202">
        <f t="shared" si="49"/>
        <v>374424.8</v>
      </c>
      <c r="O62" s="259">
        <f t="shared" si="49"/>
        <v>54934794.496352002</v>
      </c>
      <c r="P62" s="202">
        <f t="shared" si="49"/>
        <v>205.92429906542054</v>
      </c>
      <c r="Q62" s="202">
        <f t="shared" si="49"/>
        <v>178839.2</v>
      </c>
      <c r="R62" s="259">
        <f t="shared" si="49"/>
        <v>26265165.545888003</v>
      </c>
      <c r="S62" s="202">
        <f t="shared" si="49"/>
        <v>813653.2</v>
      </c>
      <c r="T62" s="259">
        <f t="shared" si="49"/>
        <v>119420673.59516799</v>
      </c>
      <c r="V62" s="259">
        <f t="shared" ref="V62:X62" si="50">V7+V59+V45+V41+V53+V50</f>
        <v>119175401.59999999</v>
      </c>
      <c r="X62" s="259">
        <f t="shared" si="50"/>
        <v>245271.99516799999</v>
      </c>
    </row>
    <row r="63" spans="1:26" x14ac:dyDescent="0.2">
      <c r="A63" s="73"/>
      <c r="B63" s="241"/>
      <c r="C63" s="222"/>
      <c r="D63" s="204"/>
      <c r="E63" s="204"/>
      <c r="F63" s="222"/>
      <c r="G63" s="204"/>
      <c r="H63" s="242"/>
      <c r="I63" s="222"/>
      <c r="J63" s="204"/>
      <c r="K63" s="204"/>
      <c r="L63" s="222"/>
      <c r="M63" s="204"/>
      <c r="N63" s="204"/>
      <c r="O63" s="222"/>
      <c r="P63" s="204"/>
      <c r="Q63" s="204"/>
      <c r="R63" s="222"/>
      <c r="S63" s="204"/>
      <c r="T63" s="189"/>
      <c r="V63" s="189"/>
      <c r="X63" s="189"/>
    </row>
    <row r="64" spans="1:26" x14ac:dyDescent="0.2">
      <c r="A64" s="73"/>
      <c r="B64" s="79"/>
      <c r="C64" s="213"/>
      <c r="D64" s="196"/>
      <c r="E64" s="221"/>
      <c r="F64" s="213"/>
      <c r="G64" s="221"/>
      <c r="H64" s="221"/>
      <c r="I64" s="213"/>
      <c r="J64" s="196"/>
      <c r="K64" s="196"/>
      <c r="L64" s="196"/>
      <c r="M64" s="196"/>
      <c r="N64" s="196"/>
      <c r="O64" s="196"/>
      <c r="P64" s="196"/>
      <c r="Q64" s="196"/>
      <c r="R64" s="196"/>
      <c r="S64" s="196"/>
      <c r="T64" s="196"/>
      <c r="V64" s="196"/>
      <c r="X64" s="196"/>
    </row>
    <row r="65" spans="1:24" x14ac:dyDescent="0.2">
      <c r="A65" s="73"/>
      <c r="B65" s="82" t="s">
        <v>23</v>
      </c>
      <c r="C65" s="214"/>
      <c r="D65" s="139"/>
      <c r="E65" s="139"/>
      <c r="F65" s="214"/>
      <c r="G65" s="139"/>
      <c r="H65" s="139"/>
      <c r="I65" s="214"/>
      <c r="J65" s="139"/>
      <c r="K65" s="204"/>
      <c r="L65" s="222"/>
      <c r="M65" s="204"/>
      <c r="N65" s="139"/>
      <c r="O65" s="214"/>
      <c r="P65" s="139"/>
      <c r="Q65" s="139"/>
      <c r="R65" s="214"/>
      <c r="S65" s="139"/>
      <c r="T65" s="189"/>
      <c r="V65" s="189"/>
      <c r="X65" s="189"/>
    </row>
    <row r="66" spans="1:24" ht="30.75" customHeight="1" x14ac:dyDescent="0.2">
      <c r="A66" s="85"/>
      <c r="B66" s="281" t="s">
        <v>94</v>
      </c>
      <c r="C66" s="281"/>
      <c r="D66" s="281"/>
      <c r="E66" s="281"/>
      <c r="F66" s="281"/>
      <c r="G66" s="281"/>
      <c r="H66" s="281"/>
      <c r="I66" s="281"/>
      <c r="J66" s="138"/>
      <c r="K66" s="190"/>
      <c r="L66" s="86"/>
      <c r="M66" s="190"/>
      <c r="N66" s="139"/>
      <c r="O66" s="214"/>
      <c r="P66" s="139"/>
      <c r="Q66" s="139"/>
      <c r="R66" s="214"/>
      <c r="S66" s="189"/>
      <c r="T66" s="189"/>
      <c r="V66" s="189"/>
      <c r="X66" s="189"/>
    </row>
    <row r="67" spans="1:24" ht="15" customHeight="1" x14ac:dyDescent="0.25">
      <c r="A67" s="85"/>
      <c r="B67" s="281" t="s">
        <v>53</v>
      </c>
      <c r="C67" s="281"/>
      <c r="D67" s="281"/>
      <c r="E67" s="281"/>
      <c r="F67" s="281"/>
      <c r="G67" s="281"/>
      <c r="H67" s="281"/>
      <c r="I67" s="281"/>
      <c r="J67" s="138"/>
      <c r="K67" s="235"/>
      <c r="L67" s="214"/>
      <c r="M67" s="139"/>
      <c r="N67" s="139"/>
      <c r="O67" s="214"/>
      <c r="P67" s="139"/>
      <c r="Q67" s="139"/>
      <c r="R67" s="214"/>
      <c r="S67" s="207"/>
      <c r="T67" s="191"/>
      <c r="V67" s="191"/>
      <c r="X67" s="191"/>
    </row>
    <row r="68" spans="1:24" ht="40.5" customHeight="1" x14ac:dyDescent="0.2">
      <c r="A68" s="85"/>
      <c r="B68" s="281" t="s">
        <v>95</v>
      </c>
      <c r="C68" s="281"/>
      <c r="D68" s="281"/>
      <c r="E68" s="281"/>
      <c r="F68" s="281"/>
      <c r="G68" s="281"/>
      <c r="H68" s="281"/>
      <c r="I68" s="281"/>
      <c r="J68" s="139"/>
      <c r="K68" s="237"/>
      <c r="L68" s="214"/>
      <c r="M68" s="139"/>
      <c r="N68" s="139"/>
      <c r="O68" s="214"/>
      <c r="P68" s="139"/>
      <c r="Q68" s="139"/>
      <c r="R68" s="214"/>
      <c r="S68" s="139"/>
      <c r="T68" s="189"/>
      <c r="V68" s="189"/>
      <c r="X68" s="189"/>
    </row>
    <row r="69" spans="1:24" ht="90.75" customHeight="1" x14ac:dyDescent="0.2">
      <c r="A69" s="85"/>
      <c r="B69" s="281" t="s">
        <v>96</v>
      </c>
      <c r="C69" s="281"/>
      <c r="D69" s="281"/>
      <c r="E69" s="281"/>
      <c r="F69" s="281"/>
      <c r="G69" s="281"/>
      <c r="H69" s="281"/>
      <c r="I69" s="281"/>
      <c r="J69" s="139"/>
      <c r="K69" s="236"/>
      <c r="L69" s="214"/>
      <c r="M69" s="139"/>
      <c r="N69" s="139"/>
      <c r="O69" s="214"/>
      <c r="P69" s="139"/>
      <c r="Q69" s="139"/>
      <c r="R69" s="214"/>
      <c r="S69" s="139"/>
      <c r="T69" s="189"/>
      <c r="V69" s="189"/>
      <c r="X69" s="189"/>
    </row>
    <row r="70" spans="1:24" ht="18" customHeight="1" x14ac:dyDescent="0.2">
      <c r="A70" s="85"/>
      <c r="B70" s="281" t="s">
        <v>195</v>
      </c>
      <c r="C70" s="281"/>
      <c r="D70" s="281"/>
      <c r="E70" s="281"/>
      <c r="F70" s="281"/>
      <c r="G70" s="281"/>
      <c r="H70" s="281"/>
      <c r="I70" s="281"/>
      <c r="J70" s="139"/>
      <c r="K70" s="236"/>
      <c r="L70" s="223"/>
      <c r="M70" s="206"/>
      <c r="N70" s="139"/>
      <c r="O70" s="214"/>
      <c r="P70" s="139"/>
      <c r="Q70" s="139"/>
      <c r="R70" s="214"/>
      <c r="T70" s="189"/>
      <c r="V70" s="189"/>
      <c r="X70" s="189"/>
    </row>
    <row r="71" spans="1:24" ht="15" x14ac:dyDescent="0.2">
      <c r="K71" s="236"/>
      <c r="T71" s="189"/>
      <c r="V71" s="189"/>
      <c r="X71" s="189"/>
    </row>
    <row r="72" spans="1:24" x14ac:dyDescent="0.2">
      <c r="T72" s="189"/>
      <c r="V72" s="189"/>
      <c r="X72" s="189"/>
    </row>
    <row r="74" spans="1:24" x14ac:dyDescent="0.2">
      <c r="S74" s="139"/>
      <c r="T74" s="189"/>
      <c r="V74" s="189"/>
      <c r="X74" s="189"/>
    </row>
    <row r="75" spans="1:24" x14ac:dyDescent="0.2">
      <c r="T75" s="189"/>
      <c r="V75" s="189"/>
      <c r="X75" s="189"/>
    </row>
    <row r="76" spans="1:24" x14ac:dyDescent="0.2">
      <c r="T76" s="191"/>
      <c r="V76" s="191"/>
      <c r="X76" s="191"/>
    </row>
    <row r="78" spans="1:24" x14ac:dyDescent="0.2">
      <c r="F78" s="220"/>
      <c r="G78" s="207"/>
      <c r="H78" s="207"/>
    </row>
  </sheetData>
  <mergeCells count="12">
    <mergeCell ref="B1:T1"/>
    <mergeCell ref="B2:T2"/>
    <mergeCell ref="D5:F5"/>
    <mergeCell ref="G5:I5"/>
    <mergeCell ref="J5:L5"/>
    <mergeCell ref="M5:O5"/>
    <mergeCell ref="P5:R5"/>
    <mergeCell ref="B66:I66"/>
    <mergeCell ref="B67:I67"/>
    <mergeCell ref="B68:I68"/>
    <mergeCell ref="B69:I69"/>
    <mergeCell ref="B70:I7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zoomScale="110" zoomScaleNormal="110" workbookViewId="0">
      <pane xSplit="2" ySplit="6" topLeftCell="I47" activePane="bottomRight" state="frozenSplit"/>
      <selection pane="topRight" activeCell="E1" sqref="E1"/>
      <selection pane="bottomLeft" activeCell="A7" sqref="A7"/>
      <selection pane="bottomRight" activeCell="I65" sqref="I65"/>
    </sheetView>
  </sheetViews>
  <sheetFormatPr defaultColWidth="9.140625" defaultRowHeight="12" x14ac:dyDescent="0.2"/>
  <cols>
    <col min="1" max="1" width="9.140625" style="61"/>
    <col min="2" max="2" width="36.140625" style="61" customWidth="1"/>
    <col min="3" max="3" width="14.140625" style="215" customWidth="1"/>
    <col min="4" max="4" width="14.140625" style="205" customWidth="1"/>
    <col min="5" max="5" width="15.5703125" style="205" customWidth="1"/>
    <col min="6" max="6" width="15.5703125" style="215" customWidth="1"/>
    <col min="7" max="8" width="15.5703125" style="205" customWidth="1"/>
    <col min="9" max="9" width="15.5703125" style="215" customWidth="1"/>
    <col min="10" max="11" width="15.5703125" style="205" customWidth="1"/>
    <col min="12" max="12" width="15.5703125" style="215" customWidth="1"/>
    <col min="13" max="14" width="15.5703125" style="205" customWidth="1"/>
    <col min="15" max="15" width="15.5703125" style="215" customWidth="1"/>
    <col min="16" max="17" width="15.5703125" style="205" customWidth="1"/>
    <col min="18" max="18" width="15.5703125" style="215" customWidth="1"/>
    <col min="19" max="19" width="15.5703125" style="205" customWidth="1"/>
    <col min="20" max="20" width="15.5703125" style="87" customWidth="1"/>
    <col min="21" max="16384" width="9.140625" style="61"/>
  </cols>
  <sheetData>
    <row r="1" spans="1:20" ht="15.75" x14ac:dyDescent="0.25">
      <c r="A1" s="73"/>
      <c r="B1" s="277" t="s">
        <v>54</v>
      </c>
      <c r="C1" s="277"/>
      <c r="D1" s="277"/>
      <c r="E1" s="277"/>
      <c r="F1" s="277"/>
      <c r="G1" s="277"/>
      <c r="H1" s="277"/>
      <c r="I1" s="277"/>
      <c r="J1" s="277"/>
      <c r="K1" s="277"/>
      <c r="L1" s="277"/>
      <c r="M1" s="277"/>
      <c r="N1" s="277"/>
      <c r="O1" s="277"/>
      <c r="P1" s="277"/>
      <c r="Q1" s="277"/>
      <c r="R1" s="277"/>
      <c r="S1" s="277"/>
      <c r="T1" s="277"/>
    </row>
    <row r="2" spans="1:20" ht="15.75" x14ac:dyDescent="0.25">
      <c r="A2" s="73"/>
      <c r="B2" s="277" t="s">
        <v>55</v>
      </c>
      <c r="C2" s="277"/>
      <c r="D2" s="277"/>
      <c r="E2" s="277"/>
      <c r="F2" s="277"/>
      <c r="G2" s="277"/>
      <c r="H2" s="277"/>
      <c r="I2" s="277"/>
      <c r="J2" s="277"/>
      <c r="K2" s="277"/>
      <c r="L2" s="277"/>
      <c r="M2" s="277"/>
      <c r="N2" s="277"/>
      <c r="O2" s="277"/>
      <c r="P2" s="277"/>
      <c r="Q2" s="277"/>
      <c r="R2" s="277"/>
      <c r="S2" s="277"/>
      <c r="T2" s="277"/>
    </row>
    <row r="3" spans="1:20" x14ac:dyDescent="0.2">
      <c r="A3" s="73"/>
      <c r="B3" s="74"/>
      <c r="C3" s="208"/>
      <c r="D3" s="194"/>
      <c r="E3" s="194"/>
      <c r="F3" s="208"/>
      <c r="G3" s="194"/>
      <c r="H3" s="194"/>
      <c r="I3" s="208"/>
      <c r="J3" s="194"/>
      <c r="K3" s="195"/>
      <c r="L3" s="208"/>
      <c r="M3" s="194"/>
      <c r="N3" s="194"/>
      <c r="O3" s="208"/>
      <c r="P3" s="194"/>
      <c r="Q3" s="194"/>
      <c r="R3" s="208"/>
      <c r="S3" s="194"/>
      <c r="T3" s="83"/>
    </row>
    <row r="4" spans="1:20" x14ac:dyDescent="0.2">
      <c r="A4" s="73"/>
      <c r="B4" s="74"/>
      <c r="C4" s="208"/>
      <c r="D4" s="194"/>
      <c r="E4" s="194"/>
      <c r="F4" s="208"/>
      <c r="G4" s="194"/>
      <c r="H4" s="194"/>
      <c r="I4" s="208"/>
      <c r="J4" s="194"/>
      <c r="K4" s="195"/>
      <c r="L4" s="213"/>
      <c r="M4" s="196"/>
      <c r="N4" s="194"/>
      <c r="O4" s="213"/>
      <c r="P4" s="196"/>
      <c r="Q4" s="194"/>
      <c r="R4" s="213"/>
      <c r="S4" s="194"/>
      <c r="T4" s="83"/>
    </row>
    <row r="5" spans="1:20" ht="12.75" customHeight="1" x14ac:dyDescent="0.2">
      <c r="A5" s="73"/>
      <c r="B5" s="88" t="s">
        <v>12</v>
      </c>
      <c r="C5" s="193"/>
      <c r="D5" s="282" t="s">
        <v>3</v>
      </c>
      <c r="E5" s="283"/>
      <c r="F5" s="284"/>
      <c r="G5" s="278" t="s">
        <v>4</v>
      </c>
      <c r="H5" s="279"/>
      <c r="I5" s="280"/>
      <c r="J5" s="282" t="s">
        <v>5</v>
      </c>
      <c r="K5" s="283"/>
      <c r="L5" s="284"/>
      <c r="M5" s="278" t="s">
        <v>6</v>
      </c>
      <c r="N5" s="279"/>
      <c r="O5" s="280"/>
      <c r="P5" s="282" t="s">
        <v>7</v>
      </c>
      <c r="Q5" s="283"/>
      <c r="R5" s="284"/>
      <c r="S5" s="192" t="s">
        <v>41</v>
      </c>
      <c r="T5" s="89" t="s">
        <v>8</v>
      </c>
    </row>
    <row r="6" spans="1:20" ht="24" x14ac:dyDescent="0.2">
      <c r="A6" s="73"/>
      <c r="B6" s="90" t="s">
        <v>57</v>
      </c>
      <c r="C6" s="209" t="s">
        <v>46</v>
      </c>
      <c r="D6" s="141" t="s">
        <v>45</v>
      </c>
      <c r="E6" s="141" t="s">
        <v>47</v>
      </c>
      <c r="F6" s="141" t="s">
        <v>48</v>
      </c>
      <c r="G6" s="141" t="s">
        <v>45</v>
      </c>
      <c r="H6" s="141" t="s">
        <v>47</v>
      </c>
      <c r="I6" s="141" t="s">
        <v>48</v>
      </c>
      <c r="J6" s="141" t="s">
        <v>45</v>
      </c>
      <c r="K6" s="141" t="s">
        <v>47</v>
      </c>
      <c r="L6" s="141" t="s">
        <v>48</v>
      </c>
      <c r="M6" s="141" t="s">
        <v>45</v>
      </c>
      <c r="N6" s="141" t="s">
        <v>47</v>
      </c>
      <c r="O6" s="141" t="s">
        <v>48</v>
      </c>
      <c r="P6" s="141" t="s">
        <v>45</v>
      </c>
      <c r="Q6" s="141" t="s">
        <v>47</v>
      </c>
      <c r="R6" s="141" t="s">
        <v>48</v>
      </c>
      <c r="S6" s="141"/>
      <c r="T6" s="184"/>
    </row>
    <row r="7" spans="1:20" x14ac:dyDescent="0.2">
      <c r="A7" s="73"/>
      <c r="B7" s="96" t="s">
        <v>58</v>
      </c>
      <c r="C7" s="219"/>
      <c r="D7" s="197">
        <f t="shared" ref="D7:T7" si="0">SUM(D8:D40)</f>
        <v>0</v>
      </c>
      <c r="E7" s="197">
        <f t="shared" si="0"/>
        <v>0</v>
      </c>
      <c r="F7" s="210">
        <f t="shared" si="0"/>
        <v>0</v>
      </c>
      <c r="G7" s="197">
        <f t="shared" si="0"/>
        <v>0</v>
      </c>
      <c r="H7" s="197">
        <f t="shared" si="0"/>
        <v>0</v>
      </c>
      <c r="I7" s="210">
        <f t="shared" si="0"/>
        <v>0</v>
      </c>
      <c r="J7" s="197">
        <f t="shared" si="0"/>
        <v>150.58529338959877</v>
      </c>
      <c r="K7" s="197">
        <f t="shared" si="0"/>
        <v>223208.2</v>
      </c>
      <c r="L7" s="210">
        <f t="shared" si="0"/>
        <v>33034813.600000001</v>
      </c>
      <c r="M7" s="197">
        <f t="shared" si="0"/>
        <v>171.4455533596838</v>
      </c>
      <c r="N7" s="197">
        <f t="shared" si="0"/>
        <v>353077.8</v>
      </c>
      <c r="O7" s="210">
        <f t="shared" si="0"/>
        <v>52255514.399999999</v>
      </c>
      <c r="P7" s="197">
        <f t="shared" si="0"/>
        <v>173.24439252336447</v>
      </c>
      <c r="Q7" s="197">
        <f t="shared" si="0"/>
        <v>150865.20000000001</v>
      </c>
      <c r="R7" s="210">
        <f t="shared" si="0"/>
        <v>22328049.600000001</v>
      </c>
      <c r="S7" s="197">
        <f t="shared" si="0"/>
        <v>727151.2</v>
      </c>
      <c r="T7" s="186">
        <f t="shared" si="0"/>
        <v>107618377.59999999</v>
      </c>
    </row>
    <row r="8" spans="1:20" s="177" customFormat="1" x14ac:dyDescent="0.2">
      <c r="A8" s="73"/>
      <c r="B8" s="91" t="s">
        <v>59</v>
      </c>
      <c r="C8" s="217">
        <v>148</v>
      </c>
      <c r="D8" s="199">
        <v>0</v>
      </c>
      <c r="E8" s="199">
        <v>0</v>
      </c>
      <c r="F8" s="211">
        <f>$C8*E8</f>
        <v>0</v>
      </c>
      <c r="G8" s="199">
        <v>0</v>
      </c>
      <c r="H8" s="199">
        <v>0</v>
      </c>
      <c r="I8" s="211">
        <f t="shared" ref="I8:L29" si="1">$C8*H8</f>
        <v>0</v>
      </c>
      <c r="J8" s="199">
        <f>K8/1336</f>
        <v>5</v>
      </c>
      <c r="K8" s="199">
        <v>6680</v>
      </c>
      <c r="L8" s="211">
        <f>$C8*K8</f>
        <v>988640</v>
      </c>
      <c r="M8" s="199">
        <f t="shared" ref="M8:M17" si="2">N8/2024</f>
        <v>5</v>
      </c>
      <c r="N8" s="199">
        <v>10120</v>
      </c>
      <c r="O8" s="211">
        <f>$C8*N8</f>
        <v>1497760</v>
      </c>
      <c r="P8" s="199">
        <f t="shared" ref="P8:P35" si="3">Q8/856</f>
        <v>5</v>
      </c>
      <c r="Q8" s="199">
        <v>4280</v>
      </c>
      <c r="R8" s="211">
        <f>$C8*Q8</f>
        <v>633440</v>
      </c>
      <c r="S8" s="199">
        <f>E8+H8+K8+N8+Q8</f>
        <v>21080</v>
      </c>
      <c r="T8" s="187">
        <f>F8+I8+L8+O8+R8</f>
        <v>3119840</v>
      </c>
    </row>
    <row r="9" spans="1:20" s="177" customFormat="1" x14ac:dyDescent="0.2">
      <c r="A9" s="73"/>
      <c r="B9" s="91" t="s">
        <v>60</v>
      </c>
      <c r="C9" s="217">
        <v>148</v>
      </c>
      <c r="D9" s="199">
        <v>0</v>
      </c>
      <c r="E9" s="199">
        <v>0</v>
      </c>
      <c r="F9" s="211">
        <f t="shared" ref="F9:F39" si="4">$C9*E9</f>
        <v>0</v>
      </c>
      <c r="G9" s="199">
        <v>0</v>
      </c>
      <c r="H9" s="199">
        <v>0</v>
      </c>
      <c r="I9" s="211">
        <f t="shared" si="1"/>
        <v>0</v>
      </c>
      <c r="J9" s="199">
        <f>K9/1336</f>
        <v>1</v>
      </c>
      <c r="K9" s="199">
        <v>1336</v>
      </c>
      <c r="L9" s="211">
        <f t="shared" si="1"/>
        <v>197728</v>
      </c>
      <c r="M9" s="199">
        <f t="shared" si="2"/>
        <v>1</v>
      </c>
      <c r="N9" s="199">
        <v>2024</v>
      </c>
      <c r="O9" s="211">
        <f t="shared" ref="O9" si="5">$C9*N9</f>
        <v>299552</v>
      </c>
      <c r="P9" s="199">
        <f t="shared" si="3"/>
        <v>1</v>
      </c>
      <c r="Q9" s="199">
        <v>856</v>
      </c>
      <c r="R9" s="211">
        <f t="shared" ref="R9" si="6">$C9*Q9</f>
        <v>126688</v>
      </c>
      <c r="S9" s="199">
        <f t="shared" ref="S9:S29" si="7">E9+H9+K9+N9+Q9</f>
        <v>4216</v>
      </c>
      <c r="T9" s="187">
        <f t="shared" ref="T9:T29" si="8">F9+I9+L9+O9+R9</f>
        <v>623968</v>
      </c>
    </row>
    <row r="10" spans="1:20" s="177" customFormat="1" x14ac:dyDescent="0.2">
      <c r="A10" s="73"/>
      <c r="B10" s="91" t="s">
        <v>61</v>
      </c>
      <c r="C10" s="217">
        <v>148</v>
      </c>
      <c r="D10" s="199">
        <v>0</v>
      </c>
      <c r="E10" s="199">
        <v>0</v>
      </c>
      <c r="F10" s="211">
        <f t="shared" si="4"/>
        <v>0</v>
      </c>
      <c r="G10" s="199">
        <v>0</v>
      </c>
      <c r="H10" s="199">
        <v>0</v>
      </c>
      <c r="I10" s="211">
        <f t="shared" si="1"/>
        <v>0</v>
      </c>
      <c r="J10" s="199">
        <f>K10/1336</f>
        <v>5</v>
      </c>
      <c r="K10" s="199">
        <v>6680</v>
      </c>
      <c r="L10" s="211">
        <f t="shared" si="1"/>
        <v>988640</v>
      </c>
      <c r="M10" s="199">
        <f t="shared" si="2"/>
        <v>5</v>
      </c>
      <c r="N10" s="199">
        <v>10120</v>
      </c>
      <c r="O10" s="211">
        <f t="shared" ref="O10" si="9">$C10*N10</f>
        <v>1497760</v>
      </c>
      <c r="P10" s="199">
        <f t="shared" si="3"/>
        <v>5</v>
      </c>
      <c r="Q10" s="199">
        <v>4280</v>
      </c>
      <c r="R10" s="211">
        <f t="shared" ref="R10" si="10">$C10*Q10</f>
        <v>633440</v>
      </c>
      <c r="S10" s="199">
        <f t="shared" si="7"/>
        <v>21080</v>
      </c>
      <c r="T10" s="187">
        <f t="shared" si="8"/>
        <v>3119840</v>
      </c>
    </row>
    <row r="11" spans="1:20" s="177" customFormat="1" x14ac:dyDescent="0.2">
      <c r="A11" s="73"/>
      <c r="B11" s="91" t="s">
        <v>62</v>
      </c>
      <c r="C11" s="217">
        <v>148</v>
      </c>
      <c r="D11" s="199">
        <v>0</v>
      </c>
      <c r="E11" s="199">
        <v>0</v>
      </c>
      <c r="F11" s="211">
        <f t="shared" si="4"/>
        <v>0</v>
      </c>
      <c r="G11" s="199">
        <v>0</v>
      </c>
      <c r="H11" s="199">
        <v>0</v>
      </c>
      <c r="I11" s="211">
        <f t="shared" si="1"/>
        <v>0</v>
      </c>
      <c r="J11" s="199">
        <f>K11/1336</f>
        <v>3</v>
      </c>
      <c r="K11" s="199">
        <v>4008</v>
      </c>
      <c r="L11" s="211">
        <f t="shared" si="1"/>
        <v>593184</v>
      </c>
      <c r="M11" s="199">
        <f t="shared" si="2"/>
        <v>3</v>
      </c>
      <c r="N11" s="199">
        <v>6072</v>
      </c>
      <c r="O11" s="211">
        <f t="shared" ref="O11" si="11">$C11*N11</f>
        <v>898656</v>
      </c>
      <c r="P11" s="199">
        <f t="shared" si="3"/>
        <v>3</v>
      </c>
      <c r="Q11" s="199">
        <v>2568</v>
      </c>
      <c r="R11" s="211">
        <f t="shared" ref="R11" si="12">$C11*Q11</f>
        <v>380064</v>
      </c>
      <c r="S11" s="199">
        <f t="shared" si="7"/>
        <v>12648</v>
      </c>
      <c r="T11" s="187">
        <f t="shared" si="8"/>
        <v>1871904</v>
      </c>
    </row>
    <row r="12" spans="1:20" s="177" customFormat="1" x14ac:dyDescent="0.2">
      <c r="A12" s="73"/>
      <c r="B12" s="91" t="s">
        <v>63</v>
      </c>
      <c r="C12" s="217">
        <v>148</v>
      </c>
      <c r="D12" s="199">
        <v>0</v>
      </c>
      <c r="E12" s="199">
        <v>0</v>
      </c>
      <c r="F12" s="211">
        <f t="shared" si="4"/>
        <v>0</v>
      </c>
      <c r="G12" s="199">
        <v>0</v>
      </c>
      <c r="H12" s="199">
        <v>0</v>
      </c>
      <c r="I12" s="211">
        <f t="shared" si="1"/>
        <v>0</v>
      </c>
      <c r="J12" s="199">
        <v>4</v>
      </c>
      <c r="K12" s="199">
        <v>9352</v>
      </c>
      <c r="L12" s="211">
        <f t="shared" si="1"/>
        <v>1384096</v>
      </c>
      <c r="M12" s="199">
        <v>4</v>
      </c>
      <c r="N12" s="199">
        <v>14168</v>
      </c>
      <c r="O12" s="211">
        <f t="shared" ref="O12" si="13">$C12*N12</f>
        <v>2096864</v>
      </c>
      <c r="P12" s="199">
        <v>4</v>
      </c>
      <c r="Q12" s="199">
        <v>5992</v>
      </c>
      <c r="R12" s="211">
        <f t="shared" ref="R12" si="14">$C12*Q12</f>
        <v>886816</v>
      </c>
      <c r="S12" s="199">
        <f t="shared" si="7"/>
        <v>29512</v>
      </c>
      <c r="T12" s="187">
        <f t="shared" si="8"/>
        <v>4367776</v>
      </c>
    </row>
    <row r="13" spans="1:20" s="177" customFormat="1" x14ac:dyDescent="0.2">
      <c r="A13" s="73"/>
      <c r="B13" s="91" t="s">
        <v>64</v>
      </c>
      <c r="C13" s="217">
        <v>148</v>
      </c>
      <c r="D13" s="199">
        <v>0</v>
      </c>
      <c r="E13" s="199">
        <v>0</v>
      </c>
      <c r="F13" s="211">
        <f t="shared" si="4"/>
        <v>0</v>
      </c>
      <c r="G13" s="199">
        <v>0</v>
      </c>
      <c r="H13" s="199">
        <v>0</v>
      </c>
      <c r="I13" s="211">
        <f t="shared" si="1"/>
        <v>0</v>
      </c>
      <c r="J13" s="199">
        <f>K13/1336</f>
        <v>3</v>
      </c>
      <c r="K13" s="199">
        <v>4008</v>
      </c>
      <c r="L13" s="211">
        <f t="shared" si="1"/>
        <v>593184</v>
      </c>
      <c r="M13" s="199">
        <f t="shared" si="2"/>
        <v>3</v>
      </c>
      <c r="N13" s="199">
        <v>6072</v>
      </c>
      <c r="O13" s="211">
        <f t="shared" ref="O13" si="15">$C13*N13</f>
        <v>898656</v>
      </c>
      <c r="P13" s="199">
        <f t="shared" si="3"/>
        <v>3</v>
      </c>
      <c r="Q13" s="199">
        <v>2568</v>
      </c>
      <c r="R13" s="211">
        <f t="shared" ref="R13" si="16">$C13*Q13</f>
        <v>380064</v>
      </c>
      <c r="S13" s="199">
        <f t="shared" si="7"/>
        <v>12648</v>
      </c>
      <c r="T13" s="187">
        <f t="shared" si="8"/>
        <v>1871904</v>
      </c>
    </row>
    <row r="14" spans="1:20" s="177" customFormat="1" x14ac:dyDescent="0.2">
      <c r="A14" s="73"/>
      <c r="B14" s="91" t="s">
        <v>65</v>
      </c>
      <c r="C14" s="217">
        <v>148</v>
      </c>
      <c r="D14" s="199">
        <v>0</v>
      </c>
      <c r="E14" s="199">
        <v>0</v>
      </c>
      <c r="F14" s="211">
        <f t="shared" si="4"/>
        <v>0</v>
      </c>
      <c r="G14" s="199">
        <v>0</v>
      </c>
      <c r="H14" s="199">
        <v>0</v>
      </c>
      <c r="I14" s="211">
        <f t="shared" si="1"/>
        <v>0</v>
      </c>
      <c r="J14" s="199">
        <f>K14/1336</f>
        <v>1</v>
      </c>
      <c r="K14" s="199">
        <v>1336</v>
      </c>
      <c r="L14" s="211">
        <f t="shared" si="1"/>
        <v>197728</v>
      </c>
      <c r="M14" s="199">
        <f t="shared" si="2"/>
        <v>1</v>
      </c>
      <c r="N14" s="199">
        <v>2024</v>
      </c>
      <c r="O14" s="211">
        <f t="shared" ref="O14" si="17">$C14*N14</f>
        <v>299552</v>
      </c>
      <c r="P14" s="199">
        <f t="shared" si="3"/>
        <v>1</v>
      </c>
      <c r="Q14" s="199">
        <v>856</v>
      </c>
      <c r="R14" s="211">
        <f t="shared" ref="R14" si="18">$C14*Q14</f>
        <v>126688</v>
      </c>
      <c r="S14" s="199">
        <f t="shared" si="7"/>
        <v>4216</v>
      </c>
      <c r="T14" s="187">
        <f t="shared" si="8"/>
        <v>623968</v>
      </c>
    </row>
    <row r="15" spans="1:20" s="177" customFormat="1" x14ac:dyDescent="0.2">
      <c r="A15" s="73"/>
      <c r="B15" s="91" t="s">
        <v>66</v>
      </c>
      <c r="C15" s="217">
        <v>148</v>
      </c>
      <c r="D15" s="199">
        <v>0</v>
      </c>
      <c r="E15" s="199">
        <v>0</v>
      </c>
      <c r="F15" s="211">
        <f t="shared" si="4"/>
        <v>0</v>
      </c>
      <c r="G15" s="199">
        <v>0</v>
      </c>
      <c r="H15" s="199">
        <v>0</v>
      </c>
      <c r="I15" s="211">
        <f t="shared" si="1"/>
        <v>0</v>
      </c>
      <c r="J15" s="199">
        <f>K15/1336</f>
        <v>9</v>
      </c>
      <c r="K15" s="199">
        <v>12024</v>
      </c>
      <c r="L15" s="211">
        <f t="shared" si="1"/>
        <v>1779552</v>
      </c>
      <c r="M15" s="199">
        <f t="shared" si="2"/>
        <v>9</v>
      </c>
      <c r="N15" s="199">
        <v>18216</v>
      </c>
      <c r="O15" s="211">
        <f t="shared" ref="O15" si="19">$C15*N15</f>
        <v>2695968</v>
      </c>
      <c r="P15" s="199">
        <f t="shared" si="3"/>
        <v>9</v>
      </c>
      <c r="Q15" s="199">
        <v>7704</v>
      </c>
      <c r="R15" s="211">
        <f t="shared" ref="R15" si="20">$C15*Q15</f>
        <v>1140192</v>
      </c>
      <c r="S15" s="199">
        <f t="shared" si="7"/>
        <v>37944</v>
      </c>
      <c r="T15" s="187">
        <f t="shared" si="8"/>
        <v>5615712</v>
      </c>
    </row>
    <row r="16" spans="1:20" s="177" customFormat="1" x14ac:dyDescent="0.2">
      <c r="A16" s="73"/>
      <c r="B16" s="91" t="s">
        <v>67</v>
      </c>
      <c r="C16" s="217">
        <v>148</v>
      </c>
      <c r="D16" s="199">
        <v>0</v>
      </c>
      <c r="E16" s="199">
        <v>0</v>
      </c>
      <c r="F16" s="211">
        <f t="shared" si="4"/>
        <v>0</v>
      </c>
      <c r="G16" s="199">
        <v>0</v>
      </c>
      <c r="H16" s="199">
        <v>0</v>
      </c>
      <c r="I16" s="211">
        <f t="shared" si="1"/>
        <v>0</v>
      </c>
      <c r="J16" s="199">
        <v>5</v>
      </c>
      <c r="K16" s="199">
        <v>6680</v>
      </c>
      <c r="L16" s="211">
        <f t="shared" si="1"/>
        <v>988640</v>
      </c>
      <c r="M16" s="199">
        <v>5</v>
      </c>
      <c r="N16" s="199">
        <v>10120</v>
      </c>
      <c r="O16" s="211">
        <f t="shared" ref="O16" si="21">$C16*N16</f>
        <v>1497760</v>
      </c>
      <c r="P16" s="199">
        <v>5</v>
      </c>
      <c r="Q16" s="199">
        <v>4280</v>
      </c>
      <c r="R16" s="211">
        <f t="shared" ref="R16" si="22">$C16*Q16</f>
        <v>633440</v>
      </c>
      <c r="S16" s="199">
        <f t="shared" si="7"/>
        <v>21080</v>
      </c>
      <c r="T16" s="187">
        <f t="shared" si="8"/>
        <v>3119840</v>
      </c>
    </row>
    <row r="17" spans="1:20" s="177" customFormat="1" x14ac:dyDescent="0.2">
      <c r="A17" s="73"/>
      <c r="B17" s="91" t="s">
        <v>68</v>
      </c>
      <c r="C17" s="217">
        <v>148</v>
      </c>
      <c r="D17" s="199">
        <v>0</v>
      </c>
      <c r="E17" s="199">
        <v>0</v>
      </c>
      <c r="F17" s="211">
        <f t="shared" si="4"/>
        <v>0</v>
      </c>
      <c r="G17" s="199">
        <v>0</v>
      </c>
      <c r="H17" s="199">
        <v>0</v>
      </c>
      <c r="I17" s="211">
        <f t="shared" si="1"/>
        <v>0</v>
      </c>
      <c r="J17" s="199">
        <f t="shared" ref="J17:J34" si="23">K17/1336</f>
        <v>15.200000000000001</v>
      </c>
      <c r="K17" s="199">
        <v>20307.2</v>
      </c>
      <c r="L17" s="211">
        <f t="shared" si="1"/>
        <v>3005465.6</v>
      </c>
      <c r="M17" s="199">
        <f t="shared" si="2"/>
        <v>15.200000000000001</v>
      </c>
      <c r="N17" s="199">
        <v>30764.800000000003</v>
      </c>
      <c r="O17" s="211">
        <f t="shared" ref="O17" si="24">$C17*N17</f>
        <v>4553190.4000000004</v>
      </c>
      <c r="P17" s="199">
        <f t="shared" si="3"/>
        <v>15.200000000000001</v>
      </c>
      <c r="Q17" s="199">
        <v>13011.2</v>
      </c>
      <c r="R17" s="211">
        <f t="shared" ref="R17" si="25">$C17*Q17</f>
        <v>1925657.6000000001</v>
      </c>
      <c r="S17" s="199">
        <f t="shared" si="7"/>
        <v>64083.199999999997</v>
      </c>
      <c r="T17" s="187">
        <f t="shared" si="8"/>
        <v>9484313.5999999996</v>
      </c>
    </row>
    <row r="18" spans="1:20" s="177" customFormat="1" x14ac:dyDescent="0.2">
      <c r="A18" s="73"/>
      <c r="B18" s="91" t="s">
        <v>69</v>
      </c>
      <c r="C18" s="217">
        <v>148</v>
      </c>
      <c r="D18" s="199">
        <v>0</v>
      </c>
      <c r="E18" s="199">
        <v>0</v>
      </c>
      <c r="F18" s="211">
        <f t="shared" si="4"/>
        <v>0</v>
      </c>
      <c r="G18" s="199">
        <v>0</v>
      </c>
      <c r="H18" s="199">
        <v>0</v>
      </c>
      <c r="I18" s="211">
        <f t="shared" si="1"/>
        <v>0</v>
      </c>
      <c r="J18" s="199">
        <f t="shared" si="23"/>
        <v>1</v>
      </c>
      <c r="K18" s="199">
        <v>1336</v>
      </c>
      <c r="L18" s="211">
        <f t="shared" si="1"/>
        <v>197728</v>
      </c>
      <c r="M18" s="199">
        <f>N18/2024</f>
        <v>1</v>
      </c>
      <c r="N18" s="199">
        <v>2024</v>
      </c>
      <c r="O18" s="211">
        <f t="shared" ref="O18" si="26">$C18*N18</f>
        <v>299552</v>
      </c>
      <c r="P18" s="199">
        <f t="shared" si="3"/>
        <v>1</v>
      </c>
      <c r="Q18" s="199">
        <v>856</v>
      </c>
      <c r="R18" s="211">
        <f t="shared" ref="R18" si="27">$C18*Q18</f>
        <v>126688</v>
      </c>
      <c r="S18" s="199">
        <f t="shared" si="7"/>
        <v>4216</v>
      </c>
      <c r="T18" s="187">
        <f t="shared" si="8"/>
        <v>623968</v>
      </c>
    </row>
    <row r="19" spans="1:20" s="177" customFormat="1" x14ac:dyDescent="0.2">
      <c r="A19" s="73"/>
      <c r="B19" s="91" t="s">
        <v>70</v>
      </c>
      <c r="C19" s="217">
        <v>148</v>
      </c>
      <c r="D19" s="199">
        <v>0</v>
      </c>
      <c r="E19" s="199">
        <v>0</v>
      </c>
      <c r="F19" s="211">
        <f t="shared" si="4"/>
        <v>0</v>
      </c>
      <c r="G19" s="199">
        <v>0</v>
      </c>
      <c r="H19" s="199">
        <v>0</v>
      </c>
      <c r="I19" s="211">
        <f t="shared" si="1"/>
        <v>0</v>
      </c>
      <c r="J19" s="199">
        <f t="shared" si="23"/>
        <v>7</v>
      </c>
      <c r="K19" s="199">
        <v>9352</v>
      </c>
      <c r="L19" s="211">
        <f t="shared" si="1"/>
        <v>1384096</v>
      </c>
      <c r="M19" s="199">
        <f t="shared" ref="M19:M29" si="28">N19/2024</f>
        <v>7</v>
      </c>
      <c r="N19" s="199">
        <v>14168</v>
      </c>
      <c r="O19" s="211">
        <f t="shared" ref="O19" si="29">$C19*N19</f>
        <v>2096864</v>
      </c>
      <c r="P19" s="199">
        <f t="shared" si="3"/>
        <v>7</v>
      </c>
      <c r="Q19" s="199">
        <v>5992</v>
      </c>
      <c r="R19" s="211">
        <f t="shared" ref="R19" si="30">$C19*Q19</f>
        <v>886816</v>
      </c>
      <c r="S19" s="199">
        <f t="shared" si="7"/>
        <v>29512</v>
      </c>
      <c r="T19" s="187">
        <f t="shared" si="8"/>
        <v>4367776</v>
      </c>
    </row>
    <row r="20" spans="1:20" s="177" customFormat="1" x14ac:dyDescent="0.2">
      <c r="A20" s="73"/>
      <c r="B20" s="91" t="s">
        <v>71</v>
      </c>
      <c r="C20" s="217">
        <v>148</v>
      </c>
      <c r="D20" s="199">
        <v>0</v>
      </c>
      <c r="E20" s="199">
        <v>0</v>
      </c>
      <c r="F20" s="211">
        <f t="shared" si="4"/>
        <v>0</v>
      </c>
      <c r="G20" s="199">
        <v>0</v>
      </c>
      <c r="H20" s="199">
        <v>0</v>
      </c>
      <c r="I20" s="211">
        <f t="shared" si="1"/>
        <v>0</v>
      </c>
      <c r="J20" s="199">
        <f t="shared" si="23"/>
        <v>2.2455089820359282</v>
      </c>
      <c r="K20" s="199">
        <v>3000</v>
      </c>
      <c r="L20" s="211">
        <f t="shared" si="1"/>
        <v>444000</v>
      </c>
      <c r="M20" s="199">
        <f t="shared" si="28"/>
        <v>2</v>
      </c>
      <c r="N20" s="199">
        <v>4048</v>
      </c>
      <c r="O20" s="211">
        <f t="shared" ref="O20" si="31">$C20*N20</f>
        <v>599104</v>
      </c>
      <c r="P20" s="199">
        <f t="shared" si="3"/>
        <v>2</v>
      </c>
      <c r="Q20" s="199">
        <v>1712</v>
      </c>
      <c r="R20" s="211">
        <f t="shared" ref="R20" si="32">$C20*Q20</f>
        <v>253376</v>
      </c>
      <c r="S20" s="199">
        <f t="shared" si="7"/>
        <v>8760</v>
      </c>
      <c r="T20" s="187">
        <f t="shared" si="8"/>
        <v>1296480</v>
      </c>
    </row>
    <row r="21" spans="1:20" s="177" customFormat="1" x14ac:dyDescent="0.2">
      <c r="A21" s="73"/>
      <c r="B21" s="91" t="s">
        <v>63</v>
      </c>
      <c r="C21" s="217">
        <v>148</v>
      </c>
      <c r="D21" s="199">
        <v>0</v>
      </c>
      <c r="E21" s="199">
        <v>0</v>
      </c>
      <c r="F21" s="211">
        <f t="shared" si="4"/>
        <v>0</v>
      </c>
      <c r="G21" s="199">
        <v>0</v>
      </c>
      <c r="H21" s="199">
        <v>0</v>
      </c>
      <c r="I21" s="211">
        <f t="shared" si="1"/>
        <v>0</v>
      </c>
      <c r="J21" s="199">
        <f t="shared" si="23"/>
        <v>0.24550898203592814</v>
      </c>
      <c r="K21" s="199">
        <v>328</v>
      </c>
      <c r="L21" s="211">
        <f t="shared" si="1"/>
        <v>48544</v>
      </c>
      <c r="M21" s="199">
        <f t="shared" si="28"/>
        <v>0</v>
      </c>
      <c r="N21" s="199">
        <v>0</v>
      </c>
      <c r="O21" s="211">
        <f t="shared" ref="O21" si="33">$C21*N21</f>
        <v>0</v>
      </c>
      <c r="P21" s="199">
        <f t="shared" si="3"/>
        <v>0</v>
      </c>
      <c r="Q21" s="199">
        <v>0</v>
      </c>
      <c r="R21" s="211">
        <f t="shared" ref="R21" si="34">$C21*Q21</f>
        <v>0</v>
      </c>
      <c r="S21" s="199">
        <f t="shared" si="7"/>
        <v>328</v>
      </c>
      <c r="T21" s="187">
        <f t="shared" si="8"/>
        <v>48544</v>
      </c>
    </row>
    <row r="22" spans="1:20" s="177" customFormat="1" x14ac:dyDescent="0.2">
      <c r="A22" s="73"/>
      <c r="B22" s="91" t="s">
        <v>72</v>
      </c>
      <c r="C22" s="217">
        <v>148</v>
      </c>
      <c r="D22" s="199">
        <v>0</v>
      </c>
      <c r="E22" s="199">
        <v>0</v>
      </c>
      <c r="F22" s="211">
        <f t="shared" si="4"/>
        <v>0</v>
      </c>
      <c r="G22" s="199">
        <v>0</v>
      </c>
      <c r="H22" s="199">
        <v>0</v>
      </c>
      <c r="I22" s="211">
        <f t="shared" si="1"/>
        <v>0</v>
      </c>
      <c r="J22" s="199">
        <f t="shared" si="23"/>
        <v>1</v>
      </c>
      <c r="K22" s="199">
        <v>1336</v>
      </c>
      <c r="L22" s="211">
        <f t="shared" si="1"/>
        <v>197728</v>
      </c>
      <c r="M22" s="199">
        <f t="shared" si="28"/>
        <v>1</v>
      </c>
      <c r="N22" s="199">
        <v>2024</v>
      </c>
      <c r="O22" s="211">
        <f t="shared" ref="O22" si="35">$C22*N22</f>
        <v>299552</v>
      </c>
      <c r="P22" s="199">
        <f t="shared" si="3"/>
        <v>1</v>
      </c>
      <c r="Q22" s="199">
        <v>856</v>
      </c>
      <c r="R22" s="211">
        <f t="shared" ref="R22" si="36">$C22*Q22</f>
        <v>126688</v>
      </c>
      <c r="S22" s="199">
        <f t="shared" si="7"/>
        <v>4216</v>
      </c>
      <c r="T22" s="187">
        <f t="shared" si="8"/>
        <v>623968</v>
      </c>
    </row>
    <row r="23" spans="1:20" s="177" customFormat="1" x14ac:dyDescent="0.2">
      <c r="A23" s="73"/>
      <c r="B23" s="91" t="s">
        <v>73</v>
      </c>
      <c r="C23" s="217">
        <v>148</v>
      </c>
      <c r="D23" s="199">
        <v>0</v>
      </c>
      <c r="E23" s="199">
        <v>0</v>
      </c>
      <c r="F23" s="211">
        <f t="shared" si="4"/>
        <v>0</v>
      </c>
      <c r="G23" s="199">
        <v>0</v>
      </c>
      <c r="H23" s="199">
        <v>0</v>
      </c>
      <c r="I23" s="211">
        <f t="shared" si="1"/>
        <v>0</v>
      </c>
      <c r="J23" s="199">
        <f t="shared" si="23"/>
        <v>1</v>
      </c>
      <c r="K23" s="199">
        <v>1336</v>
      </c>
      <c r="L23" s="211">
        <f t="shared" si="1"/>
        <v>197728</v>
      </c>
      <c r="M23" s="199">
        <f t="shared" si="28"/>
        <v>1</v>
      </c>
      <c r="N23" s="199">
        <v>2024</v>
      </c>
      <c r="O23" s="211">
        <f t="shared" ref="O23" si="37">$C23*N23</f>
        <v>299552</v>
      </c>
      <c r="P23" s="199">
        <f t="shared" si="3"/>
        <v>1</v>
      </c>
      <c r="Q23" s="199">
        <v>856</v>
      </c>
      <c r="R23" s="211">
        <f t="shared" ref="R23" si="38">$C23*Q23</f>
        <v>126688</v>
      </c>
      <c r="S23" s="199">
        <f t="shared" si="7"/>
        <v>4216</v>
      </c>
      <c r="T23" s="187">
        <f t="shared" si="8"/>
        <v>623968</v>
      </c>
    </row>
    <row r="24" spans="1:20" s="177" customFormat="1" x14ac:dyDescent="0.2">
      <c r="A24" s="73"/>
      <c r="B24" s="91" t="s">
        <v>74</v>
      </c>
      <c r="C24" s="217">
        <v>148</v>
      </c>
      <c r="D24" s="199">
        <v>0</v>
      </c>
      <c r="E24" s="199">
        <v>0</v>
      </c>
      <c r="F24" s="211">
        <f t="shared" si="4"/>
        <v>0</v>
      </c>
      <c r="G24" s="199">
        <v>0</v>
      </c>
      <c r="H24" s="199">
        <v>0</v>
      </c>
      <c r="I24" s="211">
        <f t="shared" si="1"/>
        <v>0</v>
      </c>
      <c r="J24" s="199">
        <f t="shared" si="23"/>
        <v>15</v>
      </c>
      <c r="K24" s="199">
        <v>20040</v>
      </c>
      <c r="L24" s="211">
        <f t="shared" si="1"/>
        <v>2965920</v>
      </c>
      <c r="M24" s="199">
        <f t="shared" si="28"/>
        <v>15</v>
      </c>
      <c r="N24" s="199">
        <v>30360</v>
      </c>
      <c r="O24" s="211">
        <f t="shared" ref="O24" si="39">$C24*N24</f>
        <v>4493280</v>
      </c>
      <c r="P24" s="199">
        <f t="shared" si="3"/>
        <v>15</v>
      </c>
      <c r="Q24" s="199">
        <v>12840</v>
      </c>
      <c r="R24" s="211">
        <f t="shared" ref="R24" si="40">$C24*Q24</f>
        <v>1900320</v>
      </c>
      <c r="S24" s="199">
        <f t="shared" si="7"/>
        <v>63240</v>
      </c>
      <c r="T24" s="187">
        <f t="shared" si="8"/>
        <v>9359520</v>
      </c>
    </row>
    <row r="25" spans="1:20" s="177" customFormat="1" x14ac:dyDescent="0.2">
      <c r="A25" s="73" t="s">
        <v>182</v>
      </c>
      <c r="B25" s="255" t="s">
        <v>75</v>
      </c>
      <c r="C25" s="217">
        <v>148</v>
      </c>
      <c r="D25" s="199">
        <v>0</v>
      </c>
      <c r="E25" s="199">
        <v>0</v>
      </c>
      <c r="F25" s="211">
        <f t="shared" si="4"/>
        <v>0</v>
      </c>
      <c r="G25" s="199">
        <v>0</v>
      </c>
      <c r="H25" s="199">
        <v>0</v>
      </c>
      <c r="I25" s="211">
        <f t="shared" si="1"/>
        <v>0</v>
      </c>
      <c r="J25" s="199">
        <f t="shared" si="23"/>
        <v>14.880239520958083</v>
      </c>
      <c r="K25" s="199">
        <v>19880</v>
      </c>
      <c r="L25" s="211">
        <f t="shared" si="1"/>
        <v>2942240</v>
      </c>
      <c r="M25" s="199">
        <f t="shared" si="28"/>
        <v>17.719367588932805</v>
      </c>
      <c r="N25" s="199">
        <v>35864</v>
      </c>
      <c r="O25" s="211">
        <f t="shared" ref="O25" si="41">$C25*N25</f>
        <v>5307872</v>
      </c>
      <c r="P25" s="199">
        <f t="shared" si="3"/>
        <v>17</v>
      </c>
      <c r="Q25" s="199">
        <v>14552</v>
      </c>
      <c r="R25" s="211">
        <f t="shared" ref="R25" si="42">$C25*Q25</f>
        <v>2153696</v>
      </c>
      <c r="S25" s="199">
        <f t="shared" si="7"/>
        <v>70296</v>
      </c>
      <c r="T25" s="187">
        <f t="shared" si="8"/>
        <v>10403808</v>
      </c>
    </row>
    <row r="26" spans="1:20" s="177" customFormat="1" x14ac:dyDescent="0.2">
      <c r="A26" s="73" t="s">
        <v>182</v>
      </c>
      <c r="B26" s="255" t="s">
        <v>76</v>
      </c>
      <c r="C26" s="217">
        <v>148</v>
      </c>
      <c r="D26" s="199">
        <v>0</v>
      </c>
      <c r="E26" s="199">
        <v>0</v>
      </c>
      <c r="F26" s="211">
        <f t="shared" si="4"/>
        <v>0</v>
      </c>
      <c r="G26" s="199">
        <v>0</v>
      </c>
      <c r="H26" s="199">
        <v>0</v>
      </c>
      <c r="I26" s="211">
        <f t="shared" si="1"/>
        <v>0</v>
      </c>
      <c r="J26" s="199">
        <f t="shared" si="23"/>
        <v>6.3892215568862278</v>
      </c>
      <c r="K26" s="199">
        <v>8536</v>
      </c>
      <c r="L26" s="211">
        <f t="shared" si="1"/>
        <v>1263328</v>
      </c>
      <c r="M26" s="199">
        <f t="shared" si="28"/>
        <v>7.7430830039525693</v>
      </c>
      <c r="N26" s="199">
        <v>15672</v>
      </c>
      <c r="O26" s="211">
        <f t="shared" ref="O26" si="43">$C26*N26</f>
        <v>2319456</v>
      </c>
      <c r="P26" s="199">
        <f t="shared" si="3"/>
        <v>8</v>
      </c>
      <c r="Q26" s="199">
        <v>6848</v>
      </c>
      <c r="R26" s="211">
        <f t="shared" ref="R26" si="44">$C26*Q26</f>
        <v>1013504</v>
      </c>
      <c r="S26" s="199">
        <f t="shared" si="7"/>
        <v>31056</v>
      </c>
      <c r="T26" s="187">
        <f t="shared" si="8"/>
        <v>4596288</v>
      </c>
    </row>
    <row r="27" spans="1:20" s="177" customFormat="1" x14ac:dyDescent="0.2">
      <c r="A27" s="73" t="s">
        <v>182</v>
      </c>
      <c r="B27" s="255" t="s">
        <v>77</v>
      </c>
      <c r="C27" s="217">
        <v>148</v>
      </c>
      <c r="D27" s="199">
        <v>0</v>
      </c>
      <c r="E27" s="199">
        <v>0</v>
      </c>
      <c r="F27" s="211">
        <f t="shared" si="4"/>
        <v>0</v>
      </c>
      <c r="G27" s="199">
        <v>0</v>
      </c>
      <c r="H27" s="199">
        <v>0</v>
      </c>
      <c r="I27" s="211">
        <f t="shared" si="1"/>
        <v>0</v>
      </c>
      <c r="J27" s="199">
        <f t="shared" si="23"/>
        <v>1</v>
      </c>
      <c r="K27" s="199">
        <v>1336</v>
      </c>
      <c r="L27" s="211">
        <f t="shared" si="1"/>
        <v>197728</v>
      </c>
      <c r="M27" s="199">
        <f t="shared" si="28"/>
        <v>1</v>
      </c>
      <c r="N27" s="199">
        <v>2024</v>
      </c>
      <c r="O27" s="211">
        <f t="shared" ref="O27" si="45">$C27*N27</f>
        <v>299552</v>
      </c>
      <c r="P27" s="199">
        <f t="shared" si="3"/>
        <v>1</v>
      </c>
      <c r="Q27" s="199">
        <v>856</v>
      </c>
      <c r="R27" s="211">
        <f t="shared" ref="R27" si="46">$C27*Q27</f>
        <v>126688</v>
      </c>
      <c r="S27" s="199">
        <f t="shared" si="7"/>
        <v>4216</v>
      </c>
      <c r="T27" s="187">
        <f t="shared" si="8"/>
        <v>623968</v>
      </c>
    </row>
    <row r="28" spans="1:20" s="177" customFormat="1" x14ac:dyDescent="0.2">
      <c r="A28" s="73"/>
      <c r="B28" s="91" t="s">
        <v>78</v>
      </c>
      <c r="C28" s="217">
        <v>148</v>
      </c>
      <c r="D28" s="199">
        <v>0</v>
      </c>
      <c r="E28" s="199">
        <v>0</v>
      </c>
      <c r="F28" s="211">
        <f t="shared" si="4"/>
        <v>0</v>
      </c>
      <c r="G28" s="199">
        <v>0</v>
      </c>
      <c r="H28" s="199">
        <v>0</v>
      </c>
      <c r="I28" s="211">
        <f t="shared" si="1"/>
        <v>0</v>
      </c>
      <c r="J28" s="199">
        <f t="shared" si="23"/>
        <v>0.73652694610778446</v>
      </c>
      <c r="K28" s="199">
        <v>984</v>
      </c>
      <c r="L28" s="211">
        <f t="shared" si="1"/>
        <v>145632</v>
      </c>
      <c r="M28" s="199">
        <f t="shared" si="28"/>
        <v>0</v>
      </c>
      <c r="N28" s="199">
        <v>0</v>
      </c>
      <c r="O28" s="211">
        <f t="shared" ref="O28" si="47">$C28*N28</f>
        <v>0</v>
      </c>
      <c r="P28" s="199">
        <f t="shared" si="3"/>
        <v>0</v>
      </c>
      <c r="Q28" s="199">
        <v>0</v>
      </c>
      <c r="R28" s="211">
        <f t="shared" ref="R28" si="48">$C28*Q28</f>
        <v>0</v>
      </c>
      <c r="S28" s="199">
        <f t="shared" si="7"/>
        <v>984</v>
      </c>
      <c r="T28" s="187">
        <f t="shared" si="8"/>
        <v>145632</v>
      </c>
    </row>
    <row r="29" spans="1:20" s="177" customFormat="1" x14ac:dyDescent="0.2">
      <c r="A29" s="73"/>
      <c r="B29" s="91" t="s">
        <v>79</v>
      </c>
      <c r="C29" s="217">
        <v>148</v>
      </c>
      <c r="D29" s="199">
        <v>0</v>
      </c>
      <c r="E29" s="199">
        <v>0</v>
      </c>
      <c r="F29" s="211">
        <f t="shared" si="4"/>
        <v>0</v>
      </c>
      <c r="G29" s="199">
        <v>0</v>
      </c>
      <c r="H29" s="199">
        <v>0</v>
      </c>
      <c r="I29" s="211">
        <f t="shared" si="1"/>
        <v>0</v>
      </c>
      <c r="J29" s="199">
        <f t="shared" si="23"/>
        <v>4</v>
      </c>
      <c r="K29" s="199">
        <v>5344</v>
      </c>
      <c r="L29" s="211">
        <f t="shared" si="1"/>
        <v>790912</v>
      </c>
      <c r="M29" s="199">
        <f t="shared" si="28"/>
        <v>4</v>
      </c>
      <c r="N29" s="199">
        <v>8096</v>
      </c>
      <c r="O29" s="211">
        <f t="shared" ref="O29:O39" si="49">$C29*N29</f>
        <v>1198208</v>
      </c>
      <c r="P29" s="199">
        <f t="shared" si="3"/>
        <v>4</v>
      </c>
      <c r="Q29" s="199">
        <v>3424</v>
      </c>
      <c r="R29" s="211">
        <f t="shared" ref="R29:R39" si="50">$C29*Q29</f>
        <v>506752</v>
      </c>
      <c r="S29" s="199">
        <f t="shared" si="7"/>
        <v>16864</v>
      </c>
      <c r="T29" s="187">
        <f t="shared" si="8"/>
        <v>2495872</v>
      </c>
    </row>
    <row r="30" spans="1:20" s="177" customFormat="1" x14ac:dyDescent="0.2">
      <c r="A30" s="73"/>
      <c r="B30" s="91" t="s">
        <v>80</v>
      </c>
      <c r="C30" s="217">
        <v>148</v>
      </c>
      <c r="D30" s="199">
        <v>0</v>
      </c>
      <c r="E30" s="199">
        <v>0</v>
      </c>
      <c r="F30" s="211">
        <f t="shared" si="4"/>
        <v>0</v>
      </c>
      <c r="G30" s="199">
        <v>0</v>
      </c>
      <c r="H30" s="199">
        <v>0</v>
      </c>
      <c r="I30" s="211">
        <f t="shared" ref="I30" si="51">$C30*H30</f>
        <v>0</v>
      </c>
      <c r="J30" s="199">
        <f t="shared" si="23"/>
        <v>2</v>
      </c>
      <c r="K30" s="199">
        <v>2672</v>
      </c>
      <c r="L30" s="211">
        <f t="shared" ref="L30" si="52">$C30*K30</f>
        <v>395456</v>
      </c>
      <c r="M30" s="199">
        <f t="shared" ref="M30:M39" si="53">N30/2024</f>
        <v>1</v>
      </c>
      <c r="N30" s="199">
        <v>2024</v>
      </c>
      <c r="O30" s="211">
        <f t="shared" si="49"/>
        <v>299552</v>
      </c>
      <c r="P30" s="199">
        <f t="shared" si="3"/>
        <v>1.794392523364486</v>
      </c>
      <c r="Q30" s="199">
        <v>1536</v>
      </c>
      <c r="R30" s="211">
        <f t="shared" si="50"/>
        <v>227328</v>
      </c>
      <c r="S30" s="199">
        <f t="shared" ref="S30:T35" si="54">E30+H30+K30+N30+Q30</f>
        <v>6232</v>
      </c>
      <c r="T30" s="187">
        <f t="shared" si="54"/>
        <v>922336</v>
      </c>
    </row>
    <row r="31" spans="1:20" s="177" customFormat="1" x14ac:dyDescent="0.2">
      <c r="A31" s="73"/>
      <c r="B31" s="91" t="s">
        <v>81</v>
      </c>
      <c r="C31" s="217">
        <v>148</v>
      </c>
      <c r="D31" s="199">
        <v>0</v>
      </c>
      <c r="E31" s="199">
        <v>0</v>
      </c>
      <c r="F31" s="211">
        <f t="shared" si="4"/>
        <v>0</v>
      </c>
      <c r="G31" s="199">
        <v>0</v>
      </c>
      <c r="H31" s="199">
        <v>0</v>
      </c>
      <c r="I31" s="211">
        <f t="shared" ref="I31" si="55">$C31*H31</f>
        <v>0</v>
      </c>
      <c r="J31" s="199">
        <f t="shared" si="23"/>
        <v>2</v>
      </c>
      <c r="K31" s="199">
        <v>2672</v>
      </c>
      <c r="L31" s="211">
        <f t="shared" ref="L31" si="56">$C31*K31</f>
        <v>395456</v>
      </c>
      <c r="M31" s="199">
        <f t="shared" si="53"/>
        <v>1.4229249011857708</v>
      </c>
      <c r="N31" s="199">
        <v>2880</v>
      </c>
      <c r="O31" s="211">
        <f t="shared" si="49"/>
        <v>426240</v>
      </c>
      <c r="P31" s="199">
        <f t="shared" si="3"/>
        <v>1</v>
      </c>
      <c r="Q31" s="199">
        <v>856</v>
      </c>
      <c r="R31" s="211">
        <f t="shared" si="50"/>
        <v>126688</v>
      </c>
      <c r="S31" s="199">
        <f t="shared" si="54"/>
        <v>6408</v>
      </c>
      <c r="T31" s="187">
        <f t="shared" si="54"/>
        <v>948384</v>
      </c>
    </row>
    <row r="32" spans="1:20" s="177" customFormat="1" x14ac:dyDescent="0.2">
      <c r="A32" s="73"/>
      <c r="B32" s="91" t="s">
        <v>82</v>
      </c>
      <c r="C32" s="217">
        <v>148</v>
      </c>
      <c r="D32" s="199">
        <v>0</v>
      </c>
      <c r="E32" s="199">
        <v>0</v>
      </c>
      <c r="F32" s="211">
        <f t="shared" si="4"/>
        <v>0</v>
      </c>
      <c r="G32" s="199">
        <v>0</v>
      </c>
      <c r="H32" s="199">
        <v>0</v>
      </c>
      <c r="I32" s="211">
        <f t="shared" ref="I32" si="57">$C32*H32</f>
        <v>0</v>
      </c>
      <c r="J32" s="199">
        <f t="shared" si="23"/>
        <v>6</v>
      </c>
      <c r="K32" s="199">
        <f>6680+1336</f>
        <v>8016</v>
      </c>
      <c r="L32" s="211">
        <f t="shared" ref="L32" si="58">$C32*K32</f>
        <v>1186368</v>
      </c>
      <c r="M32" s="199">
        <f t="shared" si="53"/>
        <v>6</v>
      </c>
      <c r="N32" s="199">
        <f>10120+2024</f>
        <v>12144</v>
      </c>
      <c r="O32" s="211">
        <f t="shared" si="49"/>
        <v>1797312</v>
      </c>
      <c r="P32" s="199">
        <f t="shared" si="3"/>
        <v>6</v>
      </c>
      <c r="Q32" s="199">
        <f>4280+856</f>
        <v>5136</v>
      </c>
      <c r="R32" s="211">
        <f t="shared" si="50"/>
        <v>760128</v>
      </c>
      <c r="S32" s="199">
        <f t="shared" si="54"/>
        <v>25296</v>
      </c>
      <c r="T32" s="187">
        <f t="shared" si="54"/>
        <v>3743808</v>
      </c>
    </row>
    <row r="33" spans="1:20" s="177" customFormat="1" x14ac:dyDescent="0.2">
      <c r="A33" s="73"/>
      <c r="B33" s="91" t="s">
        <v>83</v>
      </c>
      <c r="C33" s="217">
        <v>148</v>
      </c>
      <c r="D33" s="199">
        <v>0</v>
      </c>
      <c r="E33" s="199">
        <v>0</v>
      </c>
      <c r="F33" s="211">
        <f t="shared" si="4"/>
        <v>0</v>
      </c>
      <c r="G33" s="199">
        <v>0</v>
      </c>
      <c r="H33" s="199">
        <v>0</v>
      </c>
      <c r="I33" s="211">
        <f t="shared" ref="I33" si="59">$C33*H33</f>
        <v>0</v>
      </c>
      <c r="J33" s="199">
        <f t="shared" si="23"/>
        <v>2</v>
      </c>
      <c r="K33" s="199">
        <v>2672</v>
      </c>
      <c r="L33" s="211">
        <f t="shared" ref="L33" si="60">$C33*K33</f>
        <v>395456</v>
      </c>
      <c r="M33" s="199">
        <f t="shared" si="53"/>
        <v>2</v>
      </c>
      <c r="N33" s="199">
        <v>4048</v>
      </c>
      <c r="O33" s="211">
        <f t="shared" si="49"/>
        <v>599104</v>
      </c>
      <c r="P33" s="199">
        <f t="shared" si="3"/>
        <v>2</v>
      </c>
      <c r="Q33" s="199">
        <v>1712</v>
      </c>
      <c r="R33" s="211">
        <f t="shared" si="50"/>
        <v>253376</v>
      </c>
      <c r="S33" s="199">
        <f t="shared" si="54"/>
        <v>8432</v>
      </c>
      <c r="T33" s="187">
        <f t="shared" si="54"/>
        <v>1247936</v>
      </c>
    </row>
    <row r="34" spans="1:20" s="177" customFormat="1" ht="24" x14ac:dyDescent="0.2">
      <c r="A34" s="73"/>
      <c r="B34" s="91" t="s">
        <v>84</v>
      </c>
      <c r="C34" s="217">
        <v>148</v>
      </c>
      <c r="D34" s="199">
        <v>0</v>
      </c>
      <c r="E34" s="199">
        <v>0</v>
      </c>
      <c r="F34" s="211">
        <f t="shared" si="4"/>
        <v>0</v>
      </c>
      <c r="G34" s="199">
        <v>0</v>
      </c>
      <c r="H34" s="199">
        <v>0</v>
      </c>
      <c r="I34" s="211">
        <f t="shared" ref="I34" si="61">$C34*H34</f>
        <v>0</v>
      </c>
      <c r="J34" s="199">
        <f t="shared" si="23"/>
        <v>1</v>
      </c>
      <c r="K34" s="199">
        <v>1336</v>
      </c>
      <c r="L34" s="211">
        <f t="shared" ref="L34" si="62">$C34*K34</f>
        <v>197728</v>
      </c>
      <c r="M34" s="199">
        <f t="shared" si="53"/>
        <v>1</v>
      </c>
      <c r="N34" s="199">
        <v>2024</v>
      </c>
      <c r="O34" s="211">
        <f t="shared" si="49"/>
        <v>299552</v>
      </c>
      <c r="P34" s="199">
        <f t="shared" si="3"/>
        <v>1</v>
      </c>
      <c r="Q34" s="199">
        <v>856</v>
      </c>
      <c r="R34" s="211">
        <f t="shared" si="50"/>
        <v>126688</v>
      </c>
      <c r="S34" s="199">
        <f t="shared" si="54"/>
        <v>4216</v>
      </c>
      <c r="T34" s="187">
        <f t="shared" si="54"/>
        <v>623968</v>
      </c>
    </row>
    <row r="35" spans="1:20" s="177" customFormat="1" x14ac:dyDescent="0.2">
      <c r="A35" s="73"/>
      <c r="B35" s="91" t="s">
        <v>85</v>
      </c>
      <c r="C35" s="217">
        <v>148</v>
      </c>
      <c r="D35" s="199">
        <v>0</v>
      </c>
      <c r="E35" s="199">
        <v>0</v>
      </c>
      <c r="F35" s="211">
        <f t="shared" si="4"/>
        <v>0</v>
      </c>
      <c r="G35" s="199">
        <v>0</v>
      </c>
      <c r="H35" s="199">
        <v>0</v>
      </c>
      <c r="I35" s="211">
        <f t="shared" ref="I35:I39" si="63">$C35*H35</f>
        <v>0</v>
      </c>
      <c r="J35" s="199">
        <f>K35/1336</f>
        <v>6</v>
      </c>
      <c r="K35" s="199">
        <f>9352-1336</f>
        <v>8016</v>
      </c>
      <c r="L35" s="211">
        <f t="shared" ref="L35:L39" si="64">$C35*K35</f>
        <v>1186368</v>
      </c>
      <c r="M35" s="199">
        <f t="shared" si="53"/>
        <v>6</v>
      </c>
      <c r="N35" s="199">
        <f>14168-2024</f>
        <v>12144</v>
      </c>
      <c r="O35" s="211">
        <f t="shared" si="49"/>
        <v>1797312</v>
      </c>
      <c r="P35" s="199">
        <f t="shared" si="3"/>
        <v>6</v>
      </c>
      <c r="Q35" s="199">
        <f>5992-856</f>
        <v>5136</v>
      </c>
      <c r="R35" s="211">
        <f t="shared" si="50"/>
        <v>760128</v>
      </c>
      <c r="S35" s="199">
        <f t="shared" si="54"/>
        <v>25296</v>
      </c>
      <c r="T35" s="187">
        <f t="shared" si="54"/>
        <v>3743808</v>
      </c>
    </row>
    <row r="36" spans="1:20" s="177" customFormat="1" x14ac:dyDescent="0.2">
      <c r="A36" s="73" t="s">
        <v>183</v>
      </c>
      <c r="B36" s="255" t="s">
        <v>86</v>
      </c>
      <c r="C36" s="217">
        <v>148</v>
      </c>
      <c r="D36" s="199">
        <v>0</v>
      </c>
      <c r="E36" s="199">
        <v>0</v>
      </c>
      <c r="F36" s="211">
        <f t="shared" si="4"/>
        <v>0</v>
      </c>
      <c r="G36" s="199">
        <v>0</v>
      </c>
      <c r="H36" s="199">
        <v>0</v>
      </c>
      <c r="I36" s="211">
        <f t="shared" si="63"/>
        <v>0</v>
      </c>
      <c r="J36" s="199">
        <f t="shared" ref="J36:J39" si="65">K36/2032</f>
        <v>4.1914370078740157</v>
      </c>
      <c r="K36" s="199">
        <f>8573+1336-1392</f>
        <v>8517</v>
      </c>
      <c r="L36" s="211">
        <f t="shared" si="64"/>
        <v>1260516</v>
      </c>
      <c r="M36" s="199">
        <f t="shared" si="53"/>
        <v>6.2771739130434785</v>
      </c>
      <c r="N36" s="199">
        <f>10681+2024</f>
        <v>12705</v>
      </c>
      <c r="O36" s="211">
        <f t="shared" si="49"/>
        <v>1880340</v>
      </c>
      <c r="P36" s="199">
        <f t="shared" ref="P36:P39" si="66">Q36/856</f>
        <v>5.25</v>
      </c>
      <c r="Q36" s="199">
        <f>3638+856</f>
        <v>4494</v>
      </c>
      <c r="R36" s="211">
        <f t="shared" si="50"/>
        <v>665112</v>
      </c>
      <c r="S36" s="199">
        <f t="shared" ref="S36:S39" si="67">E36+H36+K36+N36+Q36</f>
        <v>25716</v>
      </c>
      <c r="T36" s="187">
        <f t="shared" ref="T36:T39" si="68">F36+I36+L36+O36+R36</f>
        <v>3805968</v>
      </c>
    </row>
    <row r="37" spans="1:20" s="177" customFormat="1" x14ac:dyDescent="0.2">
      <c r="A37" s="73" t="s">
        <v>183</v>
      </c>
      <c r="B37" s="255" t="s">
        <v>87</v>
      </c>
      <c r="C37" s="217">
        <v>148</v>
      </c>
      <c r="D37" s="199">
        <v>0</v>
      </c>
      <c r="E37" s="199">
        <v>0</v>
      </c>
      <c r="F37" s="211">
        <f t="shared" si="4"/>
        <v>0</v>
      </c>
      <c r="G37" s="199">
        <f t="shared" ref="G37:G38" si="69">H37/2032</f>
        <v>0</v>
      </c>
      <c r="H37" s="199">
        <v>0</v>
      </c>
      <c r="I37" s="211">
        <f t="shared" si="63"/>
        <v>0</v>
      </c>
      <c r="J37" s="199">
        <f t="shared" si="65"/>
        <v>9.2047244094488185</v>
      </c>
      <c r="K37" s="199">
        <f>9352+9352</f>
        <v>18704</v>
      </c>
      <c r="L37" s="211">
        <f t="shared" si="64"/>
        <v>2768192</v>
      </c>
      <c r="M37" s="199">
        <f t="shared" si="53"/>
        <v>20.660079051383399</v>
      </c>
      <c r="N37" s="199">
        <v>41816</v>
      </c>
      <c r="O37" s="211">
        <f t="shared" si="49"/>
        <v>6188768</v>
      </c>
      <c r="P37" s="199">
        <f t="shared" si="66"/>
        <v>24</v>
      </c>
      <c r="Q37" s="199">
        <f>14552+5992</f>
        <v>20544</v>
      </c>
      <c r="R37" s="211">
        <f t="shared" si="50"/>
        <v>3040512</v>
      </c>
      <c r="S37" s="199">
        <f t="shared" si="67"/>
        <v>81064</v>
      </c>
      <c r="T37" s="187">
        <f t="shared" si="68"/>
        <v>11997472</v>
      </c>
    </row>
    <row r="38" spans="1:20" s="177" customFormat="1" x14ac:dyDescent="0.2">
      <c r="A38" s="73" t="s">
        <v>183</v>
      </c>
      <c r="B38" s="255" t="s">
        <v>88</v>
      </c>
      <c r="C38" s="217">
        <v>148</v>
      </c>
      <c r="D38" s="199">
        <v>0</v>
      </c>
      <c r="E38" s="199">
        <v>0</v>
      </c>
      <c r="F38" s="211">
        <f t="shared" si="4"/>
        <v>0</v>
      </c>
      <c r="G38" s="199">
        <f t="shared" si="69"/>
        <v>0</v>
      </c>
      <c r="H38" s="199">
        <v>0</v>
      </c>
      <c r="I38" s="211">
        <f t="shared" si="63"/>
        <v>0</v>
      </c>
      <c r="J38" s="199">
        <f t="shared" si="65"/>
        <v>11.177165354330709</v>
      </c>
      <c r="K38" s="199">
        <f>9352+13360</f>
        <v>22712</v>
      </c>
      <c r="L38" s="211">
        <f t="shared" si="64"/>
        <v>3361376</v>
      </c>
      <c r="M38" s="199">
        <f t="shared" si="53"/>
        <v>17</v>
      </c>
      <c r="N38" s="199">
        <f>14168+20240</f>
        <v>34408</v>
      </c>
      <c r="O38" s="211">
        <f t="shared" si="49"/>
        <v>5092384</v>
      </c>
      <c r="P38" s="199">
        <f t="shared" si="66"/>
        <v>17</v>
      </c>
      <c r="Q38" s="199">
        <f>5992+8560</f>
        <v>14552</v>
      </c>
      <c r="R38" s="211">
        <f t="shared" si="50"/>
        <v>2153696</v>
      </c>
      <c r="S38" s="199">
        <f t="shared" si="67"/>
        <v>71672</v>
      </c>
      <c r="T38" s="187">
        <f t="shared" si="68"/>
        <v>10607456</v>
      </c>
    </row>
    <row r="39" spans="1:20" s="177" customFormat="1" x14ac:dyDescent="0.2">
      <c r="A39" s="73"/>
      <c r="B39" s="91" t="s">
        <v>89</v>
      </c>
      <c r="C39" s="217">
        <v>148</v>
      </c>
      <c r="D39" s="199">
        <f>E39/1160</f>
        <v>0</v>
      </c>
      <c r="E39" s="199">
        <v>0</v>
      </c>
      <c r="F39" s="211">
        <f t="shared" si="4"/>
        <v>0</v>
      </c>
      <c r="G39" s="199">
        <f>H39/2032</f>
        <v>0</v>
      </c>
      <c r="H39" s="199">
        <v>0</v>
      </c>
      <c r="I39" s="211">
        <f t="shared" si="63"/>
        <v>0</v>
      </c>
      <c r="J39" s="199">
        <f t="shared" si="65"/>
        <v>1.3149606299212599</v>
      </c>
      <c r="K39" s="199">
        <f>4064-1392</f>
        <v>2672</v>
      </c>
      <c r="L39" s="211">
        <f t="shared" si="64"/>
        <v>395456</v>
      </c>
      <c r="M39" s="199">
        <f t="shared" si="53"/>
        <v>1.4229249011857708</v>
      </c>
      <c r="N39" s="199">
        <v>2880</v>
      </c>
      <c r="O39" s="211">
        <f t="shared" si="49"/>
        <v>426240</v>
      </c>
      <c r="P39" s="199">
        <f t="shared" si="66"/>
        <v>1</v>
      </c>
      <c r="Q39" s="199">
        <v>856</v>
      </c>
      <c r="R39" s="211">
        <f t="shared" si="50"/>
        <v>126688</v>
      </c>
      <c r="S39" s="199">
        <f t="shared" si="67"/>
        <v>6408</v>
      </c>
      <c r="T39" s="187">
        <f t="shared" si="68"/>
        <v>948384</v>
      </c>
    </row>
    <row r="40" spans="1:20" x14ac:dyDescent="0.2">
      <c r="A40" s="73"/>
      <c r="B40" s="91"/>
      <c r="C40" s="211"/>
      <c r="D40" s="200"/>
      <c r="E40" s="200"/>
      <c r="F40" s="211"/>
      <c r="G40" s="200"/>
      <c r="H40" s="200"/>
      <c r="I40" s="211"/>
      <c r="J40" s="200"/>
      <c r="K40" s="200"/>
      <c r="L40" s="211"/>
      <c r="M40" s="200"/>
      <c r="N40" s="200"/>
      <c r="O40" s="211"/>
      <c r="P40" s="200"/>
      <c r="Q40" s="200"/>
      <c r="R40" s="211"/>
      <c r="S40" s="200"/>
      <c r="T40" s="187"/>
    </row>
    <row r="41" spans="1:20" ht="24" x14ac:dyDescent="0.2">
      <c r="A41" s="73"/>
      <c r="B41" s="96" t="s">
        <v>90</v>
      </c>
      <c r="C41" s="216"/>
      <c r="D41" s="198"/>
      <c r="E41" s="197">
        <f t="shared" ref="E41:T41" si="70">SUM(E42:E44)</f>
        <v>0</v>
      </c>
      <c r="F41" s="210">
        <f t="shared" si="70"/>
        <v>0</v>
      </c>
      <c r="G41" s="197">
        <f>SUM(G42:G44)</f>
        <v>0</v>
      </c>
      <c r="H41" s="197">
        <f t="shared" si="70"/>
        <v>0</v>
      </c>
      <c r="I41" s="210">
        <f t="shared" si="70"/>
        <v>0</v>
      </c>
      <c r="J41" s="197">
        <f>SUM(J42:J44)</f>
        <v>15.101796407185628</v>
      </c>
      <c r="K41" s="197">
        <f t="shared" si="70"/>
        <v>20176</v>
      </c>
      <c r="L41" s="210">
        <f t="shared" si="70"/>
        <v>2986048</v>
      </c>
      <c r="M41" s="197">
        <f>SUM(M42:M44)</f>
        <v>13.857707509881424</v>
      </c>
      <c r="N41" s="197">
        <f t="shared" si="70"/>
        <v>28048</v>
      </c>
      <c r="O41" s="210">
        <f t="shared" si="70"/>
        <v>4151104</v>
      </c>
      <c r="P41" s="197">
        <f>SUM(P42:P44)</f>
        <v>0.41121495327102803</v>
      </c>
      <c r="Q41" s="197">
        <f t="shared" si="70"/>
        <v>352</v>
      </c>
      <c r="R41" s="210">
        <f t="shared" si="70"/>
        <v>52096</v>
      </c>
      <c r="S41" s="197">
        <f t="shared" si="70"/>
        <v>48576</v>
      </c>
      <c r="T41" s="186">
        <f t="shared" si="70"/>
        <v>7189248</v>
      </c>
    </row>
    <row r="42" spans="1:20" x14ac:dyDescent="0.2">
      <c r="A42" s="73" t="s">
        <v>184</v>
      </c>
      <c r="B42" s="255" t="s">
        <v>87</v>
      </c>
      <c r="C42" s="217">
        <v>148</v>
      </c>
      <c r="D42" s="199">
        <v>0</v>
      </c>
      <c r="E42" s="199">
        <v>0</v>
      </c>
      <c r="F42" s="211">
        <f>$C42*E42</f>
        <v>0</v>
      </c>
      <c r="G42" s="199">
        <v>0</v>
      </c>
      <c r="H42" s="199">
        <v>0</v>
      </c>
      <c r="I42" s="211">
        <f t="shared" ref="I42:I43" si="71">$C42*H42</f>
        <v>0</v>
      </c>
      <c r="J42" s="199">
        <f>K42/1336</f>
        <v>4.7544910179640718</v>
      </c>
      <c r="K42" s="199">
        <v>6352</v>
      </c>
      <c r="L42" s="211">
        <f t="shared" ref="L42:L43" si="72">$C42*K42</f>
        <v>940096</v>
      </c>
      <c r="M42" s="199">
        <f>N42/2024</f>
        <v>11.857707509881424</v>
      </c>
      <c r="N42" s="199">
        <v>24000</v>
      </c>
      <c r="O42" s="211">
        <f t="shared" ref="O42:O43" si="73">$C42*N42</f>
        <v>3552000</v>
      </c>
      <c r="P42" s="199">
        <f t="shared" ref="P42:P43" si="74">Q42/856</f>
        <v>0</v>
      </c>
      <c r="Q42" s="199">
        <v>0</v>
      </c>
      <c r="R42" s="211">
        <f t="shared" ref="R42:R43" si="75">$C42*Q42</f>
        <v>0</v>
      </c>
      <c r="S42" s="257">
        <f>E42+H42+K42+N42+Q42</f>
        <v>30352</v>
      </c>
      <c r="T42" s="187">
        <f>F42+I42+L42+O42+R42</f>
        <v>4492096</v>
      </c>
    </row>
    <row r="43" spans="1:20" x14ac:dyDescent="0.2">
      <c r="A43" s="73" t="s">
        <v>184</v>
      </c>
      <c r="B43" s="255" t="s">
        <v>88</v>
      </c>
      <c r="C43" s="217">
        <v>148</v>
      </c>
      <c r="D43" s="199">
        <f>E43/1160</f>
        <v>0</v>
      </c>
      <c r="E43" s="199">
        <v>0</v>
      </c>
      <c r="F43" s="211">
        <f t="shared" ref="F43" si="76">$C43*E43</f>
        <v>0</v>
      </c>
      <c r="G43" s="199">
        <v>0</v>
      </c>
      <c r="H43" s="199">
        <v>0</v>
      </c>
      <c r="I43" s="211">
        <f t="shared" si="71"/>
        <v>0</v>
      </c>
      <c r="J43" s="199">
        <f>K43/1336</f>
        <v>10.347305389221557</v>
      </c>
      <c r="K43" s="199">
        <f>15216-1392</f>
        <v>13824</v>
      </c>
      <c r="L43" s="211">
        <f t="shared" si="72"/>
        <v>2045952</v>
      </c>
      <c r="M43" s="199">
        <f>N43/2024</f>
        <v>2</v>
      </c>
      <c r="N43" s="199">
        <v>4048</v>
      </c>
      <c r="O43" s="211">
        <f t="shared" si="73"/>
        <v>599104</v>
      </c>
      <c r="P43" s="199">
        <f t="shared" si="74"/>
        <v>0.41121495327102803</v>
      </c>
      <c r="Q43" s="199">
        <v>352</v>
      </c>
      <c r="R43" s="211">
        <f t="shared" si="75"/>
        <v>52096</v>
      </c>
      <c r="S43" s="199">
        <f>E43+H43+K43+N43+Q43</f>
        <v>18224</v>
      </c>
      <c r="T43" s="187">
        <f>F43+I43+L43+O43+R43</f>
        <v>2697152</v>
      </c>
    </row>
    <row r="44" spans="1:20" x14ac:dyDescent="0.2">
      <c r="A44" s="73"/>
      <c r="B44" s="91"/>
      <c r="C44" s="211"/>
      <c r="D44" s="200"/>
      <c r="E44" s="200"/>
      <c r="F44" s="211"/>
      <c r="G44" s="200"/>
      <c r="H44" s="200"/>
      <c r="I44" s="211"/>
      <c r="J44" s="200"/>
      <c r="K44" s="200"/>
      <c r="L44" s="211"/>
      <c r="M44" s="200"/>
      <c r="N44" s="200"/>
      <c r="O44" s="211"/>
      <c r="P44" s="200"/>
      <c r="Q44" s="200"/>
      <c r="R44" s="211"/>
      <c r="S44" s="200"/>
      <c r="T44" s="187"/>
    </row>
    <row r="45" spans="1:20" ht="24" x14ac:dyDescent="0.2">
      <c r="A45" s="73"/>
      <c r="B45" s="96" t="s">
        <v>91</v>
      </c>
      <c r="C45" s="216"/>
      <c r="D45" s="197">
        <f t="shared" ref="D45:T45" si="77">SUM(D46:D49)</f>
        <v>0</v>
      </c>
      <c r="E45" s="197">
        <f t="shared" si="77"/>
        <v>0</v>
      </c>
      <c r="F45" s="210">
        <f t="shared" si="77"/>
        <v>0</v>
      </c>
      <c r="G45" s="197">
        <f t="shared" si="77"/>
        <v>0</v>
      </c>
      <c r="H45" s="197">
        <f t="shared" si="77"/>
        <v>0</v>
      </c>
      <c r="I45" s="210">
        <f t="shared" si="77"/>
        <v>0</v>
      </c>
      <c r="J45" s="197">
        <f t="shared" si="77"/>
        <v>6</v>
      </c>
      <c r="K45" s="197">
        <f t="shared" si="77"/>
        <v>8016</v>
      </c>
      <c r="L45" s="210">
        <f t="shared" si="77"/>
        <v>1186368</v>
      </c>
      <c r="M45" s="197">
        <f t="shared" si="77"/>
        <v>6</v>
      </c>
      <c r="N45" s="197">
        <f t="shared" si="77"/>
        <v>12144</v>
      </c>
      <c r="O45" s="210">
        <f t="shared" si="77"/>
        <v>1797312</v>
      </c>
      <c r="P45" s="197">
        <f t="shared" si="77"/>
        <v>6</v>
      </c>
      <c r="Q45" s="197">
        <f t="shared" si="77"/>
        <v>5136</v>
      </c>
      <c r="R45" s="210">
        <f t="shared" si="77"/>
        <v>760128</v>
      </c>
      <c r="S45" s="197">
        <f t="shared" si="77"/>
        <v>25296</v>
      </c>
      <c r="T45" s="186">
        <f t="shared" si="77"/>
        <v>3743808</v>
      </c>
    </row>
    <row r="46" spans="1:20" s="177" customFormat="1" x14ac:dyDescent="0.2">
      <c r="A46" s="73"/>
      <c r="B46" s="91" t="s">
        <v>68</v>
      </c>
      <c r="C46" s="217">
        <v>148</v>
      </c>
      <c r="D46" s="199">
        <v>0</v>
      </c>
      <c r="E46" s="199">
        <v>0</v>
      </c>
      <c r="F46" s="211">
        <f>$C46*E46</f>
        <v>0</v>
      </c>
      <c r="G46" s="199">
        <v>0</v>
      </c>
      <c r="H46" s="199">
        <v>0</v>
      </c>
      <c r="I46" s="211">
        <f>$C46*H46</f>
        <v>0</v>
      </c>
      <c r="J46" s="199">
        <v>1</v>
      </c>
      <c r="K46" s="199">
        <v>1336</v>
      </c>
      <c r="L46" s="211">
        <f>$C46*K46</f>
        <v>197728</v>
      </c>
      <c r="M46" s="199">
        <v>1</v>
      </c>
      <c r="N46" s="199">
        <v>2024</v>
      </c>
      <c r="O46" s="211">
        <f>$C46*N46</f>
        <v>299552</v>
      </c>
      <c r="P46" s="199">
        <v>1</v>
      </c>
      <c r="Q46" s="199">
        <v>856</v>
      </c>
      <c r="R46" s="211">
        <f>$C46*Q46</f>
        <v>126688</v>
      </c>
      <c r="S46" s="199">
        <f t="shared" ref="S46:T48" si="78">E46+H46+K46+N46+Q46</f>
        <v>4216</v>
      </c>
      <c r="T46" s="187">
        <f t="shared" si="78"/>
        <v>623968</v>
      </c>
    </row>
    <row r="47" spans="1:20" s="177" customFormat="1" x14ac:dyDescent="0.2">
      <c r="A47" s="73"/>
      <c r="B47" s="91" t="s">
        <v>86</v>
      </c>
      <c r="C47" s="217">
        <v>148</v>
      </c>
      <c r="D47" s="199">
        <v>0</v>
      </c>
      <c r="E47" s="199">
        <v>0</v>
      </c>
      <c r="F47" s="211">
        <f>$C47*E47</f>
        <v>0</v>
      </c>
      <c r="G47" s="199">
        <v>0</v>
      </c>
      <c r="H47" s="199">
        <v>0</v>
      </c>
      <c r="I47" s="211">
        <f>$C47*H47</f>
        <v>0</v>
      </c>
      <c r="J47" s="199">
        <v>1</v>
      </c>
      <c r="K47" s="199">
        <f>1336*1</f>
        <v>1336</v>
      </c>
      <c r="L47" s="211">
        <f>$C47*K47</f>
        <v>197728</v>
      </c>
      <c r="M47" s="199">
        <v>1</v>
      </c>
      <c r="N47" s="199">
        <v>2024</v>
      </c>
      <c r="O47" s="211">
        <f>$C47*N47</f>
        <v>299552</v>
      </c>
      <c r="P47" s="199">
        <v>1</v>
      </c>
      <c r="Q47" s="199">
        <v>856</v>
      </c>
      <c r="R47" s="211">
        <f>$C47*Q47</f>
        <v>126688</v>
      </c>
      <c r="S47" s="199">
        <f t="shared" si="78"/>
        <v>4216</v>
      </c>
      <c r="T47" s="187">
        <f t="shared" si="78"/>
        <v>623968</v>
      </c>
    </row>
    <row r="48" spans="1:20" s="177" customFormat="1" x14ac:dyDescent="0.2">
      <c r="A48" s="73"/>
      <c r="B48" s="91" t="s">
        <v>87</v>
      </c>
      <c r="C48" s="217">
        <v>148</v>
      </c>
      <c r="D48" s="199">
        <v>0</v>
      </c>
      <c r="E48" s="199">
        <v>0</v>
      </c>
      <c r="F48" s="211">
        <f>$C48*E48</f>
        <v>0</v>
      </c>
      <c r="G48" s="199">
        <v>0</v>
      </c>
      <c r="H48" s="199">
        <v>0</v>
      </c>
      <c r="I48" s="211">
        <f>$C48*H48</f>
        <v>0</v>
      </c>
      <c r="J48" s="199">
        <f>K48/1336</f>
        <v>4</v>
      </c>
      <c r="K48" s="199">
        <f>1336*4</f>
        <v>5344</v>
      </c>
      <c r="L48" s="211">
        <f>$C48*K48</f>
        <v>790912</v>
      </c>
      <c r="M48" s="199">
        <f>N48/2024</f>
        <v>4</v>
      </c>
      <c r="N48" s="199">
        <f>2024*4</f>
        <v>8096</v>
      </c>
      <c r="O48" s="211">
        <f>$C48*N48</f>
        <v>1198208</v>
      </c>
      <c r="P48" s="199">
        <f>Q48/856</f>
        <v>4</v>
      </c>
      <c r="Q48" s="199">
        <f>856*4</f>
        <v>3424</v>
      </c>
      <c r="R48" s="211">
        <f>$C48*Q48</f>
        <v>506752</v>
      </c>
      <c r="S48" s="199">
        <f t="shared" si="78"/>
        <v>16864</v>
      </c>
      <c r="T48" s="187">
        <f t="shared" si="78"/>
        <v>2495872</v>
      </c>
    </row>
    <row r="49" spans="1:21" x14ac:dyDescent="0.2">
      <c r="A49" s="73"/>
      <c r="B49" s="91"/>
      <c r="C49" s="218"/>
      <c r="D49" s="201"/>
      <c r="E49" s="199"/>
      <c r="F49" s="211"/>
      <c r="G49" s="200"/>
      <c r="H49" s="199"/>
      <c r="I49" s="211"/>
      <c r="J49" s="200"/>
      <c r="K49" s="199"/>
      <c r="L49" s="211"/>
      <c r="M49" s="200"/>
      <c r="N49" s="199"/>
      <c r="O49" s="211"/>
      <c r="P49" s="200"/>
      <c r="Q49" s="199"/>
      <c r="R49" s="211"/>
      <c r="S49" s="199"/>
      <c r="T49" s="187"/>
      <c r="U49" s="182"/>
    </row>
    <row r="50" spans="1:21" ht="24" x14ac:dyDescent="0.2">
      <c r="A50" s="73"/>
      <c r="B50" s="96" t="s">
        <v>92</v>
      </c>
      <c r="C50" s="216"/>
      <c r="D50" s="197">
        <f>SUM(D51:D52)</f>
        <v>0</v>
      </c>
      <c r="E50" s="197">
        <f>SUM(E51:E51)</f>
        <v>0</v>
      </c>
      <c r="F50" s="210">
        <f>SUM(F51:F51)</f>
        <v>0</v>
      </c>
      <c r="G50" s="197">
        <f>SUM(G51:G52)</f>
        <v>0</v>
      </c>
      <c r="H50" s="197">
        <f>SUM(H51:H51)</f>
        <v>0</v>
      </c>
      <c r="I50" s="210">
        <f>SUM(I51:I51)</f>
        <v>0</v>
      </c>
      <c r="J50" s="197">
        <f>SUM(J51:J52)</f>
        <v>1</v>
      </c>
      <c r="K50" s="197">
        <f>SUM(K51:K51)</f>
        <v>1336</v>
      </c>
      <c r="L50" s="210">
        <f>SUM(L51:L51)</f>
        <v>197728</v>
      </c>
      <c r="M50" s="197">
        <f>SUM(M51:M52)</f>
        <v>1</v>
      </c>
      <c r="N50" s="197">
        <f>SUM(N51:N51)</f>
        <v>2024</v>
      </c>
      <c r="O50" s="210">
        <f>SUM(O51:O51)</f>
        <v>299552</v>
      </c>
      <c r="P50" s="197">
        <f>SUM(P51:P52)</f>
        <v>1</v>
      </c>
      <c r="Q50" s="197">
        <f>SUM(Q51:Q51)</f>
        <v>856</v>
      </c>
      <c r="R50" s="210">
        <f>SUM(R51:R51)</f>
        <v>126688</v>
      </c>
      <c r="S50" s="197">
        <f>SUM(S51:S51)</f>
        <v>4216</v>
      </c>
      <c r="T50" s="186">
        <f>SUM(T51:T51)</f>
        <v>623968</v>
      </c>
      <c r="U50" s="182"/>
    </row>
    <row r="51" spans="1:21" x14ac:dyDescent="0.2">
      <c r="A51" s="73"/>
      <c r="B51" s="91" t="s">
        <v>87</v>
      </c>
      <c r="C51" s="217">
        <v>148</v>
      </c>
      <c r="D51" s="199">
        <v>0</v>
      </c>
      <c r="E51" s="199">
        <v>0</v>
      </c>
      <c r="F51" s="211">
        <f t="shared" ref="F51" si="79">$C51*E51</f>
        <v>0</v>
      </c>
      <c r="G51" s="199">
        <v>0</v>
      </c>
      <c r="H51" s="199">
        <v>0</v>
      </c>
      <c r="I51" s="211">
        <f t="shared" ref="I51" si="80">$C51*H51</f>
        <v>0</v>
      </c>
      <c r="J51" s="199">
        <v>1</v>
      </c>
      <c r="K51" s="199">
        <v>1336</v>
      </c>
      <c r="L51" s="211">
        <f t="shared" ref="L51" si="81">$C51*K51</f>
        <v>197728</v>
      </c>
      <c r="M51" s="199">
        <v>1</v>
      </c>
      <c r="N51" s="199">
        <v>2024</v>
      </c>
      <c r="O51" s="211">
        <f t="shared" ref="O51" si="82">$C51*N51</f>
        <v>299552</v>
      </c>
      <c r="P51" s="199">
        <v>1</v>
      </c>
      <c r="Q51" s="199">
        <v>856</v>
      </c>
      <c r="R51" s="211">
        <f t="shared" ref="R51" si="83">$C51*Q51</f>
        <v>126688</v>
      </c>
      <c r="S51" s="257">
        <f>E51+H51+K51+N51+Q51</f>
        <v>4216</v>
      </c>
      <c r="T51" s="187">
        <f>F51+I51+L51+O51+R51</f>
        <v>623968</v>
      </c>
      <c r="U51" s="182"/>
    </row>
    <row r="52" spans="1:21" x14ac:dyDescent="0.2">
      <c r="A52" s="73"/>
      <c r="B52" s="91"/>
      <c r="C52" s="218"/>
      <c r="D52" s="201"/>
      <c r="E52" s="199"/>
      <c r="F52" s="211"/>
      <c r="G52" s="200"/>
      <c r="H52" s="199"/>
      <c r="I52" s="211"/>
      <c r="J52" s="200"/>
      <c r="K52" s="199"/>
      <c r="L52" s="211"/>
      <c r="M52" s="200"/>
      <c r="N52" s="199"/>
      <c r="O52" s="211"/>
      <c r="P52" s="200"/>
      <c r="Q52" s="199"/>
      <c r="R52" s="211"/>
      <c r="S52" s="199"/>
      <c r="T52" s="187"/>
      <c r="U52" s="182"/>
    </row>
    <row r="53" spans="1:21" ht="24" x14ac:dyDescent="0.2">
      <c r="A53" s="73"/>
      <c r="B53" s="90" t="s">
        <v>93</v>
      </c>
      <c r="C53" s="212"/>
      <c r="D53" s="202">
        <f>D7+D50+D45+D41</f>
        <v>0</v>
      </c>
      <c r="E53" s="202">
        <f>E7+E50+E45+E41</f>
        <v>0</v>
      </c>
      <c r="F53" s="212">
        <f>F50+F7+F45+F41</f>
        <v>0</v>
      </c>
      <c r="G53" s="202">
        <f>G7+G50+G45+G41</f>
        <v>0</v>
      </c>
      <c r="H53" s="202">
        <f>H7+H50+H45+H41</f>
        <v>0</v>
      </c>
      <c r="I53" s="212">
        <f>I50+I7+I45+I41</f>
        <v>0</v>
      </c>
      <c r="J53" s="202">
        <f>J7+J50+J45+J41</f>
        <v>172.68708979678439</v>
      </c>
      <c r="K53" s="202">
        <f>K7+K50+K45+K41</f>
        <v>252736.2</v>
      </c>
      <c r="L53" s="212">
        <f>L50+L7+L45+L41</f>
        <v>37404957.600000001</v>
      </c>
      <c r="M53" s="202">
        <f>M7+M50+M45+M41</f>
        <v>192.30326086956524</v>
      </c>
      <c r="N53" s="202">
        <f>N7+N50+N45+N41</f>
        <v>395293.8</v>
      </c>
      <c r="O53" s="212">
        <f>O50+O7+O45+O41</f>
        <v>58503482.399999999</v>
      </c>
      <c r="P53" s="202">
        <f>P7+P50+P45+P41</f>
        <v>180.65560747663551</v>
      </c>
      <c r="Q53" s="202">
        <f>Q7+Q50+Q45+Q41</f>
        <v>157209.20000000001</v>
      </c>
      <c r="R53" s="212">
        <f>R50+R7+R45+R41</f>
        <v>23266961.600000001</v>
      </c>
      <c r="S53" s="202">
        <f>S7+S50+S45+S41</f>
        <v>805239.2</v>
      </c>
      <c r="T53" s="212">
        <f>T50+T7+T45+T41</f>
        <v>119175401.59999999</v>
      </c>
      <c r="U53" s="182"/>
    </row>
    <row r="54" spans="1:21" s="182" customFormat="1" x14ac:dyDescent="0.2">
      <c r="A54" s="73"/>
      <c r="B54" s="241"/>
      <c r="C54" s="222"/>
      <c r="D54" s="204"/>
      <c r="E54" s="204"/>
      <c r="F54" s="222"/>
      <c r="G54" s="204"/>
      <c r="H54" s="242"/>
      <c r="I54" s="222"/>
      <c r="J54" s="204"/>
      <c r="K54" s="204"/>
      <c r="L54" s="222"/>
      <c r="M54" s="204"/>
      <c r="N54" s="204"/>
      <c r="O54" s="222"/>
      <c r="P54" s="204"/>
      <c r="Q54" s="204"/>
      <c r="R54" s="222"/>
      <c r="S54" s="204"/>
      <c r="T54" s="189"/>
    </row>
    <row r="55" spans="1:21" x14ac:dyDescent="0.2">
      <c r="A55" s="73"/>
      <c r="B55" s="79"/>
      <c r="C55" s="213"/>
      <c r="D55" s="196"/>
      <c r="E55" s="221"/>
      <c r="F55" s="213"/>
      <c r="G55" s="221"/>
      <c r="H55" s="221"/>
      <c r="I55" s="213"/>
      <c r="J55" s="196"/>
      <c r="K55" s="196"/>
      <c r="L55" s="196"/>
      <c r="M55" s="196"/>
      <c r="N55" s="196"/>
      <c r="O55" s="196"/>
      <c r="P55" s="196"/>
      <c r="Q55" s="196"/>
      <c r="R55" s="196"/>
      <c r="S55" s="196"/>
      <c r="T55" s="196"/>
      <c r="U55" s="182"/>
    </row>
    <row r="56" spans="1:21" x14ac:dyDescent="0.2">
      <c r="A56" s="73"/>
      <c r="B56" s="82" t="s">
        <v>23</v>
      </c>
      <c r="C56" s="214"/>
      <c r="D56" s="139"/>
      <c r="E56" s="139"/>
      <c r="F56" s="214"/>
      <c r="G56" s="139"/>
      <c r="H56" s="139"/>
      <c r="I56" s="214"/>
      <c r="J56" s="139"/>
      <c r="K56" s="204"/>
      <c r="L56" s="222"/>
      <c r="M56" s="204"/>
      <c r="N56" s="139"/>
      <c r="O56" s="214"/>
      <c r="P56" s="139"/>
      <c r="Q56" s="139"/>
      <c r="R56" s="214"/>
      <c r="S56" s="139"/>
      <c r="T56" s="189"/>
      <c r="U56" s="182"/>
    </row>
    <row r="57" spans="1:21" ht="30.75" customHeight="1" x14ac:dyDescent="0.2">
      <c r="A57" s="85">
        <v>1</v>
      </c>
      <c r="B57" s="281" t="s">
        <v>94</v>
      </c>
      <c r="C57" s="281"/>
      <c r="D57" s="281"/>
      <c r="E57" s="281"/>
      <c r="F57" s="281"/>
      <c r="G57" s="281"/>
      <c r="H57" s="281"/>
      <c r="I57" s="281"/>
      <c r="J57" s="138"/>
      <c r="K57" s="190"/>
      <c r="L57" s="86"/>
      <c r="M57" s="190"/>
      <c r="N57" s="139"/>
      <c r="O57" s="214"/>
      <c r="P57" s="139"/>
      <c r="Q57" s="139"/>
      <c r="R57" s="214"/>
      <c r="S57" s="189"/>
      <c r="T57" s="189"/>
      <c r="U57" s="182"/>
    </row>
    <row r="58" spans="1:21" ht="15" customHeight="1" x14ac:dyDescent="0.25">
      <c r="A58" s="85">
        <v>2</v>
      </c>
      <c r="B58" s="281" t="s">
        <v>53</v>
      </c>
      <c r="C58" s="281"/>
      <c r="D58" s="281"/>
      <c r="E58" s="281"/>
      <c r="F58" s="281"/>
      <c r="G58" s="281"/>
      <c r="H58" s="281"/>
      <c r="I58" s="281"/>
      <c r="J58" s="138"/>
      <c r="K58" s="235"/>
      <c r="L58" s="214"/>
      <c r="M58" s="139"/>
      <c r="N58" s="139"/>
      <c r="O58" s="214"/>
      <c r="P58" s="139"/>
      <c r="Q58" s="139"/>
      <c r="R58" s="214"/>
      <c r="S58" s="207"/>
      <c r="T58" s="191"/>
      <c r="U58" s="182"/>
    </row>
    <row r="59" spans="1:21" ht="40.5" customHeight="1" x14ac:dyDescent="0.2">
      <c r="A59" s="85">
        <v>3</v>
      </c>
      <c r="B59" s="281" t="s">
        <v>95</v>
      </c>
      <c r="C59" s="281"/>
      <c r="D59" s="281"/>
      <c r="E59" s="281"/>
      <c r="F59" s="281"/>
      <c r="G59" s="281"/>
      <c r="H59" s="281"/>
      <c r="I59" s="281"/>
      <c r="J59" s="139"/>
      <c r="K59" s="237"/>
      <c r="L59" s="214"/>
      <c r="M59" s="139"/>
      <c r="N59" s="139"/>
      <c r="O59" s="214"/>
      <c r="P59" s="139"/>
      <c r="Q59" s="139"/>
      <c r="R59" s="214"/>
      <c r="S59" s="139"/>
      <c r="T59" s="189"/>
      <c r="U59" s="182"/>
    </row>
    <row r="60" spans="1:21" ht="90.75" customHeight="1" x14ac:dyDescent="0.2">
      <c r="A60" s="85">
        <v>4</v>
      </c>
      <c r="B60" s="281" t="s">
        <v>96</v>
      </c>
      <c r="C60" s="281"/>
      <c r="D60" s="281"/>
      <c r="E60" s="281"/>
      <c r="F60" s="281"/>
      <c r="G60" s="281"/>
      <c r="H60" s="281"/>
      <c r="I60" s="281"/>
      <c r="J60" s="139"/>
      <c r="K60" s="236"/>
      <c r="L60" s="214"/>
      <c r="M60" s="139"/>
      <c r="N60" s="139"/>
      <c r="O60" s="214"/>
      <c r="P60" s="139"/>
      <c r="Q60" s="139"/>
      <c r="R60" s="214"/>
      <c r="S60" s="139"/>
      <c r="T60" s="189"/>
      <c r="U60" s="182"/>
    </row>
    <row r="61" spans="1:21" ht="15" x14ac:dyDescent="0.2">
      <c r="A61" s="85">
        <v>5</v>
      </c>
      <c r="B61" s="285"/>
      <c r="C61" s="285"/>
      <c r="D61" s="285"/>
      <c r="E61" s="285"/>
      <c r="F61" s="285"/>
      <c r="G61" s="285"/>
      <c r="H61" s="285"/>
      <c r="I61" s="285"/>
      <c r="J61" s="139"/>
      <c r="K61" s="236"/>
      <c r="L61" s="223"/>
      <c r="M61" s="206"/>
      <c r="N61" s="139"/>
      <c r="O61" s="214"/>
      <c r="P61" s="139"/>
      <c r="Q61" s="139"/>
      <c r="R61" s="214"/>
      <c r="T61" s="189"/>
      <c r="U61" s="182"/>
    </row>
    <row r="62" spans="1:21" ht="15" x14ac:dyDescent="0.2">
      <c r="A62" s="182"/>
      <c r="B62" s="182"/>
      <c r="K62" s="236"/>
      <c r="T62" s="189"/>
      <c r="U62" s="182"/>
    </row>
    <row r="63" spans="1:21" x14ac:dyDescent="0.2">
      <c r="A63" s="182"/>
      <c r="B63" s="182"/>
      <c r="T63" s="189"/>
      <c r="U63" s="182"/>
    </row>
    <row r="65" spans="2:20" x14ac:dyDescent="0.2">
      <c r="S65" s="139"/>
      <c r="T65" s="189"/>
    </row>
    <row r="66" spans="2:20" x14ac:dyDescent="0.2">
      <c r="T66" s="189"/>
    </row>
    <row r="67" spans="2:20" x14ac:dyDescent="0.2">
      <c r="T67" s="191"/>
    </row>
    <row r="69" spans="2:20" x14ac:dyDescent="0.2">
      <c r="F69" s="220"/>
      <c r="G69" s="207"/>
      <c r="H69" s="207"/>
    </row>
    <row r="72" spans="2:20" x14ac:dyDescent="0.2">
      <c r="B72" s="96" t="s">
        <v>58</v>
      </c>
    </row>
    <row r="73" spans="2:20" x14ac:dyDescent="0.2">
      <c r="B73" s="255" t="s">
        <v>75</v>
      </c>
      <c r="N73" s="258">
        <f>S25</f>
        <v>70296</v>
      </c>
      <c r="O73" s="258">
        <f>O25</f>
        <v>5307872</v>
      </c>
    </row>
    <row r="74" spans="2:20" x14ac:dyDescent="0.2">
      <c r="B74" s="255" t="s">
        <v>76</v>
      </c>
      <c r="N74" s="258">
        <f t="shared" ref="N74:O75" si="84">N26</f>
        <v>15672</v>
      </c>
      <c r="O74" s="258">
        <f t="shared" si="84"/>
        <v>2319456</v>
      </c>
    </row>
    <row r="75" spans="2:20" x14ac:dyDescent="0.2">
      <c r="B75" s="255" t="s">
        <v>77</v>
      </c>
      <c r="N75" s="258">
        <f t="shared" si="84"/>
        <v>2024</v>
      </c>
      <c r="O75" s="258">
        <f t="shared" si="84"/>
        <v>299552</v>
      </c>
    </row>
    <row r="76" spans="2:20" x14ac:dyDescent="0.2">
      <c r="B76" s="255" t="s">
        <v>86</v>
      </c>
      <c r="N76" s="258">
        <f>N36</f>
        <v>12705</v>
      </c>
      <c r="O76" s="258">
        <f>O36</f>
        <v>1880340</v>
      </c>
    </row>
    <row r="77" spans="2:20" x14ac:dyDescent="0.2">
      <c r="B77" s="255" t="s">
        <v>87</v>
      </c>
      <c r="N77" s="258">
        <f t="shared" ref="N77:O78" si="85">N37</f>
        <v>41816</v>
      </c>
      <c r="O77" s="258">
        <f t="shared" si="85"/>
        <v>6188768</v>
      </c>
    </row>
    <row r="78" spans="2:20" x14ac:dyDescent="0.2">
      <c r="B78" s="255" t="s">
        <v>88</v>
      </c>
      <c r="N78" s="258">
        <f t="shared" si="85"/>
        <v>34408</v>
      </c>
      <c r="O78" s="258">
        <f t="shared" si="85"/>
        <v>5092384</v>
      </c>
    </row>
    <row r="81" spans="2:2" ht="24" x14ac:dyDescent="0.2">
      <c r="B81" s="96" t="s">
        <v>90</v>
      </c>
    </row>
    <row r="82" spans="2:2" x14ac:dyDescent="0.2">
      <c r="B82" s="255" t="s">
        <v>87</v>
      </c>
    </row>
    <row r="83" spans="2:2" x14ac:dyDescent="0.2">
      <c r="B83" s="255" t="s">
        <v>88</v>
      </c>
    </row>
  </sheetData>
  <mergeCells count="12">
    <mergeCell ref="M5:O5"/>
    <mergeCell ref="B1:T1"/>
    <mergeCell ref="B2:T2"/>
    <mergeCell ref="B57:I57"/>
    <mergeCell ref="B58:I58"/>
    <mergeCell ref="P5:R5"/>
    <mergeCell ref="B61:I61"/>
    <mergeCell ref="B60:I60"/>
    <mergeCell ref="D5:F5"/>
    <mergeCell ref="G5:I5"/>
    <mergeCell ref="J5:L5"/>
    <mergeCell ref="B59:I5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28"/>
  <sheetViews>
    <sheetView zoomScale="110" zoomScaleNormal="110" workbookViewId="0">
      <pane xSplit="2" ySplit="6" topLeftCell="C7" activePane="bottomRight" state="frozenSplit"/>
      <selection pane="topRight" activeCell="E1" sqref="E1"/>
      <selection pane="bottomLeft" activeCell="A7" sqref="A7"/>
      <selection pane="bottomRight" activeCell="C7" sqref="C7"/>
    </sheetView>
  </sheetViews>
  <sheetFormatPr defaultColWidth="9.140625" defaultRowHeight="12" x14ac:dyDescent="0.2"/>
  <cols>
    <col min="1" max="1" width="9.140625" style="182"/>
    <col min="2" max="2" width="36.140625" style="182" customWidth="1"/>
    <col min="3" max="3" width="14.140625" style="215" customWidth="1"/>
    <col min="4" max="4" width="14.140625" style="205" customWidth="1"/>
    <col min="5" max="5" width="15.5703125" style="205" customWidth="1"/>
    <col min="6" max="7" width="15.5703125" style="215" customWidth="1"/>
    <col min="8" max="9" width="15.5703125" style="205" customWidth="1"/>
    <col min="10" max="11" width="15.5703125" style="215" customWidth="1"/>
    <col min="12" max="13" width="15.5703125" style="205" customWidth="1"/>
    <col min="14" max="15" width="15.5703125" style="215" customWidth="1"/>
    <col min="16" max="17" width="15.5703125" style="205" customWidth="1"/>
    <col min="18" max="18" width="15.5703125" style="215" customWidth="1"/>
    <col min="19" max="19" width="15.5703125" style="205" customWidth="1"/>
    <col min="20" max="20" width="15.5703125" style="87" customWidth="1"/>
    <col min="21" max="21" width="2.5703125" style="182" customWidth="1"/>
    <col min="22" max="22" width="10.42578125" style="182" bestFit="1" customWidth="1"/>
    <col min="23" max="16384" width="9.140625" style="182"/>
  </cols>
  <sheetData>
    <row r="1" spans="1:20" ht="15.75" x14ac:dyDescent="0.25">
      <c r="A1" s="73"/>
      <c r="B1" s="277" t="s">
        <v>97</v>
      </c>
      <c r="C1" s="277"/>
      <c r="D1" s="277"/>
      <c r="E1" s="277"/>
      <c r="F1" s="277"/>
      <c r="G1" s="277"/>
      <c r="H1" s="277"/>
      <c r="I1" s="277"/>
      <c r="J1" s="277"/>
      <c r="K1" s="277"/>
      <c r="L1" s="277"/>
      <c r="M1" s="277"/>
      <c r="N1" s="277"/>
      <c r="O1" s="277"/>
      <c r="P1" s="277"/>
      <c r="Q1" s="277"/>
      <c r="R1" s="277"/>
      <c r="S1" s="277"/>
      <c r="T1" s="277"/>
    </row>
    <row r="2" spans="1:20" ht="15.75" x14ac:dyDescent="0.25">
      <c r="A2" s="73"/>
      <c r="B2" s="277" t="s">
        <v>98</v>
      </c>
      <c r="C2" s="277"/>
      <c r="D2" s="277"/>
      <c r="E2" s="277"/>
      <c r="F2" s="277"/>
      <c r="G2" s="277"/>
      <c r="H2" s="277"/>
      <c r="I2" s="277"/>
      <c r="J2" s="277"/>
      <c r="K2" s="277"/>
      <c r="L2" s="277"/>
      <c r="M2" s="277"/>
      <c r="N2" s="277"/>
      <c r="O2" s="277"/>
      <c r="P2" s="277"/>
      <c r="Q2" s="277"/>
      <c r="R2" s="277"/>
      <c r="S2" s="277"/>
      <c r="T2" s="277"/>
    </row>
    <row r="3" spans="1:20" x14ac:dyDescent="0.2">
      <c r="A3" s="73"/>
      <c r="B3" s="74"/>
      <c r="C3" s="208"/>
      <c r="D3" s="194"/>
      <c r="E3" s="194"/>
      <c r="F3" s="208"/>
      <c r="G3" s="208"/>
      <c r="H3" s="194"/>
      <c r="I3" s="194"/>
      <c r="J3" s="208"/>
      <c r="K3" s="208"/>
      <c r="L3" s="194"/>
      <c r="M3" s="195"/>
      <c r="N3" s="208"/>
      <c r="O3" s="208"/>
      <c r="P3" s="194"/>
      <c r="Q3" s="194"/>
      <c r="R3" s="208"/>
      <c r="S3" s="194"/>
      <c r="T3" s="83"/>
    </row>
    <row r="4" spans="1:20" x14ac:dyDescent="0.2">
      <c r="A4" s="73"/>
      <c r="B4" s="74"/>
      <c r="C4" s="208"/>
      <c r="D4" s="194"/>
      <c r="E4" s="194"/>
      <c r="F4" s="208"/>
      <c r="G4" s="208"/>
      <c r="H4" s="194"/>
      <c r="I4" s="194"/>
      <c r="J4" s="208"/>
      <c r="K4" s="208"/>
      <c r="L4" s="194"/>
      <c r="M4" s="195"/>
      <c r="N4" s="213"/>
      <c r="O4" s="213"/>
      <c r="P4" s="196"/>
      <c r="Q4" s="194"/>
      <c r="R4" s="213"/>
      <c r="S4" s="194"/>
      <c r="T4" s="83"/>
    </row>
    <row r="5" spans="1:20" ht="12.75" customHeight="1" x14ac:dyDescent="0.2">
      <c r="A5" s="73"/>
      <c r="B5" s="240" t="s">
        <v>99</v>
      </c>
      <c r="C5" s="282" t="s">
        <v>3</v>
      </c>
      <c r="D5" s="283"/>
      <c r="E5" s="283"/>
      <c r="F5" s="284"/>
      <c r="G5" s="278" t="s">
        <v>4</v>
      </c>
      <c r="H5" s="279"/>
      <c r="I5" s="279"/>
      <c r="J5" s="280"/>
      <c r="K5" s="282" t="s">
        <v>5</v>
      </c>
      <c r="L5" s="283"/>
      <c r="M5" s="283"/>
      <c r="N5" s="284"/>
      <c r="O5" s="278" t="s">
        <v>6</v>
      </c>
      <c r="P5" s="279"/>
      <c r="Q5" s="279"/>
      <c r="R5" s="280"/>
      <c r="S5" s="192" t="s">
        <v>41</v>
      </c>
      <c r="T5" s="89" t="s">
        <v>8</v>
      </c>
    </row>
    <row r="6" spans="1:20" ht="24" x14ac:dyDescent="0.2">
      <c r="A6" s="73"/>
      <c r="B6" s="90" t="s">
        <v>57</v>
      </c>
      <c r="C6" s="141" t="s">
        <v>46</v>
      </c>
      <c r="D6" s="141" t="s">
        <v>45</v>
      </c>
      <c r="E6" s="141" t="s">
        <v>47</v>
      </c>
      <c r="F6" s="141" t="s">
        <v>48</v>
      </c>
      <c r="G6" s="141" t="s">
        <v>46</v>
      </c>
      <c r="H6" s="141" t="s">
        <v>45</v>
      </c>
      <c r="I6" s="141" t="s">
        <v>47</v>
      </c>
      <c r="J6" s="141" t="s">
        <v>48</v>
      </c>
      <c r="K6" s="141" t="s">
        <v>46</v>
      </c>
      <c r="L6" s="141" t="s">
        <v>45</v>
      </c>
      <c r="M6" s="141" t="s">
        <v>47</v>
      </c>
      <c r="N6" s="141" t="s">
        <v>48</v>
      </c>
      <c r="O6" s="141" t="s">
        <v>46</v>
      </c>
      <c r="P6" s="141" t="s">
        <v>45</v>
      </c>
      <c r="Q6" s="141" t="s">
        <v>47</v>
      </c>
      <c r="R6" s="141" t="s">
        <v>48</v>
      </c>
      <c r="S6" s="141"/>
      <c r="T6" s="184"/>
    </row>
    <row r="7" spans="1:20" x14ac:dyDescent="0.2">
      <c r="A7" s="73"/>
      <c r="B7" s="96" t="s">
        <v>100</v>
      </c>
      <c r="C7" s="219"/>
      <c r="D7" s="197">
        <f>SUM(D8:D10)</f>
        <v>0</v>
      </c>
      <c r="E7" s="197">
        <f>SUM(E8:E10)</f>
        <v>0</v>
      </c>
      <c r="F7" s="210">
        <f>SUM(F8:F10)</f>
        <v>0</v>
      </c>
      <c r="G7" s="210"/>
      <c r="H7" s="197">
        <f>SUM(H8:H10)</f>
        <v>0</v>
      </c>
      <c r="I7" s="197">
        <f>SUM(I8:I10)</f>
        <v>0</v>
      </c>
      <c r="J7" s="210">
        <f>SUM(J8:J10)</f>
        <v>0</v>
      </c>
      <c r="K7" s="210"/>
      <c r="L7" s="197">
        <f>SUM(L8:L10)</f>
        <v>5</v>
      </c>
      <c r="M7" s="197">
        <f>SUM(M8:M10)</f>
        <v>6680</v>
      </c>
      <c r="N7" s="210">
        <f>SUM(N8:N10)</f>
        <v>1371884.96</v>
      </c>
      <c r="O7" s="210"/>
      <c r="P7" s="197">
        <f>SUM(P8:P10)</f>
        <v>5</v>
      </c>
      <c r="Q7" s="197">
        <f>SUM(Q8:Q10)</f>
        <v>9240</v>
      </c>
      <c r="R7" s="210">
        <f>SUM(R8:R10)</f>
        <v>1952670.7200000002</v>
      </c>
      <c r="S7" s="197">
        <f>Q7+M7+I7+E7</f>
        <v>15920</v>
      </c>
      <c r="T7" s="186">
        <f>R7+N7+J7+F7</f>
        <v>3324555.68</v>
      </c>
    </row>
    <row r="8" spans="1:20" s="177" customFormat="1" x14ac:dyDescent="0.2">
      <c r="A8" s="73"/>
      <c r="B8" s="91" t="s">
        <v>101</v>
      </c>
      <c r="C8" s="217">
        <v>262.81</v>
      </c>
      <c r="D8" s="199">
        <v>0</v>
      </c>
      <c r="E8" s="199">
        <v>0</v>
      </c>
      <c r="F8" s="211">
        <f>$C8*E8</f>
        <v>0</v>
      </c>
      <c r="G8" s="217">
        <v>270.43</v>
      </c>
      <c r="H8" s="199">
        <v>0</v>
      </c>
      <c r="I8" s="199">
        <v>0</v>
      </c>
      <c r="J8" s="211">
        <f>I8*G8</f>
        <v>0</v>
      </c>
      <c r="K8" s="217">
        <v>278.27</v>
      </c>
      <c r="L8" s="199">
        <v>1</v>
      </c>
      <c r="M8" s="199">
        <v>1336</v>
      </c>
      <c r="N8" s="211">
        <f>M8*K8</f>
        <v>371768.72</v>
      </c>
      <c r="O8" s="217">
        <v>286.33999999999997</v>
      </c>
      <c r="P8" s="199">
        <v>1</v>
      </c>
      <c r="Q8" s="199">
        <v>1848</v>
      </c>
      <c r="R8" s="211">
        <f>Q8*O8</f>
        <v>529156.31999999995</v>
      </c>
      <c r="S8" s="199">
        <f>Q8+M8+I8+E8</f>
        <v>3184</v>
      </c>
      <c r="T8" s="187">
        <f>R8+N8+J8+F8</f>
        <v>900925.03999999992</v>
      </c>
    </row>
    <row r="9" spans="1:20" s="177" customFormat="1" x14ac:dyDescent="0.2">
      <c r="A9" s="73"/>
      <c r="B9" s="91" t="s">
        <v>102</v>
      </c>
      <c r="C9" s="217">
        <v>191.27</v>
      </c>
      <c r="D9" s="199">
        <v>0</v>
      </c>
      <c r="E9" s="199">
        <v>0</v>
      </c>
      <c r="F9" s="211">
        <f t="shared" ref="F9:F10" si="0">$C9*E9</f>
        <v>0</v>
      </c>
      <c r="G9" s="217">
        <v>196.82</v>
      </c>
      <c r="H9" s="199">
        <v>0</v>
      </c>
      <c r="I9" s="199">
        <v>0</v>
      </c>
      <c r="J9" s="211">
        <f t="shared" ref="J9:J10" si="1">I9*G9</f>
        <v>0</v>
      </c>
      <c r="K9" s="217">
        <v>202.53</v>
      </c>
      <c r="L9" s="199">
        <v>1</v>
      </c>
      <c r="M9" s="199">
        <v>1336</v>
      </c>
      <c r="N9" s="211">
        <f t="shared" ref="N9:N10" si="2">M9*K9</f>
        <v>270580.08</v>
      </c>
      <c r="O9" s="217">
        <v>208.4</v>
      </c>
      <c r="P9" s="199">
        <v>1</v>
      </c>
      <c r="Q9" s="199">
        <v>1848</v>
      </c>
      <c r="R9" s="211">
        <f t="shared" ref="R9:R10" si="3">Q9*O9</f>
        <v>385123.2</v>
      </c>
      <c r="S9" s="199">
        <f t="shared" ref="S9:S10" si="4">Q9+M9+I9+E9</f>
        <v>3184</v>
      </c>
      <c r="T9" s="187">
        <f t="shared" ref="T9:T10" si="5">R9+N9+J9+F9</f>
        <v>655703.28</v>
      </c>
    </row>
    <row r="10" spans="1:20" s="177" customFormat="1" x14ac:dyDescent="0.2">
      <c r="A10" s="73"/>
      <c r="B10" s="91" t="s">
        <v>103</v>
      </c>
      <c r="C10" s="217">
        <v>171.9</v>
      </c>
      <c r="D10" s="199">
        <v>0</v>
      </c>
      <c r="E10" s="199">
        <v>0</v>
      </c>
      <c r="F10" s="211">
        <f t="shared" si="0"/>
        <v>0</v>
      </c>
      <c r="G10" s="217">
        <v>176.89</v>
      </c>
      <c r="H10" s="199">
        <v>0</v>
      </c>
      <c r="I10" s="199">
        <v>0</v>
      </c>
      <c r="J10" s="211">
        <f t="shared" si="1"/>
        <v>0</v>
      </c>
      <c r="K10" s="217">
        <v>182.02</v>
      </c>
      <c r="L10" s="199">
        <v>3</v>
      </c>
      <c r="M10" s="199">
        <f>1336*3</f>
        <v>4008</v>
      </c>
      <c r="N10" s="211">
        <f t="shared" si="2"/>
        <v>729536.16</v>
      </c>
      <c r="O10" s="217">
        <v>187.3</v>
      </c>
      <c r="P10" s="199">
        <v>3</v>
      </c>
      <c r="Q10" s="199">
        <f>1848*3</f>
        <v>5544</v>
      </c>
      <c r="R10" s="211">
        <f t="shared" si="3"/>
        <v>1038391.2000000001</v>
      </c>
      <c r="S10" s="199">
        <f t="shared" si="4"/>
        <v>9552</v>
      </c>
      <c r="T10" s="187">
        <f t="shared" si="5"/>
        <v>1767927.36</v>
      </c>
    </row>
    <row r="11" spans="1:20" x14ac:dyDescent="0.2">
      <c r="A11" s="73"/>
      <c r="B11" s="91"/>
      <c r="C11" s="218"/>
      <c r="D11" s="201"/>
      <c r="E11" s="199"/>
      <c r="F11" s="211"/>
      <c r="G11" s="211"/>
      <c r="H11" s="200"/>
      <c r="I11" s="199"/>
      <c r="J11" s="211"/>
      <c r="K11" s="211"/>
      <c r="L11" s="200"/>
      <c r="M11" s="199"/>
      <c r="N11" s="211"/>
      <c r="O11" s="211"/>
      <c r="P11" s="200"/>
      <c r="Q11" s="199"/>
      <c r="R11" s="211"/>
      <c r="S11" s="199"/>
      <c r="T11" s="187"/>
    </row>
    <row r="12" spans="1:20" x14ac:dyDescent="0.2">
      <c r="A12" s="73"/>
      <c r="B12" s="90" t="s">
        <v>104</v>
      </c>
      <c r="C12" s="212"/>
      <c r="D12" s="202">
        <f>SUM(D8:D10)</f>
        <v>0</v>
      </c>
      <c r="E12" s="202">
        <f>SUM(E8:E10)</f>
        <v>0</v>
      </c>
      <c r="F12" s="212">
        <f>SUM(F8:F10)</f>
        <v>0</v>
      </c>
      <c r="G12" s="212"/>
      <c r="H12" s="202">
        <f>SUM(H8:H10)</f>
        <v>0</v>
      </c>
      <c r="I12" s="202">
        <f>SUM(I8:I10)</f>
        <v>0</v>
      </c>
      <c r="J12" s="212">
        <f>SUM(J8:J10)</f>
        <v>0</v>
      </c>
      <c r="K12" s="212"/>
      <c r="L12" s="202">
        <f>SUM(L8:L10)</f>
        <v>5</v>
      </c>
      <c r="M12" s="202">
        <f>SUM(M8:M10)</f>
        <v>6680</v>
      </c>
      <c r="N12" s="212">
        <f>SUM(N8:N10)</f>
        <v>1371884.96</v>
      </c>
      <c r="O12" s="212"/>
      <c r="P12" s="202">
        <f>SUM(P8:P10)</f>
        <v>5</v>
      </c>
      <c r="Q12" s="202">
        <f>SUM(Q8:Q10)</f>
        <v>9240</v>
      </c>
      <c r="R12" s="212">
        <f>SUM(R8:R10)</f>
        <v>1952670.7200000002</v>
      </c>
      <c r="S12" s="202">
        <f>SUM(S8:S10)</f>
        <v>15920</v>
      </c>
      <c r="T12" s="212">
        <f>SUM(T8:T10)</f>
        <v>3324555.6799999997</v>
      </c>
    </row>
    <row r="13" spans="1:20" x14ac:dyDescent="0.2">
      <c r="A13" s="73"/>
      <c r="B13" s="79"/>
      <c r="C13" s="213"/>
      <c r="D13" s="196"/>
      <c r="E13" s="196"/>
      <c r="F13" s="213"/>
      <c r="G13" s="213"/>
      <c r="H13" s="196"/>
      <c r="I13" s="203"/>
      <c r="J13" s="213"/>
      <c r="K13" s="213"/>
      <c r="L13" s="196"/>
      <c r="M13" s="196"/>
      <c r="N13" s="213"/>
      <c r="O13" s="213"/>
      <c r="P13" s="196"/>
      <c r="Q13" s="196"/>
      <c r="R13" s="213"/>
      <c r="S13" s="196"/>
      <c r="T13" s="80"/>
    </row>
    <row r="14" spans="1:20" x14ac:dyDescent="0.2">
      <c r="A14" s="73"/>
      <c r="B14" s="79"/>
      <c r="C14" s="213"/>
      <c r="D14" s="196"/>
      <c r="E14" s="221"/>
      <c r="F14" s="213"/>
      <c r="G14" s="213"/>
      <c r="H14" s="221"/>
      <c r="I14" s="221"/>
      <c r="J14" s="213"/>
      <c r="K14" s="213"/>
      <c r="L14" s="196"/>
      <c r="M14" s="221"/>
      <c r="N14" s="213"/>
      <c r="O14" s="213"/>
      <c r="P14" s="196"/>
      <c r="Q14" s="221"/>
      <c r="R14" s="213"/>
      <c r="S14" s="221"/>
      <c r="T14" s="221"/>
    </row>
    <row r="15" spans="1:20" x14ac:dyDescent="0.2">
      <c r="A15" s="73"/>
      <c r="B15" s="82" t="s">
        <v>23</v>
      </c>
      <c r="C15" s="214"/>
      <c r="D15" s="139"/>
      <c r="E15" s="139"/>
      <c r="F15" s="214"/>
      <c r="G15" s="214"/>
      <c r="H15" s="139"/>
      <c r="I15" s="139"/>
      <c r="J15" s="214"/>
      <c r="K15" s="214"/>
      <c r="L15" s="139"/>
      <c r="M15" s="204"/>
      <c r="N15" s="222"/>
      <c r="O15" s="222"/>
      <c r="P15" s="204"/>
      <c r="Q15" s="139"/>
      <c r="R15" s="214"/>
      <c r="S15" s="139"/>
      <c r="T15" s="189"/>
    </row>
    <row r="16" spans="1:20" ht="18" customHeight="1" x14ac:dyDescent="0.2">
      <c r="A16" s="85">
        <v>1</v>
      </c>
      <c r="B16" s="281"/>
      <c r="C16" s="281"/>
      <c r="D16" s="281"/>
      <c r="E16" s="281"/>
      <c r="F16" s="281"/>
      <c r="G16" s="281"/>
      <c r="H16" s="281"/>
      <c r="I16" s="281"/>
      <c r="J16" s="281"/>
      <c r="K16" s="138"/>
      <c r="L16" s="138"/>
      <c r="M16" s="190"/>
      <c r="N16" s="86"/>
      <c r="O16" s="86"/>
      <c r="P16" s="190"/>
      <c r="Q16" s="139"/>
      <c r="R16" s="214"/>
      <c r="S16" s="189"/>
      <c r="T16" s="189"/>
    </row>
    <row r="17" spans="1:21" ht="18" customHeight="1" x14ac:dyDescent="0.25">
      <c r="A17" s="85">
        <v>2</v>
      </c>
      <c r="B17" s="281"/>
      <c r="C17" s="281"/>
      <c r="D17" s="281"/>
      <c r="E17" s="281"/>
      <c r="F17" s="281"/>
      <c r="G17" s="281"/>
      <c r="H17" s="281"/>
      <c r="I17" s="281"/>
      <c r="J17" s="281"/>
      <c r="K17" s="138"/>
      <c r="L17" s="138"/>
      <c r="M17" s="235"/>
      <c r="N17" s="214"/>
      <c r="O17" s="214"/>
      <c r="P17" s="139"/>
      <c r="Q17" s="139"/>
      <c r="R17" s="214"/>
      <c r="S17" s="207"/>
      <c r="T17" s="191"/>
    </row>
    <row r="18" spans="1:21" ht="18" customHeight="1" x14ac:dyDescent="0.2">
      <c r="A18" s="85">
        <v>3</v>
      </c>
      <c r="B18" s="281"/>
      <c r="C18" s="281"/>
      <c r="D18" s="281"/>
      <c r="E18" s="281"/>
      <c r="F18" s="281"/>
      <c r="G18" s="281"/>
      <c r="H18" s="281"/>
      <c r="I18" s="281"/>
      <c r="J18" s="281"/>
      <c r="K18" s="138"/>
      <c r="L18" s="139"/>
      <c r="M18" s="237"/>
      <c r="N18" s="214"/>
      <c r="O18" s="214"/>
      <c r="P18" s="139"/>
      <c r="Q18" s="139"/>
      <c r="R18" s="214"/>
      <c r="S18" s="139"/>
      <c r="T18" s="189"/>
    </row>
    <row r="19" spans="1:21" ht="18" customHeight="1" x14ac:dyDescent="0.2">
      <c r="A19" s="85">
        <v>4</v>
      </c>
      <c r="B19" s="281"/>
      <c r="C19" s="281"/>
      <c r="D19" s="281"/>
      <c r="E19" s="281"/>
      <c r="F19" s="281"/>
      <c r="G19" s="281"/>
      <c r="H19" s="281"/>
      <c r="I19" s="281"/>
      <c r="J19" s="281"/>
      <c r="K19" s="138"/>
      <c r="L19" s="139"/>
      <c r="M19" s="236"/>
      <c r="N19" s="214"/>
      <c r="O19" s="214"/>
      <c r="P19" s="139"/>
      <c r="Q19" s="139"/>
      <c r="R19" s="214"/>
      <c r="S19" s="139"/>
      <c r="T19" s="189"/>
      <c r="U19" s="95"/>
    </row>
    <row r="20" spans="1:21" ht="18" customHeight="1" x14ac:dyDescent="0.2">
      <c r="A20" s="85">
        <v>5</v>
      </c>
      <c r="B20" s="285"/>
      <c r="C20" s="285"/>
      <c r="D20" s="285"/>
      <c r="E20" s="285"/>
      <c r="F20" s="285"/>
      <c r="G20" s="285"/>
      <c r="H20" s="285"/>
      <c r="I20" s="285"/>
      <c r="J20" s="285"/>
      <c r="K20" s="139"/>
      <c r="L20" s="139"/>
      <c r="M20" s="236"/>
      <c r="N20" s="223"/>
      <c r="O20" s="223"/>
      <c r="P20" s="206"/>
      <c r="Q20" s="139"/>
      <c r="R20" s="214"/>
      <c r="T20" s="189"/>
      <c r="U20" s="95"/>
    </row>
    <row r="21" spans="1:21" ht="15" x14ac:dyDescent="0.2">
      <c r="M21" s="236"/>
      <c r="T21" s="189"/>
    </row>
    <row r="22" spans="1:21" x14ac:dyDescent="0.2">
      <c r="T22" s="189"/>
    </row>
    <row r="24" spans="1:21" x14ac:dyDescent="0.2">
      <c r="S24" s="139"/>
      <c r="T24" s="189"/>
    </row>
    <row r="25" spans="1:21" x14ac:dyDescent="0.2">
      <c r="T25" s="189"/>
    </row>
    <row r="26" spans="1:21" x14ac:dyDescent="0.2">
      <c r="T26" s="191"/>
    </row>
    <row r="28" spans="1:21" x14ac:dyDescent="0.2">
      <c r="F28" s="220"/>
      <c r="G28" s="220"/>
      <c r="H28" s="207"/>
      <c r="I28" s="207"/>
    </row>
  </sheetData>
  <mergeCells count="11">
    <mergeCell ref="B16:J16"/>
    <mergeCell ref="B17:J17"/>
    <mergeCell ref="B18:J18"/>
    <mergeCell ref="B19:J19"/>
    <mergeCell ref="B20:J20"/>
    <mergeCell ref="C5:F5"/>
    <mergeCell ref="G5:J5"/>
    <mergeCell ref="K5:N5"/>
    <mergeCell ref="O5:R5"/>
    <mergeCell ref="B1:T1"/>
    <mergeCell ref="B2:T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2"/>
  <sheetViews>
    <sheetView zoomScaleNormal="100" workbookViewId="0">
      <selection activeCell="A20" sqref="A20"/>
    </sheetView>
  </sheetViews>
  <sheetFormatPr defaultColWidth="8.85546875" defaultRowHeight="12.75" x14ac:dyDescent="0.2"/>
  <cols>
    <col min="1" max="1" width="4.7109375" style="34" customWidth="1"/>
    <col min="2" max="2" width="80.140625" style="34" customWidth="1"/>
    <col min="3" max="8" width="16.42578125" style="34" customWidth="1"/>
    <col min="9" max="16384" width="8.85546875" style="34"/>
  </cols>
  <sheetData>
    <row r="1" spans="2:8" ht="14.25" customHeight="1" x14ac:dyDescent="0.25">
      <c r="B1" s="291" t="s">
        <v>105</v>
      </c>
      <c r="C1" s="291"/>
      <c r="D1" s="291"/>
      <c r="E1" s="291"/>
      <c r="F1" s="291"/>
      <c r="G1" s="291"/>
      <c r="H1" s="291"/>
    </row>
    <row r="2" spans="2:8" ht="15.75" x14ac:dyDescent="0.25">
      <c r="B2" s="291" t="s">
        <v>106</v>
      </c>
      <c r="C2" s="291"/>
      <c r="D2" s="291"/>
      <c r="E2" s="291"/>
      <c r="F2" s="291"/>
      <c r="G2" s="291"/>
      <c r="H2" s="291"/>
    </row>
    <row r="3" spans="2:8" ht="14.25" customHeight="1" x14ac:dyDescent="0.2">
      <c r="C3" s="35"/>
      <c r="D3" s="35"/>
      <c r="E3" s="35"/>
      <c r="F3" s="35"/>
      <c r="G3" s="35"/>
    </row>
    <row r="4" spans="2:8" x14ac:dyDescent="0.2">
      <c r="B4" s="122" t="s">
        <v>107</v>
      </c>
      <c r="C4" s="113" t="s">
        <v>3</v>
      </c>
      <c r="D4" s="113" t="s">
        <v>4</v>
      </c>
      <c r="E4" s="113" t="s">
        <v>5</v>
      </c>
      <c r="F4" s="113" t="s">
        <v>6</v>
      </c>
      <c r="G4" s="113" t="s">
        <v>108</v>
      </c>
      <c r="H4" s="114" t="s">
        <v>8</v>
      </c>
    </row>
    <row r="5" spans="2:8" x14ac:dyDescent="0.2">
      <c r="B5" s="115" t="s">
        <v>109</v>
      </c>
      <c r="C5" s="112">
        <f>SUM(C6:C12)</f>
        <v>0</v>
      </c>
      <c r="D5" s="112">
        <f>SUM(D6:D12)</f>
        <v>0</v>
      </c>
      <c r="E5" s="112">
        <f>SUM(E6:E12)</f>
        <v>3773169.6386320023</v>
      </c>
      <c r="F5" s="112">
        <f>SUM(F6:F12)</f>
        <v>6205269.4358720016</v>
      </c>
      <c r="G5" s="112">
        <f>SUM(G6:G12)</f>
        <v>2594691.41</v>
      </c>
      <c r="H5" s="112">
        <f>SUM(C5:G5)</f>
        <v>12573130.484504003</v>
      </c>
    </row>
    <row r="6" spans="2:8" s="71" customFormat="1" x14ac:dyDescent="0.2">
      <c r="B6" s="133" t="s">
        <v>110</v>
      </c>
      <c r="C6" s="134">
        <v>0</v>
      </c>
      <c r="D6" s="134">
        <v>0</v>
      </c>
      <c r="E6" s="249">
        <v>2596017.9672000022</v>
      </c>
      <c r="F6" s="249">
        <v>3894026.95</v>
      </c>
      <c r="G6" s="249">
        <v>1622511.23</v>
      </c>
      <c r="H6" s="68">
        <f t="shared" ref="H6:H8" si="0">SUM(C6:G6)</f>
        <v>8112556.1472000033</v>
      </c>
    </row>
    <row r="7" spans="2:8" s="71" customFormat="1" x14ac:dyDescent="0.2">
      <c r="B7" s="224" t="s">
        <v>111</v>
      </c>
      <c r="C7" s="134">
        <v>0</v>
      </c>
      <c r="D7" s="134">
        <v>0</v>
      </c>
      <c r="E7" s="249">
        <v>302668.03643199994</v>
      </c>
      <c r="F7" s="249">
        <v>626649.41587200004</v>
      </c>
      <c r="G7" s="249">
        <v>269721.93</v>
      </c>
      <c r="H7" s="68">
        <f t="shared" si="0"/>
        <v>1199039.382304</v>
      </c>
    </row>
    <row r="8" spans="2:8" s="71" customFormat="1" x14ac:dyDescent="0.2">
      <c r="B8" s="224" t="s">
        <v>112</v>
      </c>
      <c r="C8" s="134">
        <v>0</v>
      </c>
      <c r="D8" s="134">
        <v>0</v>
      </c>
      <c r="E8" s="249">
        <v>142653.30500000002</v>
      </c>
      <c r="F8" s="249">
        <v>297870.77999999997</v>
      </c>
      <c r="G8" s="249">
        <v>124657.5</v>
      </c>
      <c r="H8" s="68">
        <f t="shared" si="0"/>
        <v>565181.58499999996</v>
      </c>
    </row>
    <row r="9" spans="2:8" s="71" customFormat="1" x14ac:dyDescent="0.2">
      <c r="B9" s="133" t="s">
        <v>113</v>
      </c>
      <c r="C9" s="134">
        <v>0</v>
      </c>
      <c r="D9" s="134">
        <v>0</v>
      </c>
      <c r="E9" s="249">
        <v>236766.60000000003</v>
      </c>
      <c r="F9" s="249">
        <v>355149.9</v>
      </c>
      <c r="G9" s="249">
        <v>147979.13</v>
      </c>
      <c r="H9" s="68">
        <f>SUM(C9:G9)</f>
        <v>739895.63</v>
      </c>
    </row>
    <row r="10" spans="2:8" s="71" customFormat="1" x14ac:dyDescent="0.2">
      <c r="B10" s="133" t="s">
        <v>114</v>
      </c>
      <c r="C10" s="134">
        <v>0</v>
      </c>
      <c r="D10" s="134">
        <v>0</v>
      </c>
      <c r="E10" s="249">
        <v>187618.13000000003</v>
      </c>
      <c r="F10" s="249">
        <v>570403.99</v>
      </c>
      <c r="G10" s="249">
        <v>237668.12</v>
      </c>
      <c r="H10" s="68">
        <f>SUM(C10:G10)</f>
        <v>995690.24</v>
      </c>
    </row>
    <row r="11" spans="2:8" s="71" customFormat="1" x14ac:dyDescent="0.2">
      <c r="B11" s="133" t="s">
        <v>115</v>
      </c>
      <c r="C11" s="134">
        <v>0</v>
      </c>
      <c r="D11" s="134">
        <v>0</v>
      </c>
      <c r="E11" s="249">
        <v>307445.60000000003</v>
      </c>
      <c r="F11" s="249">
        <v>461168.4</v>
      </c>
      <c r="G11" s="249">
        <v>192153.5</v>
      </c>
      <c r="H11" s="68">
        <f>SUM(C11:G11)</f>
        <v>960767.5</v>
      </c>
    </row>
    <row r="12" spans="2:8" s="71" customFormat="1" x14ac:dyDescent="0.2">
      <c r="B12" s="133"/>
      <c r="C12" s="116"/>
      <c r="D12" s="116"/>
      <c r="E12" s="116"/>
      <c r="F12" s="116"/>
      <c r="G12" s="116"/>
      <c r="H12" s="116"/>
    </row>
    <row r="13" spans="2:8" s="71" customFormat="1" x14ac:dyDescent="0.2">
      <c r="B13" s="115" t="s">
        <v>116</v>
      </c>
      <c r="C13" s="112">
        <f>SUM(C14:C20)</f>
        <v>0</v>
      </c>
      <c r="D13" s="112">
        <f>SUM(D14:D20)</f>
        <v>0</v>
      </c>
      <c r="E13" s="112">
        <f>SUM(E14:E20)</f>
        <v>3915635.4400000004</v>
      </c>
      <c r="F13" s="112">
        <f>SUM(F14:F20)</f>
        <v>5940877.4000000004</v>
      </c>
      <c r="G13" s="112">
        <f>SUM(G14:G20)</f>
        <v>2510192.3499999996</v>
      </c>
      <c r="H13" s="112">
        <f>SUM(H14:H19)</f>
        <v>12366705.189999999</v>
      </c>
    </row>
    <row r="14" spans="2:8" s="71" customFormat="1" x14ac:dyDescent="0.2">
      <c r="B14" s="231" t="s">
        <v>117</v>
      </c>
      <c r="C14" s="134">
        <v>0</v>
      </c>
      <c r="D14" s="134">
        <v>0</v>
      </c>
      <c r="E14" s="249">
        <v>34680</v>
      </c>
      <c r="F14" s="249">
        <v>53061</v>
      </c>
      <c r="G14" s="249">
        <v>28719</v>
      </c>
      <c r="H14" s="68">
        <f t="shared" ref="H14" si="1">SUM(C14:G14)</f>
        <v>116460</v>
      </c>
    </row>
    <row r="15" spans="2:8" s="71" customFormat="1" x14ac:dyDescent="0.2">
      <c r="B15" s="224" t="s">
        <v>118</v>
      </c>
      <c r="C15" s="134">
        <v>0</v>
      </c>
      <c r="D15" s="134">
        <v>0</v>
      </c>
      <c r="E15" s="249">
        <v>755536.32</v>
      </c>
      <c r="F15" s="249">
        <v>1133304.48</v>
      </c>
      <c r="G15" s="249">
        <v>472210.2</v>
      </c>
      <c r="H15" s="68">
        <f t="shared" ref="H15:H19" si="2">SUM(C15:G15)</f>
        <v>2361051</v>
      </c>
    </row>
    <row r="16" spans="2:8" s="71" customFormat="1" x14ac:dyDescent="0.2">
      <c r="B16" s="224" t="s">
        <v>119</v>
      </c>
      <c r="C16" s="134">
        <v>0</v>
      </c>
      <c r="D16" s="134">
        <v>0</v>
      </c>
      <c r="E16" s="249">
        <v>239902.56</v>
      </c>
      <c r="F16" s="249">
        <v>359853.84</v>
      </c>
      <c r="G16" s="249">
        <v>149939.1</v>
      </c>
      <c r="H16" s="68">
        <f t="shared" si="2"/>
        <v>749695.5</v>
      </c>
    </row>
    <row r="17" spans="1:8" s="71" customFormat="1" x14ac:dyDescent="0.2">
      <c r="B17" s="224" t="s">
        <v>120</v>
      </c>
      <c r="C17" s="134">
        <v>0</v>
      </c>
      <c r="D17" s="134">
        <v>0</v>
      </c>
      <c r="E17" s="249">
        <v>585388.16</v>
      </c>
      <c r="F17" s="249">
        <v>878082.24000000011</v>
      </c>
      <c r="G17" s="249">
        <v>365867.60000000003</v>
      </c>
      <c r="H17" s="68">
        <f t="shared" si="2"/>
        <v>1829338.0000000002</v>
      </c>
    </row>
    <row r="18" spans="1:8" s="71" customFormat="1" x14ac:dyDescent="0.2">
      <c r="B18" s="133" t="s">
        <v>121</v>
      </c>
      <c r="C18" s="134">
        <v>0</v>
      </c>
      <c r="D18" s="134">
        <v>0</v>
      </c>
      <c r="E18" s="249">
        <v>1772385.9200000004</v>
      </c>
      <c r="F18" s="249">
        <v>2709129.8400000003</v>
      </c>
      <c r="G18" s="249">
        <v>1150291.8999999999</v>
      </c>
      <c r="H18" s="68">
        <f t="shared" si="2"/>
        <v>5631807.6600000001</v>
      </c>
    </row>
    <row r="19" spans="1:8" s="71" customFormat="1" ht="25.5" x14ac:dyDescent="0.2">
      <c r="B19" s="231" t="s">
        <v>122</v>
      </c>
      <c r="C19" s="134">
        <v>0</v>
      </c>
      <c r="D19" s="134">
        <v>0</v>
      </c>
      <c r="E19" s="249">
        <v>527742.48</v>
      </c>
      <c r="F19" s="249">
        <v>807446</v>
      </c>
      <c r="G19" s="249">
        <v>343164.55</v>
      </c>
      <c r="H19" s="68">
        <f t="shared" si="2"/>
        <v>1678353.03</v>
      </c>
    </row>
    <row r="20" spans="1:8" customFormat="1" x14ac:dyDescent="0.2">
      <c r="A20" s="71"/>
      <c r="B20" s="116"/>
      <c r="C20" s="116"/>
      <c r="D20" s="116"/>
      <c r="E20" s="116"/>
      <c r="F20" s="116"/>
      <c r="G20" s="116"/>
      <c r="H20" s="116"/>
    </row>
    <row r="21" spans="1:8" x14ac:dyDescent="0.2">
      <c r="B21" s="115" t="s">
        <v>123</v>
      </c>
      <c r="C21" s="111">
        <f t="shared" ref="C21:H21" si="3">SUM(C22:C24)</f>
        <v>0</v>
      </c>
      <c r="D21" s="111">
        <f t="shared" si="3"/>
        <v>0</v>
      </c>
      <c r="E21" s="112">
        <f t="shared" si="3"/>
        <v>9438008.1400000006</v>
      </c>
      <c r="F21" s="112">
        <f t="shared" si="3"/>
        <v>14420750.5</v>
      </c>
      <c r="G21" s="112">
        <f t="shared" si="3"/>
        <v>6121833.7000000002</v>
      </c>
      <c r="H21" s="112">
        <f t="shared" si="3"/>
        <v>29980592.34</v>
      </c>
    </row>
    <row r="22" spans="1:8" x14ac:dyDescent="0.2">
      <c r="B22" s="117" t="s">
        <v>124</v>
      </c>
      <c r="C22" s="118">
        <v>0</v>
      </c>
      <c r="D22" s="118">
        <v>0</v>
      </c>
      <c r="E22" s="20">
        <v>4719004.07</v>
      </c>
      <c r="F22" s="20">
        <v>7210375.25</v>
      </c>
      <c r="G22" s="9">
        <v>3060916.85</v>
      </c>
      <c r="H22" s="68">
        <f>SUM(C22:G22)</f>
        <v>14990296.17</v>
      </c>
    </row>
    <row r="23" spans="1:8" x14ac:dyDescent="0.2">
      <c r="B23" s="117" t="s">
        <v>125</v>
      </c>
      <c r="C23" s="118">
        <v>0</v>
      </c>
      <c r="D23" s="118">
        <v>0</v>
      </c>
      <c r="E23" s="20">
        <v>4719004.07</v>
      </c>
      <c r="F23" s="20">
        <v>7210375.25</v>
      </c>
      <c r="G23" s="9">
        <v>3060916.85</v>
      </c>
      <c r="H23" s="68">
        <f t="shared" ref="H23:H24" si="4">SUM(C23:G23)</f>
        <v>14990296.17</v>
      </c>
    </row>
    <row r="24" spans="1:8" x14ac:dyDescent="0.2">
      <c r="B24" s="117" t="s">
        <v>126</v>
      </c>
      <c r="C24" s="118">
        <v>0</v>
      </c>
      <c r="D24" s="118">
        <v>0</v>
      </c>
      <c r="E24" s="20">
        <v>0</v>
      </c>
      <c r="F24" s="20">
        <v>0</v>
      </c>
      <c r="G24" s="9">
        <v>0</v>
      </c>
      <c r="H24" s="68">
        <f t="shared" si="4"/>
        <v>0</v>
      </c>
    </row>
    <row r="25" spans="1:8" x14ac:dyDescent="0.2">
      <c r="B25" s="117"/>
      <c r="C25" s="118"/>
      <c r="D25" s="118"/>
      <c r="E25" s="20"/>
      <c r="F25" s="20"/>
      <c r="G25" s="9"/>
      <c r="H25" s="68"/>
    </row>
    <row r="26" spans="1:8" x14ac:dyDescent="0.2">
      <c r="B26" s="120" t="s">
        <v>127</v>
      </c>
      <c r="C26" s="121">
        <f t="shared" ref="C26:H26" si="5">C5+C13+C21</f>
        <v>0</v>
      </c>
      <c r="D26" s="121">
        <f t="shared" si="5"/>
        <v>0</v>
      </c>
      <c r="E26" s="121">
        <f t="shared" si="5"/>
        <v>17126813.218632005</v>
      </c>
      <c r="F26" s="121">
        <f t="shared" si="5"/>
        <v>26566897.335872002</v>
      </c>
      <c r="G26" s="121">
        <f t="shared" si="5"/>
        <v>11226717.460000001</v>
      </c>
      <c r="H26" s="121">
        <f t="shared" si="5"/>
        <v>54920428.014504001</v>
      </c>
    </row>
    <row r="27" spans="1:8" ht="10.15" customHeight="1" x14ac:dyDescent="0.2"/>
    <row r="28" spans="1:8" x14ac:dyDescent="0.2">
      <c r="C28" s="37"/>
      <c r="D28" s="37"/>
      <c r="E28" s="234"/>
      <c r="F28" s="234"/>
      <c r="G28" s="234"/>
      <c r="H28" s="234"/>
    </row>
    <row r="29" spans="1:8" x14ac:dyDescent="0.2">
      <c r="B29" s="16" t="s">
        <v>23</v>
      </c>
      <c r="C29" s="37"/>
      <c r="D29" s="37"/>
      <c r="F29" s="234"/>
      <c r="H29" s="37"/>
    </row>
    <row r="30" spans="1:8" ht="44.25" customHeight="1" x14ac:dyDescent="0.2">
      <c r="A30" s="18">
        <v>1</v>
      </c>
      <c r="B30" s="287" t="s">
        <v>128</v>
      </c>
      <c r="C30" s="288"/>
      <c r="D30" s="289"/>
      <c r="E30" s="37"/>
      <c r="F30" s="37"/>
      <c r="G30" s="37"/>
      <c r="H30" s="37"/>
    </row>
    <row r="31" spans="1:8" s="36" customFormat="1" ht="176.25" customHeight="1" x14ac:dyDescent="0.2">
      <c r="A31" s="19">
        <v>2</v>
      </c>
      <c r="B31" s="292" t="s">
        <v>129</v>
      </c>
      <c r="C31" s="293"/>
      <c r="D31" s="294"/>
    </row>
    <row r="32" spans="1:8" s="36" customFormat="1" ht="24.75" customHeight="1" x14ac:dyDescent="0.2">
      <c r="A32" s="18">
        <v>3</v>
      </c>
      <c r="B32" s="295" t="s">
        <v>130</v>
      </c>
      <c r="C32" s="296"/>
      <c r="D32" s="297"/>
    </row>
    <row r="33" spans="1:9" ht="33" customHeight="1" x14ac:dyDescent="0.2">
      <c r="A33" s="18">
        <v>4</v>
      </c>
      <c r="B33" s="295" t="s">
        <v>131</v>
      </c>
      <c r="C33" s="296"/>
      <c r="D33" s="297"/>
      <c r="H33" s="37"/>
    </row>
    <row r="34" spans="1:9" ht="96" customHeight="1" x14ac:dyDescent="0.2">
      <c r="A34" s="18">
        <v>5</v>
      </c>
      <c r="B34" s="287" t="s">
        <v>132</v>
      </c>
      <c r="C34" s="288"/>
      <c r="D34" s="289"/>
      <c r="E34" s="4"/>
      <c r="F34" s="6"/>
      <c r="G34" s="6"/>
    </row>
    <row r="35" spans="1:9" ht="38.450000000000003" customHeight="1" x14ac:dyDescent="0.2">
      <c r="A35" s="19">
        <v>6</v>
      </c>
      <c r="B35" s="290" t="s">
        <v>133</v>
      </c>
      <c r="C35" s="290"/>
      <c r="D35" s="290"/>
      <c r="E35" s="41"/>
      <c r="F35" s="41"/>
      <c r="G35" s="41"/>
      <c r="H35" s="45"/>
      <c r="I35" s="6"/>
    </row>
    <row r="36" spans="1:9" ht="54" customHeight="1" x14ac:dyDescent="0.2">
      <c r="A36" s="19">
        <v>7</v>
      </c>
      <c r="B36" s="286" t="s">
        <v>134</v>
      </c>
      <c r="C36" s="286"/>
      <c r="D36" s="286"/>
      <c r="E36" s="54"/>
      <c r="F36" s="10"/>
      <c r="G36" s="10"/>
      <c r="H36" s="58"/>
      <c r="I36" s="6"/>
    </row>
    <row r="37" spans="1:9" ht="54.75" customHeight="1" x14ac:dyDescent="0.2">
      <c r="A37" s="18">
        <v>8</v>
      </c>
      <c r="B37" s="286" t="s">
        <v>135</v>
      </c>
      <c r="C37" s="286"/>
      <c r="D37" s="286"/>
      <c r="E37" s="10"/>
      <c r="F37" s="17"/>
      <c r="G37" s="17"/>
      <c r="H37" s="17"/>
      <c r="I37" s="6"/>
    </row>
    <row r="38" spans="1:9" ht="54.75" customHeight="1" x14ac:dyDescent="0.2">
      <c r="A38" s="18">
        <v>9</v>
      </c>
      <c r="B38" s="286" t="s">
        <v>136</v>
      </c>
      <c r="C38" s="286"/>
      <c r="D38" s="286"/>
      <c r="E38" s="10"/>
      <c r="F38" s="17"/>
      <c r="G38" s="17"/>
      <c r="H38" s="17"/>
      <c r="I38" s="6"/>
    </row>
    <row r="39" spans="1:9" ht="59.25" customHeight="1" x14ac:dyDescent="0.2">
      <c r="A39" s="19">
        <v>10</v>
      </c>
      <c r="B39" s="286" t="s">
        <v>137</v>
      </c>
      <c r="C39" s="286"/>
      <c r="D39" s="286"/>
      <c r="E39" s="58"/>
      <c r="F39" s="58"/>
      <c r="G39" s="58"/>
      <c r="H39" s="58"/>
      <c r="I39" s="6"/>
    </row>
    <row r="40" spans="1:9" ht="39.75" customHeight="1" x14ac:dyDescent="0.2">
      <c r="A40" s="18">
        <v>11</v>
      </c>
      <c r="B40" s="286" t="s">
        <v>138</v>
      </c>
      <c r="C40" s="286"/>
      <c r="D40" s="286"/>
      <c r="E40" s="6"/>
      <c r="F40" s="6"/>
      <c r="G40" s="6"/>
      <c r="H40" s="6"/>
      <c r="I40" s="6"/>
    </row>
    <row r="41" spans="1:9" ht="39.75" customHeight="1" x14ac:dyDescent="0.2">
      <c r="A41" s="18">
        <v>12</v>
      </c>
      <c r="B41" s="286" t="s">
        <v>139</v>
      </c>
      <c r="C41" s="286"/>
      <c r="D41" s="286"/>
    </row>
    <row r="42" spans="1:9" ht="25.5" customHeight="1" x14ac:dyDescent="0.2">
      <c r="A42" s="18">
        <v>13</v>
      </c>
      <c r="B42" s="286" t="s">
        <v>140</v>
      </c>
      <c r="C42" s="286"/>
      <c r="D42" s="286"/>
    </row>
  </sheetData>
  <mergeCells count="15">
    <mergeCell ref="B42:D42"/>
    <mergeCell ref="B34:D34"/>
    <mergeCell ref="B35:D35"/>
    <mergeCell ref="B1:H1"/>
    <mergeCell ref="B2:H2"/>
    <mergeCell ref="B30:D30"/>
    <mergeCell ref="B31:D31"/>
    <mergeCell ref="B33:D33"/>
    <mergeCell ref="B32:D32"/>
    <mergeCell ref="B41:D41"/>
    <mergeCell ref="B40:D40"/>
    <mergeCell ref="B36:D36"/>
    <mergeCell ref="B37:D37"/>
    <mergeCell ref="B38:D38"/>
    <mergeCell ref="B39:D39"/>
  </mergeCells>
  <printOptions horizontalCentered="1"/>
  <pageMargins left="0.2" right="0.23" top="1.02" bottom="0.6" header="0.46" footer="0.25"/>
  <pageSetup scale="70" orientation="landscape" useFirstPageNumber="1" r:id="rId1"/>
  <headerFooter alignWithMargins="0">
    <oddFooter>&amp;L&amp;"Arial,Bold"&amp;A
&amp;D&amp;CAccenture Confidential and Proprietary&amp;R&amp;"Arial,Bold"Page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E3F33-7F53-43C0-B072-3039A2C4A698}">
  <sheetPr>
    <pageSetUpPr fitToPage="1"/>
  </sheetPr>
  <dimension ref="A1:L42"/>
  <sheetViews>
    <sheetView topLeftCell="C1" zoomScaleNormal="100" workbookViewId="0">
      <selection activeCell="E11" sqref="E11:G11"/>
    </sheetView>
  </sheetViews>
  <sheetFormatPr defaultColWidth="8.85546875" defaultRowHeight="12.75" x14ac:dyDescent="0.2"/>
  <cols>
    <col min="1" max="1" width="4.7109375" style="34" customWidth="1"/>
    <col min="2" max="2" width="80.140625" style="34" customWidth="1"/>
    <col min="3" max="8" width="16.42578125" style="34" customWidth="1"/>
    <col min="9" max="9" width="4" style="34" customWidth="1"/>
    <col min="10" max="10" width="14.42578125" style="34" customWidth="1"/>
    <col min="11" max="11" width="3.28515625" style="34" customWidth="1"/>
    <col min="12" max="12" width="13.85546875" style="34" customWidth="1"/>
    <col min="13" max="16384" width="8.85546875" style="34"/>
  </cols>
  <sheetData>
    <row r="1" spans="2:12" ht="14.25" customHeight="1" x14ac:dyDescent="0.25">
      <c r="B1" s="291" t="s">
        <v>105</v>
      </c>
      <c r="C1" s="291"/>
      <c r="D1" s="291"/>
      <c r="E1" s="291"/>
      <c r="F1" s="291"/>
      <c r="G1" s="291"/>
      <c r="H1" s="291"/>
    </row>
    <row r="2" spans="2:12" ht="15.75" x14ac:dyDescent="0.25">
      <c r="B2" s="291" t="s">
        <v>106</v>
      </c>
      <c r="C2" s="291"/>
      <c r="D2" s="291"/>
      <c r="E2" s="291"/>
      <c r="F2" s="291"/>
      <c r="G2" s="291"/>
      <c r="H2" s="291"/>
    </row>
    <row r="3" spans="2:12" ht="14.25" customHeight="1" x14ac:dyDescent="0.2">
      <c r="C3" s="35"/>
      <c r="D3" s="35"/>
      <c r="E3" s="35"/>
      <c r="F3" s="35"/>
      <c r="G3" s="35"/>
    </row>
    <row r="4" spans="2:12" ht="25.5" x14ac:dyDescent="0.2">
      <c r="B4" s="122" t="s">
        <v>107</v>
      </c>
      <c r="C4" s="113" t="s">
        <v>3</v>
      </c>
      <c r="D4" s="113" t="s">
        <v>4</v>
      </c>
      <c r="E4" s="113" t="s">
        <v>5</v>
      </c>
      <c r="F4" s="113" t="s">
        <v>6</v>
      </c>
      <c r="G4" s="113" t="s">
        <v>108</v>
      </c>
      <c r="H4" s="114" t="s">
        <v>8</v>
      </c>
      <c r="J4" s="114" t="s">
        <v>194</v>
      </c>
      <c r="L4" s="114" t="s">
        <v>186</v>
      </c>
    </row>
    <row r="5" spans="2:12" x14ac:dyDescent="0.2">
      <c r="B5" s="115" t="s">
        <v>109</v>
      </c>
      <c r="C5" s="112">
        <f>SUM(C6:C12)</f>
        <v>0</v>
      </c>
      <c r="D5" s="112">
        <f>SUM(D6:D12)</f>
        <v>0</v>
      </c>
      <c r="E5" s="112">
        <f>SUM(E6:E12)</f>
        <v>3525271.2092000023</v>
      </c>
      <c r="F5" s="112">
        <f>SUM(F6:F12)</f>
        <v>5731595.4349440029</v>
      </c>
      <c r="G5" s="112">
        <f>SUM(G6:G12)</f>
        <v>2568450.0892600012</v>
      </c>
      <c r="H5" s="112">
        <f>SUM(C5:G5)</f>
        <v>11825316.733404007</v>
      </c>
      <c r="J5" s="112">
        <f>SUM(J6:J11)</f>
        <v>12573130.484504003</v>
      </c>
      <c r="L5" s="112">
        <f>SUM(L6:L11)</f>
        <v>747813.75109999662</v>
      </c>
    </row>
    <row r="6" spans="2:12" s="71" customFormat="1" x14ac:dyDescent="0.2">
      <c r="B6" s="133" t="s">
        <v>110</v>
      </c>
      <c r="C6" s="134">
        <v>0</v>
      </c>
      <c r="D6" s="134">
        <v>0</v>
      </c>
      <c r="E6" s="249">
        <v>2596017.9672000022</v>
      </c>
      <c r="F6" s="249">
        <v>3894026.9508000026</v>
      </c>
      <c r="G6" s="249">
        <v>1622511.2295000011</v>
      </c>
      <c r="H6" s="68">
        <f t="shared" ref="H6:H8" si="0">SUM(C6:G6)</f>
        <v>8112556.1475000065</v>
      </c>
      <c r="J6" s="68">
        <v>8112556.1472000033</v>
      </c>
      <c r="L6" s="68">
        <f>J6-H6</f>
        <v>-3.0000321567058563E-4</v>
      </c>
    </row>
    <row r="7" spans="2:12" s="71" customFormat="1" x14ac:dyDescent="0.2">
      <c r="B7" s="224" t="s">
        <v>111</v>
      </c>
      <c r="C7" s="134">
        <v>0</v>
      </c>
      <c r="D7" s="134">
        <v>0</v>
      </c>
      <c r="E7" s="249">
        <v>278346.11200000002</v>
      </c>
      <c r="F7" s="249">
        <v>481483.91414400004</v>
      </c>
      <c r="G7" s="249">
        <v>266849.25976000004</v>
      </c>
      <c r="H7" s="68">
        <f t="shared" si="0"/>
        <v>1026679.285904</v>
      </c>
      <c r="J7" s="68">
        <v>1199039.382304</v>
      </c>
      <c r="L7" s="68">
        <f t="shared" ref="L7:L11" si="1">J7-H7</f>
        <v>172360.09639999992</v>
      </c>
    </row>
    <row r="8" spans="2:12" s="71" customFormat="1" x14ac:dyDescent="0.2">
      <c r="B8" s="224" t="s">
        <v>112</v>
      </c>
      <c r="C8" s="134">
        <v>0</v>
      </c>
      <c r="D8" s="134">
        <v>0</v>
      </c>
      <c r="E8" s="249">
        <v>130180</v>
      </c>
      <c r="F8" s="249">
        <v>223423.81000000003</v>
      </c>
      <c r="G8" s="249">
        <v>123184.27500000001</v>
      </c>
      <c r="H8" s="68">
        <f t="shared" si="0"/>
        <v>476788.08500000008</v>
      </c>
      <c r="J8" s="68">
        <v>565181.58499999996</v>
      </c>
      <c r="L8" s="68">
        <f t="shared" si="1"/>
        <v>88393.499999999884</v>
      </c>
    </row>
    <row r="9" spans="2:12" s="71" customFormat="1" x14ac:dyDescent="0.2">
      <c r="B9" s="133" t="s">
        <v>113</v>
      </c>
      <c r="C9" s="134">
        <v>0</v>
      </c>
      <c r="D9" s="134">
        <v>0</v>
      </c>
      <c r="E9" s="249">
        <v>236766.60000000003</v>
      </c>
      <c r="F9" s="249">
        <v>355149.9</v>
      </c>
      <c r="G9" s="249">
        <v>147979.125</v>
      </c>
      <c r="H9" s="68">
        <f>SUM(C9:G9)</f>
        <v>739895.625</v>
      </c>
      <c r="J9" s="68">
        <v>739895.63</v>
      </c>
      <c r="L9" s="68">
        <f t="shared" si="1"/>
        <v>5.0000000046566129E-3</v>
      </c>
    </row>
    <row r="10" spans="2:12" s="71" customFormat="1" x14ac:dyDescent="0.2">
      <c r="B10" s="133" t="s">
        <v>114</v>
      </c>
      <c r="C10" s="134">
        <v>0</v>
      </c>
      <c r="D10" s="134">
        <v>0</v>
      </c>
      <c r="E10" s="249">
        <v>11548.53</v>
      </c>
      <c r="F10" s="249">
        <v>368892.86</v>
      </c>
      <c r="G10" s="249">
        <v>237668.19999999998</v>
      </c>
      <c r="H10" s="68">
        <f>SUM(C10:G10)</f>
        <v>618109.59</v>
      </c>
      <c r="J10" s="68">
        <v>995690.24</v>
      </c>
      <c r="L10" s="68">
        <f t="shared" si="1"/>
        <v>377580.65</v>
      </c>
    </row>
    <row r="11" spans="2:12" s="71" customFormat="1" x14ac:dyDescent="0.2">
      <c r="B11" s="133" t="s">
        <v>115</v>
      </c>
      <c r="C11" s="134">
        <v>0</v>
      </c>
      <c r="D11" s="134">
        <v>0</v>
      </c>
      <c r="E11" s="249">
        <v>272412</v>
      </c>
      <c r="F11" s="249">
        <v>408618</v>
      </c>
      <c r="G11" s="249">
        <v>170258</v>
      </c>
      <c r="H11" s="68">
        <f>SUM(C11:G11)</f>
        <v>851288</v>
      </c>
      <c r="J11" s="68">
        <v>960767.5</v>
      </c>
      <c r="L11" s="68">
        <f t="shared" si="1"/>
        <v>109479.5</v>
      </c>
    </row>
    <row r="12" spans="2:12" s="71" customFormat="1" x14ac:dyDescent="0.2">
      <c r="B12" s="133"/>
      <c r="C12" s="116"/>
      <c r="D12" s="116"/>
      <c r="E12" s="116"/>
      <c r="F12" s="116"/>
      <c r="G12" s="116"/>
      <c r="H12" s="116"/>
      <c r="J12" s="116"/>
      <c r="L12" s="116"/>
    </row>
    <row r="13" spans="2:12" s="71" customFormat="1" x14ac:dyDescent="0.2">
      <c r="B13" s="115" t="s">
        <v>116</v>
      </c>
      <c r="C13" s="112">
        <f>SUM(C14:C20)</f>
        <v>0</v>
      </c>
      <c r="D13" s="112">
        <f>SUM(D14:D20)</f>
        <v>0</v>
      </c>
      <c r="E13" s="112">
        <f>SUM(E14:E20)</f>
        <v>3915635.4438399998</v>
      </c>
      <c r="F13" s="112">
        <f>SUM(F14:F20)</f>
        <v>5940877.4002752006</v>
      </c>
      <c r="G13" s="112">
        <f>SUM(G14:G20)</f>
        <v>2510192.6001169598</v>
      </c>
      <c r="H13" s="112">
        <f>SUM(H14:H19)</f>
        <v>12366705.44423216</v>
      </c>
      <c r="J13" s="112">
        <f>SUM(J14:J19)</f>
        <v>12366705.189999999</v>
      </c>
      <c r="L13" s="112">
        <f>SUM(L14:L19)</f>
        <v>-0.25423215981572866</v>
      </c>
    </row>
    <row r="14" spans="2:12" s="71" customFormat="1" x14ac:dyDescent="0.2">
      <c r="B14" s="231" t="s">
        <v>117</v>
      </c>
      <c r="C14" s="134">
        <v>0</v>
      </c>
      <c r="D14" s="134">
        <v>0</v>
      </c>
      <c r="E14" s="249">
        <v>34680</v>
      </c>
      <c r="F14" s="249">
        <v>53061</v>
      </c>
      <c r="G14" s="249">
        <v>28719.25</v>
      </c>
      <c r="H14" s="68">
        <f t="shared" ref="H14:H19" si="2">SUM(C14:G14)</f>
        <v>116460.25</v>
      </c>
      <c r="J14" s="68">
        <v>116460</v>
      </c>
      <c r="L14" s="68">
        <f t="shared" ref="L14:L19" si="3">J14-H14</f>
        <v>-0.25</v>
      </c>
    </row>
    <row r="15" spans="2:12" s="71" customFormat="1" x14ac:dyDescent="0.2">
      <c r="B15" s="224" t="s">
        <v>118</v>
      </c>
      <c r="C15" s="134">
        <v>0</v>
      </c>
      <c r="D15" s="134">
        <v>0</v>
      </c>
      <c r="E15" s="249">
        <v>755536.32000000007</v>
      </c>
      <c r="F15" s="249">
        <v>1133304.4799999997</v>
      </c>
      <c r="G15" s="249">
        <v>472210.19999999995</v>
      </c>
      <c r="H15" s="68">
        <f t="shared" si="2"/>
        <v>2361051</v>
      </c>
      <c r="J15" s="68">
        <v>2361051</v>
      </c>
      <c r="L15" s="68">
        <f t="shared" si="3"/>
        <v>0</v>
      </c>
    </row>
    <row r="16" spans="2:12" s="71" customFormat="1" x14ac:dyDescent="0.2">
      <c r="B16" s="224" t="s">
        <v>119</v>
      </c>
      <c r="C16" s="134">
        <v>0</v>
      </c>
      <c r="D16" s="134">
        <v>0</v>
      </c>
      <c r="E16" s="249">
        <v>239902.56000000003</v>
      </c>
      <c r="F16" s="249">
        <v>359853.84</v>
      </c>
      <c r="G16" s="249">
        <v>149939.1</v>
      </c>
      <c r="H16" s="68">
        <f t="shared" si="2"/>
        <v>749695.5</v>
      </c>
      <c r="J16" s="68">
        <v>749695.5</v>
      </c>
      <c r="L16" s="68">
        <f t="shared" si="3"/>
        <v>0</v>
      </c>
    </row>
    <row r="17" spans="1:12" s="71" customFormat="1" x14ac:dyDescent="0.2">
      <c r="B17" s="224" t="s">
        <v>120</v>
      </c>
      <c r="C17" s="134">
        <v>0</v>
      </c>
      <c r="D17" s="134">
        <v>0</v>
      </c>
      <c r="E17" s="249">
        <v>585388.16</v>
      </c>
      <c r="F17" s="249">
        <v>878082.24000000011</v>
      </c>
      <c r="G17" s="249">
        <v>365867.60000000003</v>
      </c>
      <c r="H17" s="68">
        <f t="shared" si="2"/>
        <v>1829338.0000000002</v>
      </c>
      <c r="J17" s="68">
        <v>1829338.0000000002</v>
      </c>
      <c r="L17" s="68">
        <f t="shared" si="3"/>
        <v>0</v>
      </c>
    </row>
    <row r="18" spans="1:12" s="71" customFormat="1" x14ac:dyDescent="0.2">
      <c r="B18" s="133" t="s">
        <v>121</v>
      </c>
      <c r="C18" s="134">
        <v>0</v>
      </c>
      <c r="D18" s="134">
        <v>0</v>
      </c>
      <c r="E18" s="249">
        <v>1772385.92</v>
      </c>
      <c r="F18" s="249">
        <v>2709129.8400000003</v>
      </c>
      <c r="G18" s="249">
        <v>1150291.8999999999</v>
      </c>
      <c r="H18" s="68">
        <f t="shared" si="2"/>
        <v>5631807.6600000001</v>
      </c>
      <c r="J18" s="68">
        <v>5631807.6600000001</v>
      </c>
      <c r="L18" s="68">
        <f t="shared" si="3"/>
        <v>0</v>
      </c>
    </row>
    <row r="19" spans="1:12" s="71" customFormat="1" ht="25.5" x14ac:dyDescent="0.2">
      <c r="B19" s="231" t="s">
        <v>122</v>
      </c>
      <c r="C19" s="134">
        <v>0</v>
      </c>
      <c r="D19" s="134">
        <v>0</v>
      </c>
      <c r="E19" s="249">
        <v>527742.48384</v>
      </c>
      <c r="F19" s="249">
        <v>807446.00027519988</v>
      </c>
      <c r="G19" s="249">
        <v>343164.55011696002</v>
      </c>
      <c r="H19" s="68">
        <f t="shared" si="2"/>
        <v>1678353.0342321598</v>
      </c>
      <c r="J19" s="68">
        <v>1678353.03</v>
      </c>
      <c r="L19" s="68">
        <f t="shared" si="3"/>
        <v>-4.2321598157286644E-3</v>
      </c>
    </row>
    <row r="20" spans="1:12" s="71" customFormat="1" x14ac:dyDescent="0.2">
      <c r="B20" s="116"/>
      <c r="C20" s="116"/>
      <c r="D20" s="116"/>
      <c r="E20" s="116"/>
      <c r="F20" s="116"/>
      <c r="G20" s="116"/>
      <c r="H20" s="116"/>
      <c r="J20" s="116"/>
      <c r="L20" s="116"/>
    </row>
    <row r="21" spans="1:12" x14ac:dyDescent="0.2">
      <c r="B21" s="115" t="s">
        <v>123</v>
      </c>
      <c r="C21" s="111">
        <f t="shared" ref="C21:H21" si="4">SUM(C22:C24)</f>
        <v>0</v>
      </c>
      <c r="D21" s="111">
        <f t="shared" si="4"/>
        <v>0</v>
      </c>
      <c r="E21" s="112">
        <f t="shared" si="4"/>
        <v>9438008.1400000006</v>
      </c>
      <c r="F21" s="112">
        <f t="shared" si="4"/>
        <v>14420750.5</v>
      </c>
      <c r="G21" s="112">
        <f t="shared" si="4"/>
        <v>6121833.7000000002</v>
      </c>
      <c r="H21" s="112">
        <f t="shared" si="4"/>
        <v>29980592.34</v>
      </c>
      <c r="J21" s="112">
        <f>SUM(J22:J24)</f>
        <v>29980592.34</v>
      </c>
      <c r="L21" s="112">
        <f t="shared" ref="L21" si="5">SUM(L22:L24)</f>
        <v>0</v>
      </c>
    </row>
    <row r="22" spans="1:12" x14ac:dyDescent="0.2">
      <c r="B22" s="117" t="s">
        <v>124</v>
      </c>
      <c r="C22" s="118">
        <v>0</v>
      </c>
      <c r="D22" s="118">
        <v>0</v>
      </c>
      <c r="E22" s="20">
        <v>4719004.07</v>
      </c>
      <c r="F22" s="20">
        <v>7210375.25</v>
      </c>
      <c r="G22" s="9">
        <v>3060916.85</v>
      </c>
      <c r="H22" s="68">
        <f>SUM(C22:G22)</f>
        <v>14990296.17</v>
      </c>
      <c r="J22" s="68">
        <v>14990296.17</v>
      </c>
      <c r="L22" s="68">
        <f t="shared" ref="L22:L24" si="6">J22-H22</f>
        <v>0</v>
      </c>
    </row>
    <row r="23" spans="1:12" x14ac:dyDescent="0.2">
      <c r="B23" s="117" t="s">
        <v>125</v>
      </c>
      <c r="C23" s="118">
        <v>0</v>
      </c>
      <c r="D23" s="118">
        <v>0</v>
      </c>
      <c r="E23" s="20">
        <v>4719004.07</v>
      </c>
      <c r="F23" s="20">
        <v>7210375.25</v>
      </c>
      <c r="G23" s="9">
        <v>3060916.85</v>
      </c>
      <c r="H23" s="68">
        <f t="shared" ref="H23:J24" si="7">SUM(C23:G23)</f>
        <v>14990296.17</v>
      </c>
      <c r="J23" s="68">
        <v>14990296.17</v>
      </c>
      <c r="L23" s="68">
        <f t="shared" si="6"/>
        <v>0</v>
      </c>
    </row>
    <row r="24" spans="1:12" x14ac:dyDescent="0.2">
      <c r="B24" s="117" t="s">
        <v>126</v>
      </c>
      <c r="C24" s="118">
        <v>0</v>
      </c>
      <c r="D24" s="118">
        <v>0</v>
      </c>
      <c r="E24" s="20">
        <v>0</v>
      </c>
      <c r="F24" s="20">
        <v>0</v>
      </c>
      <c r="G24" s="9">
        <v>0</v>
      </c>
      <c r="H24" s="68">
        <f t="shared" si="7"/>
        <v>0</v>
      </c>
      <c r="J24" s="68">
        <f t="shared" si="7"/>
        <v>0</v>
      </c>
      <c r="L24" s="68">
        <f t="shared" si="6"/>
        <v>0</v>
      </c>
    </row>
    <row r="25" spans="1:12" x14ac:dyDescent="0.2">
      <c r="B25" s="117"/>
      <c r="C25" s="118"/>
      <c r="D25" s="118"/>
      <c r="E25" s="20"/>
      <c r="F25" s="20"/>
      <c r="G25" s="9"/>
      <c r="H25" s="68"/>
      <c r="J25" s="68"/>
      <c r="L25" s="68"/>
    </row>
    <row r="26" spans="1:12" x14ac:dyDescent="0.2">
      <c r="B26" s="120" t="s">
        <v>127</v>
      </c>
      <c r="C26" s="121">
        <f t="shared" ref="C26:H26" si="8">C5+C13+C21</f>
        <v>0</v>
      </c>
      <c r="D26" s="121">
        <f t="shared" si="8"/>
        <v>0</v>
      </c>
      <c r="E26" s="121">
        <f t="shared" si="8"/>
        <v>16878914.793040004</v>
      </c>
      <c r="F26" s="121">
        <f t="shared" si="8"/>
        <v>26093223.335219204</v>
      </c>
      <c r="G26" s="121">
        <f t="shared" si="8"/>
        <v>11200476.389376961</v>
      </c>
      <c r="H26" s="121">
        <f t="shared" si="8"/>
        <v>54172614.517636165</v>
      </c>
      <c r="J26" s="121">
        <f t="shared" ref="J26:L26" si="9">J5+J13+J21</f>
        <v>54920428.014504001</v>
      </c>
      <c r="L26" s="121">
        <f t="shared" si="9"/>
        <v>747813.4968678368</v>
      </c>
    </row>
    <row r="27" spans="1:12" ht="10.15" customHeight="1" x14ac:dyDescent="0.2"/>
    <row r="28" spans="1:12" x14ac:dyDescent="0.2">
      <c r="C28" s="37"/>
      <c r="D28" s="37"/>
      <c r="E28" s="234"/>
      <c r="F28" s="234"/>
      <c r="G28" s="234"/>
      <c r="H28" s="234"/>
    </row>
    <row r="29" spans="1:12" x14ac:dyDescent="0.2">
      <c r="B29" s="16" t="s">
        <v>23</v>
      </c>
      <c r="C29" s="37"/>
      <c r="D29" s="37"/>
      <c r="F29" s="234"/>
      <c r="H29" s="37"/>
    </row>
    <row r="30" spans="1:12" ht="44.25" customHeight="1" x14ac:dyDescent="0.2">
      <c r="A30" s="18">
        <v>1</v>
      </c>
      <c r="B30" s="287" t="s">
        <v>128</v>
      </c>
      <c r="C30" s="288"/>
      <c r="D30" s="289"/>
      <c r="E30" s="37"/>
      <c r="F30" s="37"/>
      <c r="G30" s="37"/>
      <c r="H30" s="37"/>
    </row>
    <row r="31" spans="1:12" s="36" customFormat="1" ht="176.25" customHeight="1" x14ac:dyDescent="0.2">
      <c r="A31" s="19">
        <v>2</v>
      </c>
      <c r="B31" s="292" t="s">
        <v>129</v>
      </c>
      <c r="C31" s="293"/>
      <c r="D31" s="294"/>
    </row>
    <row r="32" spans="1:12" s="36" customFormat="1" ht="24.75" customHeight="1" x14ac:dyDescent="0.2">
      <c r="A32" s="18">
        <v>3</v>
      </c>
      <c r="B32" s="295" t="s">
        <v>130</v>
      </c>
      <c r="C32" s="296"/>
      <c r="D32" s="297"/>
    </row>
    <row r="33" spans="1:9" ht="33" customHeight="1" x14ac:dyDescent="0.2">
      <c r="A33" s="18">
        <v>4</v>
      </c>
      <c r="B33" s="295" t="s">
        <v>131</v>
      </c>
      <c r="C33" s="296"/>
      <c r="D33" s="297"/>
      <c r="H33" s="37"/>
    </row>
    <row r="34" spans="1:9" ht="96" customHeight="1" x14ac:dyDescent="0.2">
      <c r="A34" s="18">
        <v>5</v>
      </c>
      <c r="B34" s="287" t="s">
        <v>132</v>
      </c>
      <c r="C34" s="288"/>
      <c r="D34" s="289"/>
      <c r="E34" s="4"/>
      <c r="F34" s="6"/>
      <c r="G34" s="6"/>
    </row>
    <row r="35" spans="1:9" ht="38.450000000000003" customHeight="1" x14ac:dyDescent="0.2">
      <c r="A35" s="19">
        <v>6</v>
      </c>
      <c r="B35" s="290" t="s">
        <v>133</v>
      </c>
      <c r="C35" s="290"/>
      <c r="D35" s="290"/>
      <c r="E35" s="41"/>
      <c r="F35" s="41"/>
      <c r="G35" s="41"/>
      <c r="H35" s="45"/>
      <c r="I35" s="6"/>
    </row>
    <row r="36" spans="1:9" ht="54" customHeight="1" x14ac:dyDescent="0.2">
      <c r="A36" s="19">
        <v>7</v>
      </c>
      <c r="B36" s="286" t="s">
        <v>134</v>
      </c>
      <c r="C36" s="286"/>
      <c r="D36" s="286"/>
      <c r="E36" s="54"/>
      <c r="F36" s="10"/>
      <c r="G36" s="10"/>
      <c r="H36" s="58"/>
      <c r="I36" s="6"/>
    </row>
    <row r="37" spans="1:9" ht="54.75" customHeight="1" x14ac:dyDescent="0.2">
      <c r="A37" s="18">
        <v>8</v>
      </c>
      <c r="B37" s="286" t="s">
        <v>135</v>
      </c>
      <c r="C37" s="286"/>
      <c r="D37" s="286"/>
      <c r="E37" s="10"/>
      <c r="F37" s="17"/>
      <c r="G37" s="17"/>
      <c r="H37" s="17"/>
      <c r="I37" s="6"/>
    </row>
    <row r="38" spans="1:9" ht="54.75" customHeight="1" x14ac:dyDescent="0.2">
      <c r="A38" s="18">
        <v>9</v>
      </c>
      <c r="B38" s="286" t="s">
        <v>136</v>
      </c>
      <c r="C38" s="286"/>
      <c r="D38" s="286"/>
      <c r="E38" s="10"/>
      <c r="F38" s="17"/>
      <c r="G38" s="17"/>
      <c r="H38" s="17"/>
      <c r="I38" s="6"/>
    </row>
    <row r="39" spans="1:9" ht="59.25" customHeight="1" x14ac:dyDescent="0.2">
      <c r="A39" s="19">
        <v>10</v>
      </c>
      <c r="B39" s="286" t="s">
        <v>137</v>
      </c>
      <c r="C39" s="286"/>
      <c r="D39" s="286"/>
      <c r="E39" s="58"/>
      <c r="F39" s="58"/>
      <c r="G39" s="58"/>
      <c r="H39" s="58"/>
      <c r="I39" s="6"/>
    </row>
    <row r="40" spans="1:9" ht="39.75" customHeight="1" x14ac:dyDescent="0.2">
      <c r="A40" s="18">
        <v>11</v>
      </c>
      <c r="B40" s="286" t="s">
        <v>138</v>
      </c>
      <c r="C40" s="286"/>
      <c r="D40" s="286"/>
      <c r="E40" s="6"/>
      <c r="F40" s="6"/>
      <c r="G40" s="6"/>
      <c r="H40" s="6"/>
      <c r="I40" s="6"/>
    </row>
    <row r="41" spans="1:9" ht="39.75" customHeight="1" x14ac:dyDescent="0.2">
      <c r="A41" s="18">
        <v>12</v>
      </c>
      <c r="B41" s="286" t="s">
        <v>139</v>
      </c>
      <c r="C41" s="286"/>
      <c r="D41" s="286"/>
    </row>
    <row r="42" spans="1:9" ht="25.5" customHeight="1" x14ac:dyDescent="0.2">
      <c r="A42" s="18">
        <v>13</v>
      </c>
      <c r="B42" s="286" t="s">
        <v>140</v>
      </c>
      <c r="C42" s="286"/>
      <c r="D42" s="286"/>
    </row>
  </sheetData>
  <mergeCells count="15">
    <mergeCell ref="B40:D40"/>
    <mergeCell ref="B41:D41"/>
    <mergeCell ref="B42:D42"/>
    <mergeCell ref="B34:D34"/>
    <mergeCell ref="B35:D35"/>
    <mergeCell ref="B36:D36"/>
    <mergeCell ref="B37:D37"/>
    <mergeCell ref="B38:D38"/>
    <mergeCell ref="B39:D39"/>
    <mergeCell ref="B33:D33"/>
    <mergeCell ref="B1:H1"/>
    <mergeCell ref="B2:H2"/>
    <mergeCell ref="B30:D30"/>
    <mergeCell ref="B31:D31"/>
    <mergeCell ref="B32:D32"/>
  </mergeCells>
  <printOptions horizontalCentered="1"/>
  <pageMargins left="0.2" right="0.23" top="1.02" bottom="0.6" header="0.46" footer="0.25"/>
  <pageSetup scale="45" orientation="landscape" useFirstPageNumber="1" r:id="rId1"/>
  <headerFooter alignWithMargins="0">
    <oddFooter>&amp;L&amp;"Arial,Bold"&amp;A
&amp;D&amp;CAccenture Confidential and Proprietary&amp;R&amp;"Arial,Bold"Page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73"/>
  <sheetViews>
    <sheetView zoomScaleNormal="100" zoomScalePageLayoutView="85" workbookViewId="0"/>
  </sheetViews>
  <sheetFormatPr defaultColWidth="9.140625" defaultRowHeight="12.75" x14ac:dyDescent="0.2"/>
  <cols>
    <col min="1" max="1" width="3.7109375" style="21" customWidth="1"/>
    <col min="2" max="2" width="58.140625" style="22" customWidth="1"/>
    <col min="3" max="7" width="14" style="22" customWidth="1"/>
    <col min="8" max="8" width="15" style="22" customWidth="1"/>
    <col min="9" max="9" width="16.140625" style="22" customWidth="1"/>
    <col min="10" max="10" width="2.7109375" style="22" customWidth="1"/>
    <col min="11" max="11" width="9.140625" style="22"/>
    <col min="12" max="19" width="12.28515625" style="22" customWidth="1"/>
    <col min="20" max="20" width="19" style="22" customWidth="1"/>
    <col min="21" max="21" width="11.28515625" style="22" bestFit="1" customWidth="1"/>
    <col min="22" max="109" width="9.140625" style="22"/>
    <col min="110" max="110" width="10.85546875" style="22" bestFit="1" customWidth="1"/>
    <col min="111" max="16384" width="9.140625" style="22"/>
  </cols>
  <sheetData>
    <row r="1" spans="1:21" ht="15.75" x14ac:dyDescent="0.25">
      <c r="B1" s="298" t="s">
        <v>141</v>
      </c>
      <c r="C1" s="298"/>
      <c r="D1" s="298"/>
      <c r="E1" s="298"/>
      <c r="F1" s="298"/>
      <c r="G1" s="298"/>
      <c r="H1" s="298"/>
      <c r="I1" s="298"/>
    </row>
    <row r="2" spans="1:21" ht="15.75" x14ac:dyDescent="0.25">
      <c r="B2" s="298" t="s">
        <v>142</v>
      </c>
      <c r="C2" s="298"/>
      <c r="D2" s="298"/>
      <c r="E2" s="298"/>
      <c r="F2" s="298"/>
      <c r="G2" s="298"/>
      <c r="H2" s="298"/>
      <c r="I2" s="298"/>
    </row>
    <row r="3" spans="1:21" x14ac:dyDescent="0.2">
      <c r="G3" s="23"/>
      <c r="H3" s="23"/>
      <c r="I3" s="24"/>
    </row>
    <row r="4" spans="1:21" s="24" customFormat="1" ht="27.75" customHeight="1" x14ac:dyDescent="0.2">
      <c r="A4" s="25"/>
      <c r="B4" s="124" t="s">
        <v>143</v>
      </c>
      <c r="C4" s="113" t="s">
        <v>2</v>
      </c>
      <c r="D4" s="113" t="s">
        <v>3</v>
      </c>
      <c r="E4" s="113" t="s">
        <v>4</v>
      </c>
      <c r="F4" s="113" t="s">
        <v>5</v>
      </c>
      <c r="G4" s="113" t="s">
        <v>6</v>
      </c>
      <c r="H4" s="113" t="s">
        <v>108</v>
      </c>
      <c r="I4" s="113" t="s">
        <v>8</v>
      </c>
    </row>
    <row r="5" spans="1:21" s="24" customFormat="1" x14ac:dyDescent="0.2">
      <c r="A5" s="25"/>
      <c r="B5" s="115" t="s">
        <v>16</v>
      </c>
      <c r="C5" s="111"/>
      <c r="D5" s="111"/>
      <c r="E5" s="112"/>
      <c r="F5" s="112"/>
      <c r="G5" s="112"/>
      <c r="H5" s="112"/>
      <c r="I5" s="112"/>
    </row>
    <row r="6" spans="1:21" s="24" customFormat="1" x14ac:dyDescent="0.2">
      <c r="A6" s="25"/>
      <c r="B6" s="129" t="s">
        <v>17</v>
      </c>
      <c r="C6" s="130">
        <v>0</v>
      </c>
      <c r="D6" s="130">
        <v>0</v>
      </c>
      <c r="E6" s="130">
        <v>0</v>
      </c>
      <c r="F6" s="130">
        <v>0</v>
      </c>
      <c r="G6" s="130">
        <v>0</v>
      </c>
      <c r="H6" s="130">
        <v>0</v>
      </c>
      <c r="I6" s="126">
        <f>SUM(C6:H6)</f>
        <v>0</v>
      </c>
      <c r="K6" s="27"/>
      <c r="L6" s="22"/>
      <c r="M6" s="22"/>
      <c r="N6" s="22"/>
      <c r="O6" s="22"/>
      <c r="P6" s="22"/>
      <c r="Q6" s="22"/>
      <c r="R6" s="22"/>
      <c r="S6" s="22"/>
    </row>
    <row r="7" spans="1:21" s="24" customFormat="1" x14ac:dyDescent="0.2">
      <c r="A7" s="25"/>
      <c r="B7" s="129" t="s">
        <v>18</v>
      </c>
      <c r="C7" s="130">
        <v>0</v>
      </c>
      <c r="D7" s="130">
        <v>0</v>
      </c>
      <c r="E7" s="130">
        <v>0</v>
      </c>
      <c r="F7" s="130">
        <v>0</v>
      </c>
      <c r="G7" s="130">
        <v>0</v>
      </c>
      <c r="H7" s="130">
        <v>0</v>
      </c>
      <c r="I7" s="126">
        <f>SUM(C7:H7)</f>
        <v>0</v>
      </c>
      <c r="K7" s="27"/>
      <c r="L7" s="22"/>
      <c r="M7" s="22"/>
      <c r="N7" s="22"/>
      <c r="O7" s="22"/>
      <c r="P7" s="22"/>
      <c r="Q7" s="22"/>
      <c r="R7" s="22"/>
      <c r="S7" s="22"/>
    </row>
    <row r="8" spans="1:21" s="24" customFormat="1" x14ac:dyDescent="0.2">
      <c r="A8" s="25"/>
      <c r="B8" s="129" t="s">
        <v>19</v>
      </c>
      <c r="C8" s="131">
        <v>0</v>
      </c>
      <c r="D8" s="131">
        <v>0</v>
      </c>
      <c r="E8" s="131">
        <v>0</v>
      </c>
      <c r="F8" s="131">
        <v>0</v>
      </c>
      <c r="G8" s="131">
        <v>0</v>
      </c>
      <c r="H8" s="131">
        <v>0</v>
      </c>
      <c r="I8" s="126">
        <f>SUM(C8:H8)</f>
        <v>0</v>
      </c>
      <c r="L8" s="22"/>
      <c r="M8" s="22"/>
      <c r="N8" s="22"/>
      <c r="O8" s="22"/>
      <c r="P8" s="22"/>
      <c r="Q8" s="22"/>
      <c r="R8" s="22"/>
      <c r="S8" s="22"/>
    </row>
    <row r="9" spans="1:21" s="24" customFormat="1" x14ac:dyDescent="0.2">
      <c r="A9" s="25"/>
      <c r="B9" s="129" t="s">
        <v>20</v>
      </c>
      <c r="C9" s="131">
        <v>0</v>
      </c>
      <c r="D9" s="131">
        <v>0</v>
      </c>
      <c r="E9" s="131">
        <v>0</v>
      </c>
      <c r="F9" s="131">
        <v>0</v>
      </c>
      <c r="G9" s="131">
        <v>0</v>
      </c>
      <c r="H9" s="131">
        <v>0</v>
      </c>
      <c r="I9" s="126">
        <f>SUM(C9:H9)</f>
        <v>0</v>
      </c>
      <c r="L9" s="22"/>
      <c r="M9" s="22"/>
      <c r="N9" s="22"/>
      <c r="O9" s="22"/>
      <c r="P9" s="22"/>
      <c r="Q9" s="22"/>
      <c r="R9" s="22"/>
      <c r="S9" s="22"/>
    </row>
    <row r="10" spans="1:21" x14ac:dyDescent="0.2">
      <c r="B10" s="125"/>
      <c r="C10" s="127"/>
      <c r="D10" s="127"/>
      <c r="E10" s="118"/>
      <c r="F10" s="118"/>
      <c r="G10" s="118"/>
      <c r="H10" s="118"/>
      <c r="I10" s="118"/>
      <c r="T10" s="8"/>
      <c r="U10" s="8"/>
    </row>
    <row r="11" spans="1:21" x14ac:dyDescent="0.2">
      <c r="B11" s="128" t="s">
        <v>144</v>
      </c>
      <c r="C11" s="128">
        <f t="shared" ref="C11:I11" si="0">SUM(C6:C10)</f>
        <v>0</v>
      </c>
      <c r="D11" s="128">
        <f t="shared" si="0"/>
        <v>0</v>
      </c>
      <c r="E11" s="128">
        <f t="shared" si="0"/>
        <v>0</v>
      </c>
      <c r="F11" s="128">
        <f t="shared" si="0"/>
        <v>0</v>
      </c>
      <c r="G11" s="132">
        <f t="shared" si="0"/>
        <v>0</v>
      </c>
      <c r="H11" s="132">
        <f t="shared" si="0"/>
        <v>0</v>
      </c>
      <c r="I11" s="132">
        <f t="shared" si="0"/>
        <v>0</v>
      </c>
      <c r="L11" s="24"/>
      <c r="M11" s="24"/>
      <c r="N11" s="24"/>
      <c r="O11" s="24"/>
      <c r="P11" s="24"/>
      <c r="Q11" s="24"/>
      <c r="R11" s="24"/>
      <c r="S11" s="24"/>
      <c r="T11" s="8"/>
      <c r="U11" s="8"/>
    </row>
    <row r="12" spans="1:21" x14ac:dyDescent="0.2">
      <c r="B12" s="38"/>
      <c r="C12" s="39"/>
      <c r="D12" s="39"/>
      <c r="E12" s="39"/>
      <c r="F12" s="39"/>
      <c r="G12" s="39"/>
      <c r="H12" s="39"/>
      <c r="I12" s="39"/>
      <c r="L12" s="24"/>
      <c r="M12" s="24"/>
      <c r="N12" s="24"/>
      <c r="O12" s="24"/>
      <c r="P12" s="24"/>
      <c r="Q12" s="24"/>
      <c r="R12" s="24"/>
      <c r="S12" s="24"/>
      <c r="T12" s="8"/>
      <c r="U12" s="8"/>
    </row>
    <row r="13" spans="1:21" x14ac:dyDescent="0.2">
      <c r="C13" s="29"/>
      <c r="D13" s="29"/>
      <c r="I13" s="29"/>
    </row>
    <row r="14" spans="1:21" x14ac:dyDescent="0.2">
      <c r="B14" s="30" t="s">
        <v>23</v>
      </c>
      <c r="C14" s="72"/>
      <c r="D14" s="72"/>
      <c r="E14" s="72"/>
      <c r="F14" s="72"/>
      <c r="G14" s="31"/>
      <c r="H14" s="31"/>
      <c r="I14" s="72"/>
    </row>
    <row r="15" spans="1:21" x14ac:dyDescent="0.2">
      <c r="A15" s="33">
        <v>1</v>
      </c>
      <c r="B15" s="299" t="s">
        <v>145</v>
      </c>
      <c r="C15" s="299"/>
      <c r="D15" s="299"/>
      <c r="E15" s="26"/>
      <c r="F15" s="26"/>
      <c r="G15" s="31"/>
      <c r="H15" s="31"/>
      <c r="I15" s="29"/>
    </row>
    <row r="16" spans="1:21" ht="25.5" customHeight="1" x14ac:dyDescent="0.2">
      <c r="A16" s="33">
        <v>2</v>
      </c>
      <c r="B16" s="299" t="s">
        <v>146</v>
      </c>
      <c r="C16" s="299"/>
      <c r="D16" s="299"/>
      <c r="E16" s="26"/>
      <c r="F16" s="26"/>
      <c r="G16" s="28"/>
      <c r="H16" s="28"/>
      <c r="I16" s="29"/>
    </row>
    <row r="17" spans="1:9" ht="25.5" customHeight="1" x14ac:dyDescent="0.2">
      <c r="A17" s="33">
        <v>3</v>
      </c>
      <c r="B17" s="295" t="s">
        <v>147</v>
      </c>
      <c r="C17" s="296"/>
      <c r="D17" s="297"/>
      <c r="E17" s="26"/>
      <c r="F17" s="26"/>
      <c r="G17" s="28"/>
      <c r="H17" s="28"/>
      <c r="I17" s="32"/>
    </row>
    <row r="18" spans="1:9" ht="44.25" customHeight="1" x14ac:dyDescent="0.2">
      <c r="A18" s="33">
        <v>4</v>
      </c>
      <c r="B18" s="295" t="s">
        <v>148</v>
      </c>
      <c r="C18" s="296"/>
      <c r="D18" s="297"/>
      <c r="E18" s="26"/>
      <c r="F18" s="26"/>
      <c r="I18" s="29"/>
    </row>
    <row r="19" spans="1:9" x14ac:dyDescent="0.2">
      <c r="B19" s="26"/>
      <c r="C19" s="26"/>
      <c r="D19" s="26"/>
      <c r="E19" s="26"/>
      <c r="F19" s="26"/>
    </row>
    <row r="20" spans="1:9" x14ac:dyDescent="0.2">
      <c r="A20" s="50"/>
      <c r="B20" s="51"/>
      <c r="C20" s="5"/>
      <c r="D20" s="4"/>
      <c r="E20" s="4"/>
      <c r="F20" s="4"/>
      <c r="G20" s="6"/>
      <c r="H20" s="6"/>
      <c r="I20" s="72"/>
    </row>
    <row r="21" spans="1:9" x14ac:dyDescent="0.2">
      <c r="A21" s="50"/>
      <c r="B21" s="38"/>
      <c r="C21" s="41"/>
      <c r="D21" s="41"/>
      <c r="E21" s="41"/>
      <c r="F21" s="41"/>
      <c r="G21" s="41"/>
      <c r="H21" s="41"/>
      <c r="I21" s="52"/>
    </row>
    <row r="22" spans="1:9" x14ac:dyDescent="0.2">
      <c r="A22" s="50"/>
      <c r="B22" s="38"/>
      <c r="C22" s="72"/>
      <c r="D22" s="72"/>
      <c r="E22" s="72"/>
      <c r="F22" s="72"/>
      <c r="G22" s="72"/>
      <c r="H22" s="72"/>
      <c r="I22" s="52"/>
    </row>
    <row r="23" spans="1:9" x14ac:dyDescent="0.2">
      <c r="A23" s="50"/>
      <c r="B23" s="72"/>
      <c r="C23" s="53"/>
      <c r="D23" s="53"/>
      <c r="E23" s="53"/>
      <c r="F23" s="53"/>
      <c r="G23" s="53"/>
      <c r="H23" s="53"/>
      <c r="I23" s="39"/>
    </row>
    <row r="24" spans="1:9" x14ac:dyDescent="0.2">
      <c r="A24" s="50"/>
      <c r="B24" s="72"/>
      <c r="C24" s="53"/>
      <c r="D24" s="53"/>
      <c r="E24" s="53"/>
      <c r="F24" s="53"/>
      <c r="G24" s="53"/>
      <c r="H24" s="53"/>
      <c r="I24" s="39"/>
    </row>
    <row r="25" spans="1:9" x14ac:dyDescent="0.2">
      <c r="A25" s="50"/>
      <c r="B25" s="72"/>
      <c r="C25" s="53"/>
      <c r="D25" s="53"/>
      <c r="E25" s="53"/>
      <c r="F25" s="53"/>
      <c r="G25" s="53"/>
      <c r="H25" s="53"/>
      <c r="I25" s="39"/>
    </row>
    <row r="26" spans="1:9" x14ac:dyDescent="0.2">
      <c r="A26" s="50"/>
      <c r="B26" s="72"/>
      <c r="C26" s="53"/>
      <c r="D26" s="53"/>
      <c r="E26" s="53"/>
      <c r="F26" s="53"/>
      <c r="G26" s="53"/>
      <c r="H26" s="53"/>
      <c r="I26" s="39"/>
    </row>
    <row r="27" spans="1:9" x14ac:dyDescent="0.2">
      <c r="A27" s="50"/>
      <c r="B27" s="72"/>
      <c r="C27" s="53"/>
      <c r="D27" s="53"/>
      <c r="E27" s="53"/>
      <c r="F27" s="53"/>
      <c r="G27" s="53"/>
      <c r="H27" s="53"/>
      <c r="I27" s="39"/>
    </row>
    <row r="28" spans="1:9" x14ac:dyDescent="0.2">
      <c r="A28" s="50"/>
      <c r="B28" s="38"/>
      <c r="C28" s="39"/>
      <c r="D28" s="39"/>
      <c r="E28" s="39"/>
      <c r="F28" s="39"/>
      <c r="G28" s="39"/>
      <c r="H28" s="39"/>
      <c r="I28" s="39"/>
    </row>
    <row r="29" spans="1:9" x14ac:dyDescent="0.2">
      <c r="A29" s="50"/>
      <c r="B29" s="72"/>
      <c r="C29" s="53"/>
      <c r="D29" s="53"/>
      <c r="E29" s="53"/>
      <c r="F29" s="53"/>
      <c r="G29" s="53"/>
      <c r="H29" s="53"/>
      <c r="I29" s="39"/>
    </row>
    <row r="30" spans="1:9" x14ac:dyDescent="0.2">
      <c r="A30" s="50"/>
      <c r="B30" s="38"/>
      <c r="C30" s="53"/>
      <c r="D30" s="53"/>
      <c r="E30" s="53"/>
      <c r="F30" s="53"/>
      <c r="G30" s="53"/>
      <c r="H30" s="53"/>
      <c r="I30" s="39"/>
    </row>
    <row r="31" spans="1:9" x14ac:dyDescent="0.2">
      <c r="A31" s="50"/>
      <c r="B31" s="55"/>
      <c r="C31" s="53"/>
      <c r="D31" s="53"/>
      <c r="E31" s="53"/>
      <c r="F31" s="53"/>
      <c r="G31" s="53"/>
      <c r="H31" s="53"/>
      <c r="I31" s="39"/>
    </row>
    <row r="32" spans="1:9" x14ac:dyDescent="0.2">
      <c r="A32" s="50"/>
      <c r="B32" s="72"/>
      <c r="C32" s="53"/>
      <c r="D32" s="53"/>
      <c r="E32" s="53"/>
      <c r="F32" s="53"/>
      <c r="G32" s="53"/>
      <c r="H32" s="53"/>
      <c r="I32" s="39"/>
    </row>
    <row r="33" spans="1:9" x14ac:dyDescent="0.2">
      <c r="A33" s="50"/>
      <c r="B33" s="72"/>
      <c r="C33" s="53"/>
      <c r="D33" s="53"/>
      <c r="E33" s="53"/>
      <c r="F33" s="53"/>
      <c r="G33" s="53"/>
      <c r="H33" s="53"/>
      <c r="I33" s="39"/>
    </row>
    <row r="34" spans="1:9" x14ac:dyDescent="0.2">
      <c r="A34" s="50"/>
      <c r="B34" s="72"/>
      <c r="C34" s="53"/>
      <c r="D34" s="53"/>
      <c r="E34" s="53"/>
      <c r="F34" s="53"/>
      <c r="G34" s="53"/>
      <c r="H34" s="53"/>
      <c r="I34" s="39"/>
    </row>
    <row r="35" spans="1:9" x14ac:dyDescent="0.2">
      <c r="A35" s="50"/>
      <c r="B35" s="72"/>
      <c r="C35" s="53"/>
      <c r="D35" s="53"/>
      <c r="E35" s="53"/>
      <c r="F35" s="53"/>
      <c r="G35" s="53"/>
      <c r="H35" s="53"/>
      <c r="I35" s="39"/>
    </row>
    <row r="36" spans="1:9" x14ac:dyDescent="0.2">
      <c r="A36" s="50"/>
      <c r="B36" s="38"/>
      <c r="C36" s="56"/>
      <c r="D36" s="56"/>
      <c r="E36" s="56"/>
      <c r="F36" s="56"/>
      <c r="G36" s="56"/>
      <c r="H36" s="56"/>
      <c r="I36" s="56"/>
    </row>
    <row r="37" spans="1:9" x14ac:dyDescent="0.2">
      <c r="A37" s="50"/>
      <c r="B37" s="38"/>
      <c r="C37" s="56"/>
      <c r="D37" s="56"/>
      <c r="E37" s="56"/>
      <c r="F37" s="56"/>
      <c r="G37" s="56"/>
      <c r="H37" s="56"/>
      <c r="I37" s="39"/>
    </row>
    <row r="38" spans="1:9" x14ac:dyDescent="0.2">
      <c r="A38" s="50"/>
      <c r="B38" s="38"/>
      <c r="C38" s="56"/>
      <c r="D38" s="56"/>
      <c r="E38" s="56"/>
      <c r="F38" s="56"/>
      <c r="G38" s="56"/>
      <c r="H38" s="56"/>
      <c r="I38" s="39"/>
    </row>
    <row r="39" spans="1:9" x14ac:dyDescent="0.2">
      <c r="A39" s="50"/>
      <c r="B39" s="55"/>
      <c r="C39" s="53"/>
      <c r="D39" s="53"/>
      <c r="E39" s="53"/>
      <c r="F39" s="53"/>
      <c r="G39" s="53"/>
      <c r="H39" s="53"/>
      <c r="I39" s="39"/>
    </row>
    <row r="40" spans="1:9" x14ac:dyDescent="0.2">
      <c r="A40" s="50"/>
      <c r="B40" s="49"/>
      <c r="C40" s="53"/>
      <c r="D40" s="53"/>
      <c r="E40" s="53"/>
      <c r="F40" s="53"/>
      <c r="G40" s="53"/>
      <c r="H40" s="53"/>
      <c r="I40" s="39"/>
    </row>
    <row r="41" spans="1:9" x14ac:dyDescent="0.2">
      <c r="A41" s="50"/>
      <c r="B41" s="55"/>
      <c r="C41" s="53"/>
      <c r="D41" s="53"/>
      <c r="E41" s="53"/>
      <c r="F41" s="53"/>
      <c r="G41" s="53"/>
      <c r="H41" s="53"/>
      <c r="I41" s="39"/>
    </row>
    <row r="42" spans="1:9" x14ac:dyDescent="0.2">
      <c r="A42" s="50"/>
      <c r="B42" s="72"/>
      <c r="C42" s="53"/>
      <c r="D42" s="53"/>
      <c r="E42" s="53"/>
      <c r="F42" s="53"/>
      <c r="G42" s="53"/>
      <c r="H42" s="53"/>
      <c r="I42" s="39"/>
    </row>
    <row r="43" spans="1:9" x14ac:dyDescent="0.2">
      <c r="A43" s="50"/>
      <c r="B43" s="55"/>
      <c r="C43" s="53"/>
      <c r="D43" s="53"/>
      <c r="E43" s="53"/>
      <c r="F43" s="53"/>
      <c r="G43" s="53"/>
      <c r="H43" s="53"/>
      <c r="I43" s="39"/>
    </row>
    <row r="44" spans="1:9" x14ac:dyDescent="0.2">
      <c r="A44" s="50"/>
      <c r="B44" s="72"/>
      <c r="C44" s="53"/>
      <c r="D44" s="53"/>
      <c r="E44" s="53"/>
      <c r="F44" s="53"/>
      <c r="G44" s="53"/>
      <c r="H44" s="53"/>
      <c r="I44" s="39"/>
    </row>
    <row r="45" spans="1:9" x14ac:dyDescent="0.2">
      <c r="A45" s="50"/>
      <c r="B45" s="55"/>
      <c r="C45" s="53"/>
      <c r="D45" s="53"/>
      <c r="E45" s="53"/>
      <c r="F45" s="53"/>
      <c r="G45" s="53"/>
      <c r="H45" s="53"/>
      <c r="I45" s="39"/>
    </row>
    <row r="46" spans="1:9" x14ac:dyDescent="0.2">
      <c r="A46" s="50"/>
      <c r="B46" s="49"/>
      <c r="C46" s="56"/>
      <c r="D46" s="56"/>
      <c r="E46" s="56"/>
      <c r="F46" s="56"/>
      <c r="G46" s="56"/>
      <c r="H46" s="56"/>
      <c r="I46" s="56"/>
    </row>
    <row r="47" spans="1:9" x14ac:dyDescent="0.2">
      <c r="A47" s="50"/>
      <c r="B47" s="55"/>
      <c r="C47" s="53"/>
      <c r="D47" s="53"/>
      <c r="E47" s="53"/>
      <c r="F47" s="53"/>
      <c r="G47" s="53"/>
      <c r="H47" s="53"/>
      <c r="I47" s="39"/>
    </row>
    <row r="48" spans="1:9" x14ac:dyDescent="0.2">
      <c r="A48" s="50"/>
      <c r="B48" s="38"/>
      <c r="C48" s="53"/>
      <c r="D48" s="53"/>
      <c r="E48" s="53"/>
      <c r="F48" s="53"/>
      <c r="G48" s="53"/>
      <c r="H48" s="53"/>
      <c r="I48" s="39"/>
    </row>
    <row r="49" spans="1:9" x14ac:dyDescent="0.2">
      <c r="A49" s="50"/>
      <c r="B49" s="55"/>
      <c r="C49" s="53"/>
      <c r="D49" s="53"/>
      <c r="E49" s="53"/>
      <c r="F49" s="53"/>
      <c r="G49" s="53"/>
      <c r="H49" s="53"/>
      <c r="I49" s="39"/>
    </row>
    <row r="50" spans="1:9" x14ac:dyDescent="0.2">
      <c r="A50" s="50"/>
      <c r="B50" s="72"/>
      <c r="C50" s="53"/>
      <c r="D50" s="53"/>
      <c r="E50" s="53"/>
      <c r="F50" s="53"/>
      <c r="G50" s="53"/>
      <c r="H50" s="53"/>
      <c r="I50" s="39"/>
    </row>
    <row r="51" spans="1:9" x14ac:dyDescent="0.2">
      <c r="A51" s="50"/>
      <c r="B51" s="72"/>
      <c r="C51" s="53"/>
      <c r="D51" s="53"/>
      <c r="E51" s="53"/>
      <c r="F51" s="53"/>
      <c r="G51" s="53"/>
      <c r="H51" s="53"/>
      <c r="I51" s="39"/>
    </row>
    <row r="52" spans="1:9" x14ac:dyDescent="0.2">
      <c r="A52" s="50"/>
      <c r="B52" s="72"/>
      <c r="C52" s="53"/>
      <c r="D52" s="53"/>
      <c r="E52" s="53"/>
      <c r="F52" s="53"/>
      <c r="G52" s="53"/>
      <c r="H52" s="53"/>
      <c r="I52" s="39"/>
    </row>
    <row r="53" spans="1:9" x14ac:dyDescent="0.2">
      <c r="A53" s="50"/>
      <c r="B53" s="72"/>
      <c r="C53" s="53"/>
      <c r="D53" s="53"/>
      <c r="E53" s="53"/>
      <c r="F53" s="53"/>
      <c r="G53" s="53"/>
      <c r="H53" s="53"/>
      <c r="I53" s="39"/>
    </row>
    <row r="54" spans="1:9" x14ac:dyDescent="0.2">
      <c r="A54" s="50"/>
      <c r="B54" s="49"/>
      <c r="C54" s="56"/>
      <c r="D54" s="56"/>
      <c r="E54" s="56"/>
      <c r="F54" s="56"/>
      <c r="G54" s="56"/>
      <c r="H54" s="56"/>
      <c r="I54" s="56"/>
    </row>
    <row r="55" spans="1:9" x14ac:dyDescent="0.2">
      <c r="A55" s="50"/>
      <c r="B55" s="49"/>
      <c r="C55" s="56"/>
      <c r="D55" s="56"/>
      <c r="E55" s="56"/>
      <c r="F55" s="56"/>
      <c r="G55" s="56"/>
      <c r="H55" s="56"/>
      <c r="I55" s="39"/>
    </row>
    <row r="56" spans="1:9" x14ac:dyDescent="0.2">
      <c r="A56" s="50"/>
      <c r="B56" s="49"/>
      <c r="C56" s="56"/>
      <c r="D56" s="56"/>
      <c r="E56" s="56"/>
      <c r="F56" s="56"/>
      <c r="G56" s="56"/>
      <c r="H56" s="56"/>
      <c r="I56" s="39"/>
    </row>
    <row r="57" spans="1:9" x14ac:dyDescent="0.2">
      <c r="A57" s="50"/>
      <c r="B57" s="72"/>
      <c r="C57" s="54"/>
      <c r="D57" s="54"/>
      <c r="E57" s="54"/>
      <c r="F57" s="54"/>
      <c r="G57" s="54"/>
      <c r="H57" s="54"/>
      <c r="I57" s="54"/>
    </row>
    <row r="58" spans="1:9" x14ac:dyDescent="0.2">
      <c r="A58" s="50"/>
      <c r="B58" s="72"/>
      <c r="C58" s="57"/>
      <c r="D58" s="57"/>
      <c r="E58" s="54"/>
      <c r="F58" s="54"/>
      <c r="G58" s="54"/>
      <c r="H58" s="54"/>
      <c r="I58" s="54"/>
    </row>
    <row r="59" spans="1:9" x14ac:dyDescent="0.2">
      <c r="A59" s="50"/>
      <c r="B59" s="38"/>
      <c r="C59" s="39"/>
      <c r="D59" s="39"/>
      <c r="E59" s="39"/>
      <c r="F59" s="39"/>
      <c r="G59" s="39"/>
      <c r="H59" s="39"/>
      <c r="I59" s="39"/>
    </row>
    <row r="60" spans="1:9" x14ac:dyDescent="0.2">
      <c r="A60" s="50"/>
      <c r="B60" s="72"/>
      <c r="C60" s="72"/>
      <c r="D60" s="72"/>
      <c r="E60" s="72"/>
      <c r="F60" s="72"/>
      <c r="G60" s="72"/>
      <c r="H60" s="72"/>
      <c r="I60" s="72"/>
    </row>
    <row r="61" spans="1:9" x14ac:dyDescent="0.2">
      <c r="A61" s="50"/>
      <c r="B61" s="72"/>
      <c r="C61" s="72"/>
      <c r="D61" s="72"/>
      <c r="E61" s="72"/>
      <c r="F61" s="72"/>
      <c r="G61" s="72"/>
      <c r="H61" s="72"/>
      <c r="I61" s="72"/>
    </row>
    <row r="62" spans="1:9" x14ac:dyDescent="0.2">
      <c r="A62" s="50"/>
      <c r="B62" s="72"/>
      <c r="C62" s="72"/>
      <c r="D62" s="72"/>
      <c r="E62" s="72"/>
      <c r="F62" s="72"/>
      <c r="G62" s="72"/>
      <c r="H62" s="72"/>
      <c r="I62" s="72"/>
    </row>
    <row r="63" spans="1:9" x14ac:dyDescent="0.2">
      <c r="A63" s="50"/>
      <c r="B63" s="72"/>
      <c r="C63" s="72"/>
      <c r="D63" s="72"/>
      <c r="E63" s="72"/>
      <c r="F63" s="72"/>
      <c r="G63" s="72"/>
      <c r="H63" s="72"/>
      <c r="I63" s="72"/>
    </row>
    <row r="64" spans="1:9" x14ac:dyDescent="0.2">
      <c r="A64" s="50"/>
      <c r="B64" s="72"/>
      <c r="C64" s="72"/>
      <c r="D64" s="72"/>
      <c r="E64" s="72"/>
      <c r="F64" s="72"/>
      <c r="G64" s="72"/>
      <c r="H64" s="72"/>
      <c r="I64" s="72"/>
    </row>
    <row r="65" spans="1:9" x14ac:dyDescent="0.2">
      <c r="A65" s="50"/>
      <c r="B65" s="72"/>
      <c r="C65" s="72"/>
      <c r="D65" s="72"/>
      <c r="E65" s="72"/>
      <c r="F65" s="72"/>
      <c r="G65" s="72"/>
      <c r="H65" s="72"/>
      <c r="I65" s="72"/>
    </row>
    <row r="66" spans="1:9" x14ac:dyDescent="0.2">
      <c r="A66" s="50"/>
      <c r="B66" s="72"/>
      <c r="C66" s="72"/>
      <c r="D66" s="72"/>
      <c r="E66" s="72"/>
      <c r="F66" s="72"/>
      <c r="G66" s="72"/>
      <c r="H66" s="72"/>
      <c r="I66" s="72"/>
    </row>
    <row r="67" spans="1:9" x14ac:dyDescent="0.2">
      <c r="A67" s="50"/>
      <c r="B67" s="72"/>
      <c r="C67" s="72"/>
      <c r="D67" s="72"/>
      <c r="E67" s="72"/>
      <c r="F67" s="72"/>
      <c r="G67" s="72"/>
      <c r="H67" s="72"/>
      <c r="I67" s="72"/>
    </row>
    <row r="68" spans="1:9" x14ac:dyDescent="0.2">
      <c r="A68" s="50"/>
      <c r="B68" s="72"/>
      <c r="C68" s="72"/>
      <c r="D68" s="72"/>
      <c r="E68" s="72"/>
      <c r="F68" s="72"/>
      <c r="G68" s="72"/>
      <c r="H68" s="72"/>
      <c r="I68" s="72"/>
    </row>
    <row r="69" spans="1:9" x14ac:dyDescent="0.2">
      <c r="A69" s="50"/>
      <c r="B69" s="72"/>
      <c r="C69" s="72"/>
      <c r="D69" s="72"/>
      <c r="E69" s="72"/>
      <c r="F69" s="72"/>
      <c r="G69" s="72"/>
      <c r="H69" s="72"/>
      <c r="I69" s="72"/>
    </row>
    <row r="70" spans="1:9" x14ac:dyDescent="0.2">
      <c r="A70" s="50"/>
      <c r="B70" s="72"/>
      <c r="C70" s="72"/>
      <c r="D70" s="72"/>
      <c r="E70" s="72"/>
      <c r="F70" s="72"/>
      <c r="G70" s="72"/>
      <c r="H70" s="72"/>
      <c r="I70" s="72"/>
    </row>
    <row r="71" spans="1:9" x14ac:dyDescent="0.2">
      <c r="A71" s="50"/>
      <c r="B71" s="72"/>
      <c r="C71" s="72"/>
      <c r="D71" s="72"/>
      <c r="E71" s="72"/>
      <c r="F71" s="72"/>
      <c r="G71" s="72"/>
      <c r="H71" s="72"/>
      <c r="I71" s="72"/>
    </row>
    <row r="72" spans="1:9" x14ac:dyDescent="0.2">
      <c r="A72" s="50"/>
      <c r="B72" s="72"/>
      <c r="C72" s="72"/>
      <c r="D72" s="72"/>
      <c r="E72" s="72"/>
      <c r="F72" s="72"/>
      <c r="G72" s="72"/>
      <c r="H72" s="72"/>
      <c r="I72" s="72"/>
    </row>
    <row r="73" spans="1:9" x14ac:dyDescent="0.2">
      <c r="A73" s="50"/>
      <c r="B73" s="72"/>
      <c r="C73" s="72"/>
      <c r="D73" s="72"/>
      <c r="E73" s="72"/>
      <c r="F73" s="72"/>
      <c r="G73" s="72"/>
      <c r="H73" s="72"/>
      <c r="I73" s="72"/>
    </row>
  </sheetData>
  <mergeCells count="6">
    <mergeCell ref="B18:D18"/>
    <mergeCell ref="B1:I1"/>
    <mergeCell ref="B2:I2"/>
    <mergeCell ref="B15:D15"/>
    <mergeCell ref="B16:D16"/>
    <mergeCell ref="B17:D17"/>
  </mergeCells>
  <printOptions horizontalCentered="1"/>
  <pageMargins left="0.2" right="0.23" top="1.02" bottom="0.6" header="0.46" footer="0.25"/>
  <pageSetup scale="83" orientation="landscape" useFirstPageNumber="1" r:id="rId1"/>
  <headerFooter alignWithMargins="0">
    <oddFooter xml:space="preserve">&amp;L&amp;"Arial,Bold"&amp;A
&amp;D&amp;C&amp;"Arial,Bold"Accenture Confidential and Proprietary&amp;R&amp;"Arial,Bold"Page &amp;P of &amp;N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29"/>
  <sheetViews>
    <sheetView zoomScaleNormal="100" workbookViewId="0">
      <pane xSplit="2" ySplit="5" topLeftCell="C9" activePane="bottomRight" state="frozen"/>
      <selection pane="topRight" activeCell="C1" sqref="C1"/>
      <selection pane="bottomLeft" activeCell="A6" sqref="A6"/>
      <selection pane="bottomRight" activeCell="J17" sqref="J17"/>
    </sheetView>
  </sheetViews>
  <sheetFormatPr defaultColWidth="8.85546875" defaultRowHeight="12.75" x14ac:dyDescent="0.2"/>
  <cols>
    <col min="1" max="1" width="4.7109375" style="6" customWidth="1"/>
    <col min="2" max="2" width="61" style="6" customWidth="1"/>
    <col min="3" max="8" width="14.42578125" style="6" customWidth="1"/>
    <col min="9" max="9" width="3.28515625" style="6" customWidth="1"/>
    <col min="10" max="10" width="15.28515625" style="6" customWidth="1"/>
    <col min="11" max="11" width="12.42578125" style="6" bestFit="1" customWidth="1"/>
    <col min="12" max="12" width="15.85546875" style="6" customWidth="1"/>
    <col min="13" max="13" width="14.85546875" style="6" customWidth="1"/>
    <col min="14" max="25" width="6.7109375" style="6" customWidth="1"/>
    <col min="26" max="16384" width="8.85546875" style="6"/>
  </cols>
  <sheetData>
    <row r="1" spans="1:14" ht="15.75" x14ac:dyDescent="0.25">
      <c r="B1" s="277" t="s">
        <v>149</v>
      </c>
      <c r="C1" s="277"/>
      <c r="D1" s="277"/>
      <c r="E1" s="277"/>
      <c r="F1" s="277"/>
      <c r="G1" s="277"/>
      <c r="H1" s="277"/>
    </row>
    <row r="2" spans="1:14" ht="15.75" x14ac:dyDescent="0.25">
      <c r="B2" s="277" t="s">
        <v>150</v>
      </c>
      <c r="C2" s="277"/>
      <c r="D2" s="277"/>
      <c r="E2" s="277"/>
      <c r="F2" s="277"/>
      <c r="G2" s="277"/>
      <c r="H2" s="277"/>
    </row>
    <row r="3" spans="1:14" x14ac:dyDescent="0.2">
      <c r="B3" s="7"/>
      <c r="C3" s="7"/>
      <c r="D3" s="7"/>
      <c r="E3" s="7"/>
      <c r="F3" s="7"/>
      <c r="G3" s="7"/>
    </row>
    <row r="4" spans="1:14" x14ac:dyDescent="0.2">
      <c r="B4" s="119" t="s">
        <v>151</v>
      </c>
      <c r="C4" s="113" t="s">
        <v>3</v>
      </c>
      <c r="D4" s="113" t="s">
        <v>4</v>
      </c>
      <c r="E4" s="113" t="s">
        <v>5</v>
      </c>
      <c r="F4" s="113" t="s">
        <v>6</v>
      </c>
      <c r="G4" s="113" t="s">
        <v>108</v>
      </c>
      <c r="H4" s="114" t="s">
        <v>8</v>
      </c>
      <c r="L4" s="8"/>
    </row>
    <row r="5" spans="1:14" ht="13.9" customHeight="1" x14ac:dyDescent="0.2">
      <c r="B5" s="115" t="s">
        <v>152</v>
      </c>
      <c r="C5" s="65"/>
      <c r="D5" s="65"/>
      <c r="E5" s="65"/>
      <c r="F5" s="65"/>
      <c r="G5" s="65"/>
      <c r="H5" s="65"/>
    </row>
    <row r="6" spans="1:14" ht="27" x14ac:dyDescent="0.2">
      <c r="B6" s="117" t="s">
        <v>198</v>
      </c>
      <c r="C6" s="9">
        <v>0</v>
      </c>
      <c r="D6" s="9">
        <v>0</v>
      </c>
      <c r="E6" s="9">
        <v>1151574</v>
      </c>
      <c r="F6" s="9">
        <v>1760032</v>
      </c>
      <c r="G6" s="9">
        <v>747106</v>
      </c>
      <c r="H6" s="135">
        <f>SUM(C6:G6)</f>
        <v>3658712</v>
      </c>
      <c r="I6" s="10"/>
      <c r="J6" s="11"/>
      <c r="K6" s="40"/>
      <c r="L6" s="11"/>
      <c r="M6" s="12"/>
      <c r="N6" s="13"/>
    </row>
    <row r="7" spans="1:14" x14ac:dyDescent="0.2">
      <c r="B7" s="117" t="s">
        <v>153</v>
      </c>
      <c r="C7" s="9">
        <v>0</v>
      </c>
      <c r="D7" s="9">
        <v>0</v>
      </c>
      <c r="E7" s="9">
        <v>123507</v>
      </c>
      <c r="F7" s="9">
        <v>187429</v>
      </c>
      <c r="G7" s="9">
        <v>79188</v>
      </c>
      <c r="H7" s="135">
        <f>SUM(C7:G7)</f>
        <v>390124</v>
      </c>
      <c r="I7" s="10"/>
      <c r="J7" s="11"/>
      <c r="K7" s="40"/>
      <c r="L7" s="11"/>
      <c r="M7" s="12"/>
      <c r="N7" s="13"/>
    </row>
    <row r="8" spans="1:14" x14ac:dyDescent="0.2">
      <c r="B8" s="117" t="s">
        <v>154</v>
      </c>
      <c r="C8" s="9">
        <v>0</v>
      </c>
      <c r="D8" s="9">
        <v>0</v>
      </c>
      <c r="E8" s="9">
        <v>75424</v>
      </c>
      <c r="F8" s="9">
        <v>114460</v>
      </c>
      <c r="G8" s="9">
        <v>48359</v>
      </c>
      <c r="H8" s="135">
        <f>SUM(C8:G8)</f>
        <v>238243</v>
      </c>
      <c r="I8" s="10"/>
      <c r="J8" s="11"/>
      <c r="K8" s="40"/>
      <c r="L8" s="11"/>
      <c r="M8" s="12"/>
      <c r="N8" s="13"/>
    </row>
    <row r="9" spans="1:14" ht="14.25" x14ac:dyDescent="0.2">
      <c r="B9" s="117" t="s">
        <v>199</v>
      </c>
      <c r="C9" s="9">
        <v>0</v>
      </c>
      <c r="D9" s="9">
        <v>0</v>
      </c>
      <c r="E9" s="9">
        <v>2498734</v>
      </c>
      <c r="F9" s="9">
        <v>3880514</v>
      </c>
      <c r="G9" s="9">
        <v>1649610</v>
      </c>
      <c r="H9" s="135">
        <f>SUM(C9:G9)</f>
        <v>8028858</v>
      </c>
      <c r="I9" s="10"/>
      <c r="J9" s="11"/>
      <c r="K9" s="40"/>
      <c r="L9" s="11"/>
      <c r="M9" s="12"/>
      <c r="N9" s="13"/>
    </row>
    <row r="10" spans="1:14" x14ac:dyDescent="0.2">
      <c r="B10" s="117"/>
      <c r="C10" s="9"/>
      <c r="D10" s="9"/>
      <c r="E10" s="9"/>
      <c r="F10" s="9"/>
      <c r="G10" s="9"/>
      <c r="H10" s="135"/>
      <c r="I10" s="10"/>
      <c r="J10" s="11"/>
      <c r="K10" s="40"/>
      <c r="L10" s="11"/>
      <c r="M10" s="12"/>
      <c r="N10" s="13"/>
    </row>
    <row r="11" spans="1:14" x14ac:dyDescent="0.2">
      <c r="B11" s="117"/>
      <c r="C11" s="9"/>
      <c r="D11" s="9"/>
      <c r="E11" s="9"/>
      <c r="F11" s="9"/>
      <c r="G11" s="9"/>
      <c r="H11" s="135"/>
      <c r="I11" s="10"/>
      <c r="J11" s="11"/>
      <c r="K11" s="40"/>
      <c r="L11" s="11"/>
      <c r="M11" s="12"/>
      <c r="N11" s="13"/>
    </row>
    <row r="12" spans="1:14" ht="19.899999999999999" customHeight="1" x14ac:dyDescent="0.2">
      <c r="B12" s="136" t="s">
        <v>155</v>
      </c>
      <c r="C12" s="137">
        <f t="shared" ref="C12:G12" si="0">SUM(C5:C9)</f>
        <v>0</v>
      </c>
      <c r="D12" s="137">
        <f t="shared" si="0"/>
        <v>0</v>
      </c>
      <c r="E12" s="137">
        <f t="shared" si="0"/>
        <v>3849239</v>
      </c>
      <c r="F12" s="137">
        <f t="shared" si="0"/>
        <v>5942435</v>
      </c>
      <c r="G12" s="137">
        <f t="shared" si="0"/>
        <v>2524263</v>
      </c>
      <c r="H12" s="137">
        <f>SUM(C12:G12)</f>
        <v>12315937</v>
      </c>
      <c r="K12" s="239"/>
    </row>
    <row r="13" spans="1:14" x14ac:dyDescent="0.2">
      <c r="B13" s="15"/>
      <c r="C13" s="14"/>
      <c r="D13" s="14"/>
      <c r="E13" s="238"/>
      <c r="F13" s="14"/>
      <c r="G13" s="14"/>
      <c r="H13" s="14"/>
      <c r="K13" s="17"/>
    </row>
    <row r="14" spans="1:14" x14ac:dyDescent="0.2">
      <c r="B14" s="15"/>
      <c r="C14" s="14"/>
      <c r="D14" s="14"/>
      <c r="E14" s="238"/>
      <c r="F14" s="238"/>
      <c r="G14" s="238"/>
      <c r="H14" s="14"/>
      <c r="K14" s="17"/>
    </row>
    <row r="15" spans="1:14" x14ac:dyDescent="0.2">
      <c r="B15" s="16" t="s">
        <v>23</v>
      </c>
      <c r="E15" s="17"/>
      <c r="F15" s="239"/>
      <c r="K15" s="239"/>
    </row>
    <row r="16" spans="1:14" ht="27.75" customHeight="1" x14ac:dyDescent="0.2">
      <c r="A16" s="18">
        <v>1</v>
      </c>
      <c r="B16" s="299" t="s">
        <v>196</v>
      </c>
      <c r="C16" s="299"/>
      <c r="D16" s="299"/>
      <c r="E16" s="261"/>
      <c r="F16" s="239"/>
      <c r="G16" s="239"/>
    </row>
    <row r="17" spans="1:8" ht="27.75" customHeight="1" x14ac:dyDescent="0.2">
      <c r="A17" s="18">
        <v>2</v>
      </c>
      <c r="B17" s="299" t="s">
        <v>197</v>
      </c>
      <c r="C17" s="299"/>
      <c r="D17" s="299"/>
      <c r="F17" s="239"/>
      <c r="G17" s="239"/>
      <c r="H17" s="17"/>
    </row>
    <row r="18" spans="1:8" ht="40.5" customHeight="1" x14ac:dyDescent="0.2">
      <c r="A18" s="18">
        <v>3</v>
      </c>
      <c r="B18" s="299"/>
      <c r="C18" s="299"/>
      <c r="D18" s="299"/>
      <c r="E18" s="239"/>
    </row>
    <row r="19" spans="1:8" ht="77.25" customHeight="1" x14ac:dyDescent="0.2">
      <c r="A19" s="18">
        <v>4</v>
      </c>
      <c r="B19" s="299"/>
      <c r="C19" s="299"/>
      <c r="D19" s="299"/>
      <c r="E19" s="17"/>
    </row>
    <row r="20" spans="1:8" x14ac:dyDescent="0.2">
      <c r="A20" s="18">
        <v>5</v>
      </c>
      <c r="B20" s="300"/>
      <c r="C20" s="300"/>
      <c r="D20" s="300"/>
      <c r="E20" s="262">
        <f>E19/6</f>
        <v>0</v>
      </c>
      <c r="H20" s="17"/>
    </row>
    <row r="21" spans="1:8" x14ac:dyDescent="0.2">
      <c r="B21" s="16"/>
      <c r="C21" s="41"/>
      <c r="D21" s="41"/>
      <c r="E21" s="41"/>
      <c r="F21" s="41"/>
      <c r="G21" s="41"/>
      <c r="H21" s="45"/>
    </row>
    <row r="22" spans="1:8" x14ac:dyDescent="0.2">
      <c r="B22" s="46"/>
      <c r="C22" s="47"/>
      <c r="D22" s="47"/>
      <c r="E22" s="47"/>
      <c r="F22" s="47"/>
      <c r="G22" s="47"/>
      <c r="H22" s="47"/>
    </row>
    <row r="23" spans="1:8" x14ac:dyDescent="0.2">
      <c r="B23" s="48"/>
      <c r="C23" s="10"/>
      <c r="D23" s="10"/>
      <c r="E23" s="10"/>
      <c r="F23" s="10"/>
      <c r="G23" s="10"/>
      <c r="H23" s="14"/>
    </row>
    <row r="24" spans="1:8" x14ac:dyDescent="0.2">
      <c r="B24" s="49"/>
      <c r="C24" s="10"/>
      <c r="D24" s="10"/>
      <c r="E24" s="10"/>
      <c r="F24" s="10"/>
      <c r="G24" s="10"/>
      <c r="H24" s="14"/>
    </row>
    <row r="25" spans="1:8" x14ac:dyDescent="0.2">
      <c r="B25" s="48"/>
      <c r="C25" s="17"/>
      <c r="D25" s="17"/>
      <c r="E25" s="17"/>
      <c r="F25" s="10"/>
      <c r="G25" s="10"/>
      <c r="H25" s="14"/>
    </row>
    <row r="26" spans="1:8" x14ac:dyDescent="0.2">
      <c r="B26" s="46"/>
      <c r="C26" s="10"/>
      <c r="D26" s="10"/>
      <c r="E26" s="10"/>
      <c r="F26" s="10"/>
      <c r="G26" s="10"/>
      <c r="H26" s="14"/>
    </row>
    <row r="27" spans="1:8" x14ac:dyDescent="0.2">
      <c r="B27" s="48"/>
      <c r="C27" s="10"/>
      <c r="D27" s="10"/>
      <c r="E27" s="10"/>
      <c r="F27" s="10"/>
      <c r="G27" s="10"/>
      <c r="H27" s="14"/>
    </row>
    <row r="28" spans="1:8" x14ac:dyDescent="0.2">
      <c r="B28" s="48"/>
      <c r="C28" s="10"/>
      <c r="D28" s="123"/>
      <c r="E28" s="123"/>
      <c r="F28" s="10"/>
      <c r="G28" s="10"/>
      <c r="H28" s="14"/>
    </row>
    <row r="29" spans="1:8" x14ac:dyDescent="0.2">
      <c r="B29" s="15"/>
      <c r="C29" s="14"/>
      <c r="D29" s="14"/>
      <c r="E29" s="14"/>
      <c r="F29" s="14"/>
      <c r="G29" s="14"/>
      <c r="H29" s="14"/>
    </row>
  </sheetData>
  <mergeCells count="7">
    <mergeCell ref="B19:D19"/>
    <mergeCell ref="B20:D20"/>
    <mergeCell ref="B1:H1"/>
    <mergeCell ref="B2:H2"/>
    <mergeCell ref="B16:D16"/>
    <mergeCell ref="B17:D17"/>
    <mergeCell ref="B18:D18"/>
  </mergeCells>
  <printOptions horizontalCentered="1"/>
  <pageMargins left="0.2" right="0.23" top="0.6" bottom="0.46" header="0.17" footer="0.24"/>
  <pageSetup scale="63" orientation="landscape" useFirstPageNumber="1" r:id="rId1"/>
  <headerFooter alignWithMargins="0">
    <oddFooter>&amp;L&amp;"Arial,Bold"&amp;A
&amp;D&amp;C&amp;"Arial,Bold"Accenture Confidential and Proprietary&amp;R&amp;"Arial,Bold"Page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F7B2143A823F041B45173DD1BA67817" ma:contentTypeVersion="10" ma:contentTypeDescription="Create a new document." ma:contentTypeScope="" ma:versionID="ccb65c47b35d5555aa09da8242e7be96">
  <xsd:schema xmlns:xsd="http://www.w3.org/2001/XMLSchema" xmlns:xs="http://www.w3.org/2001/XMLSchema" xmlns:p="http://schemas.microsoft.com/office/2006/metadata/properties" xmlns:ns2="5d3978d0-3cc2-4ac1-8956-a498754eabb0" xmlns:ns3="247410d0-ce92-4ef9-99c8-ee9276b4cf68" targetNamespace="http://schemas.microsoft.com/office/2006/metadata/properties" ma:root="true" ma:fieldsID="ccab8589c4348ae079e133c2240808c2" ns2:_="" ns3:_="">
    <xsd:import namespace="5d3978d0-3cc2-4ac1-8956-a498754eabb0"/>
    <xsd:import namespace="247410d0-ce92-4ef9-99c8-ee9276b4cf6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978d0-3cc2-4ac1-8956-a498754eab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47410d0-ce92-4ef9-99c8-ee9276b4cf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09547D-0305-486F-8C68-635B0CBB2A8F}">
  <ds:schemaRefs>
    <ds:schemaRef ds:uri="http://schemas.microsoft.com/sharepoint/v3/contenttype/forms"/>
  </ds:schemaRefs>
</ds:datastoreItem>
</file>

<file path=customXml/itemProps2.xml><?xml version="1.0" encoding="utf-8"?>
<ds:datastoreItem xmlns:ds="http://schemas.openxmlformats.org/officeDocument/2006/customXml" ds:itemID="{703652D9-C6D8-49B9-813D-C63B75701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3978d0-3cc2-4ac1-8956-a498754eabb0"/>
    <ds:schemaRef ds:uri="247410d0-ce92-4ef9-99c8-ee9276b4cf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954C2E-EAC7-49CD-BA05-7EFE0AAAF374}">
  <ds:schemaRefs>
    <ds:schemaRef ds:uri="http://purl.org/dc/elements/1.1/"/>
    <ds:schemaRef ds:uri="247410d0-ce92-4ef9-99c8-ee9276b4cf68"/>
    <ds:schemaRef ds:uri="http://schemas.microsoft.com/office/2006/documentManagement/types"/>
    <ds:schemaRef ds:uri="http://purl.org/dc/dcmitype/"/>
    <ds:schemaRef ds:uri="http://schemas.microsoft.com/office/infopath/2007/PartnerControls"/>
    <ds:schemaRef ds:uri="http://www.w3.org/XML/1998/namespace"/>
    <ds:schemaRef ds:uri="http://schemas.openxmlformats.org/package/2006/metadata/core-properties"/>
    <ds:schemaRef ds:uri="http://purl.org/dc/terms/"/>
    <ds:schemaRef ds:uri="5d3978d0-3cc2-4ac1-8956-a498754eabb0"/>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1. Exh X - Charges Summary</vt:lpstr>
      <vt:lpstr>2. App Maint</vt:lpstr>
      <vt:lpstr>3A. Prod Ops</vt:lpstr>
      <vt:lpstr> 3A. Prod Ops - Orig</vt:lpstr>
      <vt:lpstr>3B. Innovation Lab</vt:lpstr>
      <vt:lpstr>4. Prod Ops Old</vt:lpstr>
      <vt:lpstr>4. Prod Ops</vt:lpstr>
      <vt:lpstr>5. HW &amp; SW</vt:lpstr>
      <vt:lpstr>6. Facilities</vt:lpstr>
      <vt:lpstr>7. Hourly Rate Card</vt:lpstr>
      <vt:lpstr>8. Change Order Rate Card</vt:lpstr>
      <vt:lpstr>'1. Exh X - Charges Summary'!Print_Area</vt:lpstr>
      <vt:lpstr>'2. App Maint'!Print_Area</vt:lpstr>
      <vt:lpstr>'3A. Prod Ops'!Print_Area</vt:lpstr>
      <vt:lpstr>'3B. Innovation Lab'!Print_Area</vt:lpstr>
      <vt:lpstr>'4. Prod Ops'!Print_Area</vt:lpstr>
      <vt:lpstr>'4. Prod Ops Old'!Print_Area</vt:lpstr>
      <vt:lpstr>'5. HW &amp; SW'!Print_Area</vt:lpstr>
      <vt:lpstr>'6. Facilities'!Print_Area</vt:lpstr>
      <vt:lpstr>'7. Hourly Rate Card'!Print_Area</vt:lpstr>
      <vt:lpstr>'8. Change Order Rate Card'!Print_Area</vt:lpstr>
      <vt:lpstr>'1. Exh X - Charges Summary'!Print_Titles</vt:lpstr>
      <vt:lpstr>'5. HW &amp; SW'!Print_Titles</vt:lpstr>
      <vt:lpstr>'6. Facilities'!Print_Titles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James M.</dc:creator>
  <cp:keywords/>
  <dc:description/>
  <cp:lastModifiedBy>Rosalie Ngo</cp:lastModifiedBy>
  <cp:revision/>
  <dcterms:created xsi:type="dcterms:W3CDTF">2017-05-22T22:37:57Z</dcterms:created>
  <dcterms:modified xsi:type="dcterms:W3CDTF">2020-03-20T04:46:00Z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0x010100AF7B2143A823F041B45173DD1BA67817</vt:lpwstr>
  </property>
  <property fmtid="{D5CDD505-2E9C-101B-9397-08002B2CF9AE}" pid="3" name="AuthorIds_UIVersion_1024">
    <vt:lpwstr>103</vt:lpwstr>
  </property>
</Properties>
</file>