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Z:\IAPDU\IAPDU June 2019\CalWIN M&amp;O\Allocation Distributions\v4 Allocations Submitted 082020\Sent to Counties 08xx20\"/>
    </mc:Choice>
  </mc:AlternateContent>
  <xr:revisionPtr revIDLastSave="0" documentId="14_{BA2B269F-0413-4E88-9AB1-0E8FC86E17E0}" xr6:coauthVersionLast="45" xr6:coauthVersionMax="45" xr10:uidLastSave="{00000000-0000-0000-0000-000000000000}"/>
  <bookViews>
    <workbookView xWindow="-120" yWindow="-120" windowWidth="29040" windowHeight="15840" tabRatio="900" xr2:uid="{00000000-000D-0000-FFFF-FFFF00000000}"/>
  </bookViews>
  <sheets>
    <sheet name="SFY 1920" sheetId="31" r:id="rId1"/>
    <sheet name="ALA" sheetId="2" r:id="rId2"/>
    <sheet name="CCC" sheetId="5" r:id="rId3"/>
    <sheet name="FRS" sheetId="6" r:id="rId4"/>
    <sheet name="ORG" sheetId="7" r:id="rId5"/>
    <sheet name="PLA" sheetId="8" r:id="rId6"/>
    <sheet name="SAC" sheetId="9" r:id="rId7"/>
    <sheet name="SBO" sheetId="23" r:id="rId8"/>
    <sheet name="SDG" sheetId="10" r:id="rId9"/>
    <sheet name="SFO" sheetId="11" r:id="rId10"/>
    <sheet name="SLO" sheetId="12" r:id="rId11"/>
    <sheet name="SMT" sheetId="13" r:id="rId12"/>
    <sheet name="SBR" sheetId="14" r:id="rId13"/>
    <sheet name="SCL" sheetId="15" r:id="rId14"/>
    <sheet name="SCZ" sheetId="16" r:id="rId15"/>
    <sheet name="SOL" sheetId="17" r:id="rId16"/>
    <sheet name="SON" sheetId="18" r:id="rId17"/>
    <sheet name="TUL" sheetId="19" r:id="rId18"/>
    <sheet name="VEN" sheetId="20" r:id="rId19"/>
    <sheet name="YOL" sheetId="21" r:id="rId20"/>
    <sheet name="CalWIN M&amp;O CAP" sheetId="26" state="hidden" r:id="rId21"/>
    <sheet name="Sharing Tables" sheetId="4" state="hidden" r:id="rId22"/>
    <sheet name="Case Count Totals" sheetId="24" state="hidden" r:id="rId23"/>
  </sheets>
  <externalReferences>
    <externalReference r:id="rId24"/>
    <externalReference r:id="rId25"/>
  </externalReferences>
  <definedNames>
    <definedName name="Case__Tiers40">#REF!</definedName>
    <definedName name="Case_Tiers100">#REF!</definedName>
    <definedName name="Case_Tiers60">#REF!</definedName>
    <definedName name="Case_Tiers80">#REF!</definedName>
    <definedName name="f1_rate100">#REF!</definedName>
    <definedName name="f1_rate40">#REF!</definedName>
    <definedName name="f1_rate60">#REF!</definedName>
    <definedName name="f1_rate80">#REF!</definedName>
    <definedName name="f2_rate100">#REF!</definedName>
    <definedName name="f2_rate40">#REF!</definedName>
    <definedName name="f2_rate60">#REF!</definedName>
    <definedName name="f2_rate80">#REF!</definedName>
    <definedName name="f3_rate100">#REF!</definedName>
    <definedName name="f3_rate40">#REF!</definedName>
    <definedName name="f3_rate60">#REF!</definedName>
    <definedName name="f3_rate80">#REF!</definedName>
    <definedName name="f4_rate100">#REF!</definedName>
    <definedName name="f4_rate40">#REF!</definedName>
    <definedName name="f4_rate60">#REF!</definedName>
    <definedName name="f4_rate80">#REF!</definedName>
    <definedName name="HTML_CodePage" hidden="1">1252</definedName>
    <definedName name="HTML_Control" localSheetId="22" hidden="1">{"'Sheet1'!$B$2:$F$25"}</definedName>
    <definedName name="HTML_Control" hidden="1">{"'Sheet1'!$B$2:$F$25"}</definedName>
    <definedName name="HTML_Description" hidden="1">""</definedName>
    <definedName name="HTML_Email" hidden="1">""</definedName>
    <definedName name="HTML_Header" hidden="1">""</definedName>
    <definedName name="HTML_LastUpdate" hidden="1">"5/14/2001"</definedName>
    <definedName name="HTML_LineAfter" hidden="1">FALSE</definedName>
    <definedName name="HTML_LineBefore" hidden="1">FALSE</definedName>
    <definedName name="HTML_Name" hidden="1">"pcinstall"</definedName>
    <definedName name="HTML_OBDlg2" hidden="1">TRUE</definedName>
    <definedName name="HTML_OBDlg4" hidden="1">TRUE</definedName>
    <definedName name="HTML_OS" hidden="1">0</definedName>
    <definedName name="HTML_PathFile" hidden="1">"G:\Internet\Erika\MyHTML.htm"</definedName>
    <definedName name="HTML_Title" hidden="1">"Conversion"</definedName>
    <definedName name="inactive_mult">#REF!</definedName>
    <definedName name="Margin">'[1]New Servers'!$I$1</definedName>
    <definedName name="Neg_PCT">#REF!</definedName>
    <definedName name="_xlnm.Print_Area" localSheetId="1">ALA!$A$3:$F$40</definedName>
    <definedName name="_xlnm.Print_Area" localSheetId="20">'CalWIN M&amp;O CAP'!$A$1:$I$76</definedName>
    <definedName name="_xlnm.Print_Area" localSheetId="22">'Case Count Totals'!$A$1:$O$21</definedName>
    <definedName name="_xlnm.Print_Area" localSheetId="2">CCC!$A$3:$F$40</definedName>
    <definedName name="_xlnm.Print_Area" localSheetId="3">FRS!$A$3:$F$40</definedName>
    <definedName name="_xlnm.Print_Area" localSheetId="4">ORG!$A$3:$F$40</definedName>
    <definedName name="_xlnm.Print_Area" localSheetId="5">PLA!$A$3:$F$40</definedName>
    <definedName name="_xlnm.Print_Area" localSheetId="6">SAC!$A$3:$F$40</definedName>
    <definedName name="_xlnm.Print_Area" localSheetId="7">SBO!$A$3:$F$40</definedName>
    <definedName name="_xlnm.Print_Area" localSheetId="12">SBR!$A$3:$F$40</definedName>
    <definedName name="_xlnm.Print_Area" localSheetId="13">SCL!$A$3:$F$40</definedName>
    <definedName name="_xlnm.Print_Area" localSheetId="14">SCZ!$A$3:$F$40</definedName>
    <definedName name="_xlnm.Print_Area" localSheetId="8">SDG!$A$3:$F$40</definedName>
    <definedName name="_xlnm.Print_Area" localSheetId="9">SFO!$A$3:$F$40</definedName>
    <definedName name="_xlnm.Print_Area" localSheetId="0">'SFY 1920'!$A$3:$U$40</definedName>
    <definedName name="_xlnm.Print_Area" localSheetId="21">'Sharing Tables'!$A$1:$M$25</definedName>
    <definedName name="_xlnm.Print_Area" localSheetId="10">SLO!$A$3:$F$40</definedName>
    <definedName name="_xlnm.Print_Area" localSheetId="11">SMT!$A$3:$F$40</definedName>
    <definedName name="_xlnm.Print_Area" localSheetId="15">SOL!$A$3:$F$40</definedName>
    <definedName name="_xlnm.Print_Area" localSheetId="16">SON!$A$3:$F$40</definedName>
    <definedName name="_xlnm.Print_Area" localSheetId="17">TUL!$A$3:$F$40</definedName>
    <definedName name="_xlnm.Print_Area" localSheetId="18">VEN!$A$3:$F$40</definedName>
    <definedName name="_xlnm.Print_Area" localSheetId="19">YOL!$A$3:$F$40</definedName>
    <definedName name="_xlnm.Print_Titles" localSheetId="20">'CalWIN M&amp;O CAP'!#REF!</definedName>
    <definedName name="_xlnm.Print_Titles" localSheetId="22">'Case Count Totals'!$A:$A,'Case Count Totals'!$1:$2</definedName>
    <definedName name="_xlnm.Print_Titles" localSheetId="0">'SFY 1920'!$A:$A</definedName>
    <definedName name="rate100">#REF!</definedName>
    <definedName name="rate40">#REF!</definedName>
    <definedName name="rate60">#REF!</definedName>
    <definedName name="rate80">#REF!</definedName>
    <definedName name="Spec_pct">#REF!</definedName>
    <definedName name="Tiers100">#REF!</definedName>
    <definedName name="Tiers40">#REF!</definedName>
    <definedName name="Tiers60">#REF!</definedName>
    <definedName name="Tiers80">#REF!</definedName>
    <definedName name="xxx">[2]Summary!#REF!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1" i="31" l="1"/>
  <c r="R21" i="31"/>
  <c r="R18" i="31"/>
  <c r="E15" i="31" l="1"/>
  <c r="E14" i="31"/>
  <c r="D18" i="31"/>
  <c r="B17" i="31" l="1"/>
  <c r="B14" i="31"/>
  <c r="L24" i="31"/>
  <c r="T18" i="31" l="1"/>
  <c r="T21" i="31"/>
  <c r="T14" i="31"/>
  <c r="T6" i="31"/>
  <c r="S18" i="31"/>
  <c r="S14" i="31"/>
  <c r="R27" i="31"/>
  <c r="R14" i="31"/>
  <c r="Q6" i="31"/>
  <c r="Q21" i="31"/>
  <c r="Q27" i="31"/>
  <c r="Q14" i="31"/>
  <c r="Q24" i="31"/>
  <c r="Q18" i="31"/>
  <c r="P27" i="31"/>
  <c r="P14" i="31" l="1"/>
  <c r="P18" i="31"/>
  <c r="P21" i="31"/>
  <c r="N24" i="31" l="1"/>
  <c r="N27" i="31"/>
  <c r="N18" i="31"/>
  <c r="N14" i="31"/>
  <c r="N6" i="31"/>
  <c r="M14" i="31"/>
  <c r="M6" i="31"/>
  <c r="L6" i="31"/>
  <c r="L27" i="31"/>
  <c r="L18" i="31"/>
  <c r="L14" i="31"/>
  <c r="L21" i="31"/>
  <c r="K21" i="31"/>
  <c r="K18" i="31"/>
  <c r="K14" i="31"/>
  <c r="K6" i="31"/>
  <c r="J17" i="31"/>
  <c r="J21" i="31"/>
  <c r="J18" i="31"/>
  <c r="J14" i="31"/>
  <c r="I18" i="31"/>
  <c r="I6" i="31"/>
  <c r="G27" i="31"/>
  <c r="G18" i="31"/>
  <c r="F21" i="31"/>
  <c r="F27" i="31"/>
  <c r="F24" i="31"/>
  <c r="F18" i="31"/>
  <c r="F14" i="31"/>
  <c r="E27" i="31"/>
  <c r="E24" i="31"/>
  <c r="E7" i="31"/>
  <c r="E6" i="31"/>
  <c r="D14" i="31"/>
  <c r="D6" i="31"/>
  <c r="B27" i="31"/>
  <c r="B24" i="31"/>
  <c r="B21" i="31"/>
  <c r="B18" i="31" l="1"/>
  <c r="B6" i="31"/>
  <c r="H26" i="31" l="1"/>
  <c r="J27" i="31"/>
  <c r="H17" i="31"/>
  <c r="H10" i="31" l="1"/>
  <c r="H11" i="31" l="1"/>
  <c r="T10" i="31" l="1"/>
  <c r="S10" i="31"/>
  <c r="R10" i="31"/>
  <c r="Q10" i="31"/>
  <c r="P10" i="31"/>
  <c r="O10" i="31"/>
  <c r="N10" i="31"/>
  <c r="M10" i="31"/>
  <c r="L10" i="31"/>
  <c r="K10" i="31"/>
  <c r="J10" i="31"/>
  <c r="I10" i="31"/>
  <c r="G10" i="31"/>
  <c r="F10" i="31"/>
  <c r="E10" i="31"/>
  <c r="D10" i="31"/>
  <c r="C10" i="31"/>
  <c r="B10" i="31"/>
  <c r="H8" i="31" l="1"/>
  <c r="H34" i="31" l="1"/>
  <c r="T34" i="31"/>
  <c r="S34" i="31"/>
  <c r="R34" i="31"/>
  <c r="Q34" i="31"/>
  <c r="P34" i="31"/>
  <c r="O34" i="31"/>
  <c r="N34" i="31"/>
  <c r="M34" i="31"/>
  <c r="L34" i="31"/>
  <c r="K34" i="31"/>
  <c r="J34" i="31"/>
  <c r="I34" i="31"/>
  <c r="G34" i="31"/>
  <c r="F34" i="31"/>
  <c r="E34" i="31"/>
  <c r="D34" i="31"/>
  <c r="C34" i="31"/>
  <c r="B34" i="31"/>
  <c r="T29" i="31"/>
  <c r="S29" i="31"/>
  <c r="R29" i="31"/>
  <c r="Q29" i="31"/>
  <c r="P29" i="31"/>
  <c r="O29" i="31"/>
  <c r="N29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E18" i="31" l="1"/>
  <c r="M18" i="31"/>
  <c r="M27" i="31" l="1"/>
  <c r="K27" i="31"/>
  <c r="I27" i="31"/>
  <c r="C27" i="31"/>
  <c r="J24" i="31"/>
  <c r="I24" i="31"/>
  <c r="G24" i="31"/>
  <c r="O21" i="31"/>
  <c r="G21" i="31"/>
  <c r="E21" i="31"/>
  <c r="C21" i="31"/>
  <c r="M21" i="31"/>
  <c r="O18" i="31"/>
  <c r="C18" i="31"/>
  <c r="H36" i="31" l="1"/>
  <c r="T36" i="31"/>
  <c r="S36" i="31"/>
  <c r="R36" i="31"/>
  <c r="Q36" i="31"/>
  <c r="P36" i="31"/>
  <c r="O36" i="31"/>
  <c r="N36" i="31"/>
  <c r="M36" i="31"/>
  <c r="L36" i="31"/>
  <c r="K36" i="31"/>
  <c r="J36" i="31"/>
  <c r="I36" i="31"/>
  <c r="G36" i="31"/>
  <c r="F36" i="31"/>
  <c r="E36" i="31"/>
  <c r="D36" i="31"/>
  <c r="C36" i="31"/>
  <c r="B36" i="31" l="1"/>
  <c r="T30" i="31"/>
  <c r="S30" i="31"/>
  <c r="R30" i="31"/>
  <c r="Q30" i="31"/>
  <c r="P30" i="31"/>
  <c r="O30" i="31"/>
  <c r="N30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T26" i="31"/>
  <c r="S26" i="31"/>
  <c r="R26" i="31"/>
  <c r="Q26" i="31"/>
  <c r="P26" i="31"/>
  <c r="O26" i="31"/>
  <c r="N26" i="31"/>
  <c r="M26" i="31"/>
  <c r="L26" i="31"/>
  <c r="K26" i="31"/>
  <c r="J26" i="31"/>
  <c r="I26" i="31"/>
  <c r="G26" i="31"/>
  <c r="F26" i="31"/>
  <c r="E26" i="31"/>
  <c r="D26" i="31"/>
  <c r="C26" i="31"/>
  <c r="B26" i="31"/>
  <c r="T23" i="31"/>
  <c r="S23" i="31"/>
  <c r="R23" i="31"/>
  <c r="Q23" i="31"/>
  <c r="P23" i="31"/>
  <c r="O23" i="31"/>
  <c r="N23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T20" i="31"/>
  <c r="S20" i="31"/>
  <c r="R20" i="31"/>
  <c r="Q20" i="31"/>
  <c r="P20" i="31"/>
  <c r="O20" i="31"/>
  <c r="N20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E17" i="31"/>
  <c r="T17" i="31"/>
  <c r="M17" i="31"/>
  <c r="G39" i="31"/>
  <c r="E39" i="31"/>
  <c r="D39" i="31"/>
  <c r="C39" i="31"/>
  <c r="B39" i="31"/>
  <c r="T37" i="31"/>
  <c r="S37" i="31"/>
  <c r="P37" i="31"/>
  <c r="R37" i="31"/>
  <c r="L37" i="31"/>
  <c r="J37" i="31"/>
  <c r="G37" i="31"/>
  <c r="E37" i="31"/>
  <c r="I37" i="31"/>
  <c r="D37" i="31"/>
  <c r="B37" i="31"/>
  <c r="Q32" i="31"/>
  <c r="T32" i="31"/>
  <c r="S32" i="31"/>
  <c r="R32" i="31"/>
  <c r="O32" i="31"/>
  <c r="L32" i="31"/>
  <c r="P32" i="31"/>
  <c r="N32" i="31"/>
  <c r="E32" i="31"/>
  <c r="M32" i="31"/>
  <c r="J32" i="31"/>
  <c r="F32" i="31"/>
  <c r="D32" i="31"/>
  <c r="B32" i="31"/>
  <c r="H40" i="31" l="1"/>
  <c r="Q17" i="31" l="1"/>
  <c r="N17" i="31"/>
  <c r="L17" i="31" l="1"/>
  <c r="G17" i="31" l="1"/>
  <c r="B15" i="21" l="1"/>
  <c r="B7" i="21"/>
  <c r="B15" i="20"/>
  <c r="B7" i="20"/>
  <c r="B15" i="19"/>
  <c r="B7" i="19"/>
  <c r="B15" i="18"/>
  <c r="B7" i="18"/>
  <c r="B15" i="17"/>
  <c r="B7" i="17"/>
  <c r="B15" i="16"/>
  <c r="B7" i="16"/>
  <c r="B15" i="15"/>
  <c r="B7" i="15"/>
  <c r="B15" i="14"/>
  <c r="B7" i="14"/>
  <c r="B15" i="13"/>
  <c r="B7" i="13"/>
  <c r="B15" i="12"/>
  <c r="B7" i="12"/>
  <c r="B15" i="11"/>
  <c r="B7" i="11"/>
  <c r="B15" i="10"/>
  <c r="B7" i="10"/>
  <c r="B18" i="23"/>
  <c r="B15" i="23"/>
  <c r="B7" i="23"/>
  <c r="B6" i="23"/>
  <c r="B15" i="9"/>
  <c r="B7" i="9"/>
  <c r="B15" i="8"/>
  <c r="C15" i="8" s="1"/>
  <c r="F15" i="8" s="1"/>
  <c r="B7" i="8"/>
  <c r="C7" i="8" s="1"/>
  <c r="B15" i="7"/>
  <c r="B15" i="6"/>
  <c r="B7" i="6"/>
  <c r="B15" i="5"/>
  <c r="B7" i="5"/>
  <c r="B15" i="2"/>
  <c r="B7" i="2"/>
  <c r="B10" i="2"/>
  <c r="B11" i="2"/>
  <c r="B12" i="2"/>
  <c r="B17" i="2"/>
  <c r="B20" i="2"/>
  <c r="B21" i="2"/>
  <c r="B23" i="2"/>
  <c r="B24" i="2"/>
  <c r="B26" i="2"/>
  <c r="B27" i="2"/>
  <c r="B29" i="2"/>
  <c r="B30" i="2"/>
  <c r="B31" i="2"/>
  <c r="B32" i="2"/>
  <c r="B34" i="2"/>
  <c r="B35" i="2"/>
  <c r="B36" i="2"/>
  <c r="B37" i="2"/>
  <c r="B38" i="2"/>
  <c r="B39" i="2"/>
  <c r="B18" i="2" l="1"/>
  <c r="F7" i="8"/>
  <c r="C15" i="7" l="1"/>
  <c r="F15" i="7" s="1"/>
  <c r="C15" i="6"/>
  <c r="F15" i="6" s="1"/>
  <c r="C7" i="6"/>
  <c r="C15" i="9"/>
  <c r="C7" i="9"/>
  <c r="C15" i="23"/>
  <c r="C7" i="23"/>
  <c r="C15" i="10"/>
  <c r="C7" i="10"/>
  <c r="C15" i="11"/>
  <c r="C7" i="11"/>
  <c r="C15" i="12"/>
  <c r="F15" i="12" s="1"/>
  <c r="C15" i="13"/>
  <c r="C15" i="14"/>
  <c r="C7" i="14"/>
  <c r="C15" i="15"/>
  <c r="C15" i="16"/>
  <c r="C7" i="16"/>
  <c r="C15" i="17"/>
  <c r="C7" i="17"/>
  <c r="C15" i="18"/>
  <c r="C7" i="18"/>
  <c r="C15" i="19"/>
  <c r="C7" i="19"/>
  <c r="C15" i="20"/>
  <c r="C7" i="20"/>
  <c r="C15" i="21"/>
  <c r="C7" i="21"/>
  <c r="C15" i="5"/>
  <c r="C7" i="5"/>
  <c r="C39" i="2"/>
  <c r="F39" i="2" s="1"/>
  <c r="C38" i="2"/>
  <c r="C37" i="2"/>
  <c r="F37" i="2" s="1"/>
  <c r="C36" i="2"/>
  <c r="C34" i="2"/>
  <c r="C32" i="2"/>
  <c r="F32" i="2" s="1"/>
  <c r="C30" i="2"/>
  <c r="C29" i="2"/>
  <c r="C27" i="2"/>
  <c r="C26" i="2"/>
  <c r="C24" i="2"/>
  <c r="C23" i="2"/>
  <c r="C21" i="2"/>
  <c r="F21" i="2" s="1"/>
  <c r="C20" i="2"/>
  <c r="C18" i="2"/>
  <c r="C15" i="2"/>
  <c r="C12" i="2"/>
  <c r="C11" i="2"/>
  <c r="C10" i="2"/>
  <c r="F10" i="2" s="1"/>
  <c r="C7" i="2"/>
  <c r="F15" i="21" l="1"/>
  <c r="F7" i="21"/>
  <c r="F7" i="20"/>
  <c r="F15" i="20"/>
  <c r="F15" i="19"/>
  <c r="F7" i="19"/>
  <c r="F15" i="18"/>
  <c r="F7" i="18"/>
  <c r="F7" i="17"/>
  <c r="F15" i="17"/>
  <c r="F15" i="16"/>
  <c r="F7" i="16"/>
  <c r="F15" i="15"/>
  <c r="F7" i="14"/>
  <c r="F15" i="14"/>
  <c r="F15" i="13"/>
  <c r="F15" i="11"/>
  <c r="F7" i="11"/>
  <c r="F15" i="10"/>
  <c r="F7" i="10"/>
  <c r="F7" i="23"/>
  <c r="F15" i="23"/>
  <c r="F7" i="9"/>
  <c r="F15" i="9"/>
  <c r="F15" i="5"/>
  <c r="F27" i="2"/>
  <c r="F15" i="2"/>
  <c r="F11" i="2"/>
  <c r="F23" i="2"/>
  <c r="F29" i="2"/>
  <c r="F34" i="2"/>
  <c r="F38" i="2"/>
  <c r="F7" i="2"/>
  <c r="F12" i="2"/>
  <c r="F18" i="2"/>
  <c r="F24" i="2"/>
  <c r="F30" i="2"/>
  <c r="F20" i="2"/>
  <c r="F26" i="2"/>
  <c r="F36" i="2"/>
  <c r="C17" i="2"/>
  <c r="C7" i="12"/>
  <c r="F7" i="12" s="1"/>
  <c r="C7" i="15"/>
  <c r="C7" i="13"/>
  <c r="C6" i="23"/>
  <c r="C18" i="23"/>
  <c r="F18" i="23" s="1"/>
  <c r="F7" i="15" l="1"/>
  <c r="F7" i="13"/>
  <c r="F6" i="23"/>
  <c r="F7" i="5"/>
  <c r="F7" i="6"/>
  <c r="F17" i="2"/>
  <c r="U15" i="31"/>
  <c r="B39" i="21"/>
  <c r="C39" i="21" s="1"/>
  <c r="B38" i="21"/>
  <c r="C38" i="21" s="1"/>
  <c r="B37" i="21"/>
  <c r="C37" i="21" s="1"/>
  <c r="B36" i="21"/>
  <c r="C36" i="21" s="1"/>
  <c r="B35" i="21"/>
  <c r="B34" i="21"/>
  <c r="C34" i="21" s="1"/>
  <c r="B32" i="21"/>
  <c r="C32" i="21" s="1"/>
  <c r="B31" i="21"/>
  <c r="B30" i="21"/>
  <c r="C30" i="21" s="1"/>
  <c r="B29" i="21"/>
  <c r="C29" i="21" s="1"/>
  <c r="B27" i="21"/>
  <c r="C27" i="21" s="1"/>
  <c r="B26" i="21"/>
  <c r="C26" i="21" s="1"/>
  <c r="B24" i="21"/>
  <c r="C24" i="21" s="1"/>
  <c r="F24" i="21" s="1"/>
  <c r="B23" i="21"/>
  <c r="C23" i="21" s="1"/>
  <c r="B21" i="21"/>
  <c r="C21" i="21" s="1"/>
  <c r="F21" i="21" s="1"/>
  <c r="B20" i="21"/>
  <c r="C20" i="21" s="1"/>
  <c r="B18" i="21"/>
  <c r="C18" i="21" s="1"/>
  <c r="F18" i="21" s="1"/>
  <c r="B12" i="21"/>
  <c r="C12" i="21" s="1"/>
  <c r="B11" i="21"/>
  <c r="C11" i="21" s="1"/>
  <c r="F11" i="21" s="1"/>
  <c r="B39" i="20"/>
  <c r="C39" i="20" s="1"/>
  <c r="B38" i="20"/>
  <c r="C38" i="20" s="1"/>
  <c r="B37" i="20"/>
  <c r="C37" i="20" s="1"/>
  <c r="B36" i="20"/>
  <c r="C36" i="20" s="1"/>
  <c r="B35" i="20"/>
  <c r="B34" i="20"/>
  <c r="C34" i="20" s="1"/>
  <c r="B32" i="20"/>
  <c r="C32" i="20" s="1"/>
  <c r="B31" i="20"/>
  <c r="B30" i="20"/>
  <c r="C30" i="20" s="1"/>
  <c r="B29" i="20"/>
  <c r="C29" i="20" s="1"/>
  <c r="B27" i="20"/>
  <c r="C27" i="20" s="1"/>
  <c r="B26" i="20"/>
  <c r="C26" i="20" s="1"/>
  <c r="B24" i="20"/>
  <c r="C24" i="20" s="1"/>
  <c r="F24" i="20" s="1"/>
  <c r="B23" i="20"/>
  <c r="C23" i="20" s="1"/>
  <c r="B21" i="20"/>
  <c r="C21" i="20" s="1"/>
  <c r="F21" i="20" s="1"/>
  <c r="B20" i="20"/>
  <c r="C20" i="20" s="1"/>
  <c r="B12" i="20"/>
  <c r="C12" i="20" s="1"/>
  <c r="B11" i="20"/>
  <c r="C11" i="20" s="1"/>
  <c r="B10" i="20"/>
  <c r="C10" i="20" s="1"/>
  <c r="B39" i="19"/>
  <c r="C39" i="19" s="1"/>
  <c r="B38" i="19"/>
  <c r="C38" i="19" s="1"/>
  <c r="B37" i="19"/>
  <c r="C37" i="19" s="1"/>
  <c r="B36" i="19"/>
  <c r="C36" i="19" s="1"/>
  <c r="B35" i="19"/>
  <c r="B34" i="19"/>
  <c r="C34" i="19" s="1"/>
  <c r="B32" i="19"/>
  <c r="C32" i="19" s="1"/>
  <c r="B31" i="19"/>
  <c r="B30" i="19"/>
  <c r="C30" i="19" s="1"/>
  <c r="B29" i="19"/>
  <c r="C29" i="19" s="1"/>
  <c r="B27" i="19"/>
  <c r="C27" i="19" s="1"/>
  <c r="B26" i="19"/>
  <c r="C26" i="19" s="1"/>
  <c r="B24" i="19"/>
  <c r="C24" i="19" s="1"/>
  <c r="F24" i="19" s="1"/>
  <c r="B23" i="19"/>
  <c r="C23" i="19" s="1"/>
  <c r="B21" i="19"/>
  <c r="C21" i="19" s="1"/>
  <c r="F21" i="19" s="1"/>
  <c r="B20" i="19"/>
  <c r="C20" i="19" s="1"/>
  <c r="B12" i="19"/>
  <c r="C12" i="19" s="1"/>
  <c r="B11" i="19"/>
  <c r="C11" i="19" s="1"/>
  <c r="B10" i="19"/>
  <c r="C10" i="19" s="1"/>
  <c r="B39" i="18"/>
  <c r="C39" i="18" s="1"/>
  <c r="B38" i="18"/>
  <c r="C38" i="18" s="1"/>
  <c r="B37" i="18"/>
  <c r="C37" i="18" s="1"/>
  <c r="B36" i="18"/>
  <c r="C36" i="18" s="1"/>
  <c r="B35" i="18"/>
  <c r="B34" i="18"/>
  <c r="C34" i="18" s="1"/>
  <c r="B32" i="18"/>
  <c r="C32" i="18" s="1"/>
  <c r="B31" i="18"/>
  <c r="B30" i="18"/>
  <c r="C30" i="18" s="1"/>
  <c r="B29" i="18"/>
  <c r="C29" i="18" s="1"/>
  <c r="B27" i="18"/>
  <c r="C27" i="18" s="1"/>
  <c r="B26" i="18"/>
  <c r="C26" i="18" s="1"/>
  <c r="B24" i="18"/>
  <c r="C24" i="18" s="1"/>
  <c r="F24" i="18" s="1"/>
  <c r="B23" i="18"/>
  <c r="C23" i="18" s="1"/>
  <c r="B21" i="18"/>
  <c r="C21" i="18" s="1"/>
  <c r="F21" i="18" s="1"/>
  <c r="B20" i="18"/>
  <c r="C20" i="18" s="1"/>
  <c r="B12" i="18"/>
  <c r="C12" i="18" s="1"/>
  <c r="B11" i="18"/>
  <c r="C11" i="18" s="1"/>
  <c r="B10" i="18"/>
  <c r="C10" i="18" s="1"/>
  <c r="B39" i="17"/>
  <c r="C39" i="17" s="1"/>
  <c r="B38" i="17"/>
  <c r="C38" i="17" s="1"/>
  <c r="B37" i="17"/>
  <c r="C37" i="17" s="1"/>
  <c r="B36" i="17"/>
  <c r="C36" i="17" s="1"/>
  <c r="B35" i="17"/>
  <c r="B34" i="17"/>
  <c r="C34" i="17" s="1"/>
  <c r="B32" i="17"/>
  <c r="C32" i="17" s="1"/>
  <c r="B31" i="17"/>
  <c r="B30" i="17"/>
  <c r="C30" i="17" s="1"/>
  <c r="B29" i="17"/>
  <c r="C29" i="17" s="1"/>
  <c r="B27" i="17"/>
  <c r="C27" i="17" s="1"/>
  <c r="B26" i="17"/>
  <c r="C26" i="17" s="1"/>
  <c r="B24" i="17"/>
  <c r="C24" i="17" s="1"/>
  <c r="F24" i="17" s="1"/>
  <c r="B23" i="17"/>
  <c r="C23" i="17" s="1"/>
  <c r="B21" i="17"/>
  <c r="C21" i="17" s="1"/>
  <c r="F21" i="17" s="1"/>
  <c r="B20" i="17"/>
  <c r="C20" i="17" s="1"/>
  <c r="B12" i="17"/>
  <c r="C12" i="17" s="1"/>
  <c r="B11" i="17"/>
  <c r="C11" i="17" s="1"/>
  <c r="B10" i="17"/>
  <c r="C10" i="17" s="1"/>
  <c r="B39" i="16"/>
  <c r="C39" i="16" s="1"/>
  <c r="B38" i="16"/>
  <c r="C38" i="16" s="1"/>
  <c r="B37" i="16"/>
  <c r="C37" i="16" s="1"/>
  <c r="B36" i="16"/>
  <c r="C36" i="16" s="1"/>
  <c r="B35" i="16"/>
  <c r="B34" i="16"/>
  <c r="C34" i="16" s="1"/>
  <c r="B32" i="16"/>
  <c r="C32" i="16" s="1"/>
  <c r="B31" i="16"/>
  <c r="B30" i="16"/>
  <c r="C30" i="16" s="1"/>
  <c r="B29" i="16"/>
  <c r="C29" i="16" s="1"/>
  <c r="B27" i="16"/>
  <c r="C27" i="16" s="1"/>
  <c r="B26" i="16"/>
  <c r="C26" i="16" s="1"/>
  <c r="B24" i="16"/>
  <c r="C24" i="16" s="1"/>
  <c r="F24" i="16" s="1"/>
  <c r="B23" i="16"/>
  <c r="C23" i="16" s="1"/>
  <c r="B21" i="16"/>
  <c r="C21" i="16" s="1"/>
  <c r="F21" i="16" s="1"/>
  <c r="B20" i="16"/>
  <c r="C20" i="16" s="1"/>
  <c r="F20" i="16" s="1"/>
  <c r="B12" i="16"/>
  <c r="C12" i="16" s="1"/>
  <c r="B11" i="16"/>
  <c r="C11" i="16" s="1"/>
  <c r="B10" i="16"/>
  <c r="C10" i="16" s="1"/>
  <c r="B39" i="15"/>
  <c r="C39" i="15" s="1"/>
  <c r="B38" i="15"/>
  <c r="C38" i="15" s="1"/>
  <c r="B37" i="15"/>
  <c r="C37" i="15" s="1"/>
  <c r="B36" i="15"/>
  <c r="C36" i="15" s="1"/>
  <c r="B35" i="15"/>
  <c r="B34" i="15"/>
  <c r="C34" i="15" s="1"/>
  <c r="B32" i="15"/>
  <c r="C32" i="15" s="1"/>
  <c r="B31" i="15"/>
  <c r="B30" i="15"/>
  <c r="C30" i="15" s="1"/>
  <c r="B29" i="15"/>
  <c r="C29" i="15" s="1"/>
  <c r="B27" i="15"/>
  <c r="C27" i="15" s="1"/>
  <c r="B26" i="15"/>
  <c r="C26" i="15" s="1"/>
  <c r="B24" i="15"/>
  <c r="C24" i="15" s="1"/>
  <c r="F24" i="15" s="1"/>
  <c r="B23" i="15"/>
  <c r="C23" i="15" s="1"/>
  <c r="B21" i="15"/>
  <c r="C21" i="15" s="1"/>
  <c r="F21" i="15" s="1"/>
  <c r="B20" i="15"/>
  <c r="C20" i="15" s="1"/>
  <c r="B12" i="15"/>
  <c r="C12" i="15" s="1"/>
  <c r="B11" i="15"/>
  <c r="C11" i="15" s="1"/>
  <c r="F11" i="15" s="1"/>
  <c r="B10" i="15"/>
  <c r="C10" i="15" s="1"/>
  <c r="B39" i="14"/>
  <c r="C39" i="14" s="1"/>
  <c r="B38" i="14"/>
  <c r="C38" i="14" s="1"/>
  <c r="B37" i="14"/>
  <c r="C37" i="14" s="1"/>
  <c r="B36" i="14"/>
  <c r="C36" i="14" s="1"/>
  <c r="B35" i="14"/>
  <c r="B34" i="14"/>
  <c r="C34" i="14" s="1"/>
  <c r="B32" i="14"/>
  <c r="C32" i="14" s="1"/>
  <c r="B31" i="14"/>
  <c r="B30" i="14"/>
  <c r="C30" i="14" s="1"/>
  <c r="B29" i="14"/>
  <c r="C29" i="14" s="1"/>
  <c r="B27" i="14"/>
  <c r="C27" i="14" s="1"/>
  <c r="F27" i="14" s="1"/>
  <c r="B26" i="14"/>
  <c r="C26" i="14" s="1"/>
  <c r="B24" i="14"/>
  <c r="C24" i="14" s="1"/>
  <c r="F24" i="14" s="1"/>
  <c r="B23" i="14"/>
  <c r="C23" i="14" s="1"/>
  <c r="B21" i="14"/>
  <c r="C21" i="14" s="1"/>
  <c r="F21" i="14" s="1"/>
  <c r="B20" i="14"/>
  <c r="C20" i="14" s="1"/>
  <c r="B12" i="14"/>
  <c r="C12" i="14" s="1"/>
  <c r="B11" i="14"/>
  <c r="C11" i="14" s="1"/>
  <c r="B10" i="14"/>
  <c r="C10" i="14" s="1"/>
  <c r="B39" i="13"/>
  <c r="C39" i="13" s="1"/>
  <c r="B38" i="13"/>
  <c r="C38" i="13" s="1"/>
  <c r="B37" i="13"/>
  <c r="C37" i="13" s="1"/>
  <c r="B36" i="13"/>
  <c r="C36" i="13" s="1"/>
  <c r="B35" i="13"/>
  <c r="B34" i="13"/>
  <c r="C34" i="13" s="1"/>
  <c r="B32" i="13"/>
  <c r="C32" i="13" s="1"/>
  <c r="B31" i="13"/>
  <c r="B30" i="13"/>
  <c r="C30" i="13" s="1"/>
  <c r="F30" i="13" s="1"/>
  <c r="B29" i="13"/>
  <c r="C29" i="13" s="1"/>
  <c r="F29" i="13" s="1"/>
  <c r="B27" i="13"/>
  <c r="C27" i="13" s="1"/>
  <c r="B26" i="13"/>
  <c r="C26" i="13" s="1"/>
  <c r="B24" i="13"/>
  <c r="C24" i="13" s="1"/>
  <c r="F24" i="13" s="1"/>
  <c r="B23" i="13"/>
  <c r="C23" i="13" s="1"/>
  <c r="B21" i="13"/>
  <c r="C21" i="13" s="1"/>
  <c r="F21" i="13" s="1"/>
  <c r="B20" i="13"/>
  <c r="C20" i="13" s="1"/>
  <c r="B12" i="13"/>
  <c r="C12" i="13" s="1"/>
  <c r="F12" i="13" s="1"/>
  <c r="B10" i="13"/>
  <c r="C10" i="13" s="1"/>
  <c r="B39" i="12"/>
  <c r="C39" i="12" s="1"/>
  <c r="B38" i="12"/>
  <c r="C38" i="12" s="1"/>
  <c r="B37" i="12"/>
  <c r="C37" i="12" s="1"/>
  <c r="B36" i="12"/>
  <c r="C36" i="12" s="1"/>
  <c r="B35" i="12"/>
  <c r="B34" i="12"/>
  <c r="C34" i="12" s="1"/>
  <c r="B32" i="12"/>
  <c r="C32" i="12" s="1"/>
  <c r="B31" i="12"/>
  <c r="B29" i="12"/>
  <c r="C29" i="12" s="1"/>
  <c r="B27" i="12"/>
  <c r="C27" i="12" s="1"/>
  <c r="B26" i="12"/>
  <c r="C26" i="12" s="1"/>
  <c r="B23" i="12"/>
  <c r="C23" i="12" s="1"/>
  <c r="F23" i="12" s="1"/>
  <c r="B21" i="12"/>
  <c r="C21" i="12" s="1"/>
  <c r="F21" i="12" s="1"/>
  <c r="B20" i="12"/>
  <c r="C20" i="12" s="1"/>
  <c r="B12" i="12"/>
  <c r="C12" i="12" s="1"/>
  <c r="F12" i="12" s="1"/>
  <c r="B11" i="12"/>
  <c r="C11" i="12" s="1"/>
  <c r="F11" i="12" s="1"/>
  <c r="B10" i="12"/>
  <c r="C10" i="12" s="1"/>
  <c r="F10" i="12" s="1"/>
  <c r="B39" i="11"/>
  <c r="C39" i="11" s="1"/>
  <c r="F39" i="11" s="1"/>
  <c r="B38" i="11"/>
  <c r="C38" i="11" s="1"/>
  <c r="F38" i="11" s="1"/>
  <c r="B37" i="11"/>
  <c r="C37" i="11" s="1"/>
  <c r="F37" i="11" s="1"/>
  <c r="B36" i="11"/>
  <c r="C36" i="11" s="1"/>
  <c r="B35" i="11"/>
  <c r="B34" i="11"/>
  <c r="C34" i="11" s="1"/>
  <c r="F34" i="11" s="1"/>
  <c r="B32" i="11"/>
  <c r="C32" i="11" s="1"/>
  <c r="B31" i="11"/>
  <c r="B30" i="11"/>
  <c r="C30" i="11" s="1"/>
  <c r="F30" i="11" s="1"/>
  <c r="B29" i="11"/>
  <c r="C29" i="11" s="1"/>
  <c r="F29" i="11" s="1"/>
  <c r="B27" i="11"/>
  <c r="C27" i="11" s="1"/>
  <c r="B26" i="11"/>
  <c r="C26" i="11" s="1"/>
  <c r="B24" i="11"/>
  <c r="C24" i="11" s="1"/>
  <c r="F24" i="11" s="1"/>
  <c r="B23" i="11"/>
  <c r="C23" i="11" s="1"/>
  <c r="B21" i="11"/>
  <c r="C21" i="11" s="1"/>
  <c r="F21" i="11" s="1"/>
  <c r="B20" i="11"/>
  <c r="C20" i="11" s="1"/>
  <c r="B12" i="11"/>
  <c r="C12" i="11" s="1"/>
  <c r="B11" i="11"/>
  <c r="C11" i="11" s="1"/>
  <c r="F11" i="11" s="1"/>
  <c r="B10" i="11"/>
  <c r="C10" i="11" s="1"/>
  <c r="B39" i="10"/>
  <c r="C39" i="10" s="1"/>
  <c r="B38" i="10"/>
  <c r="C38" i="10" s="1"/>
  <c r="B37" i="10"/>
  <c r="C37" i="10" s="1"/>
  <c r="B36" i="10"/>
  <c r="C36" i="10" s="1"/>
  <c r="B35" i="10"/>
  <c r="B34" i="10"/>
  <c r="C34" i="10" s="1"/>
  <c r="B32" i="10"/>
  <c r="C32" i="10" s="1"/>
  <c r="B31" i="10"/>
  <c r="B30" i="10"/>
  <c r="C30" i="10" s="1"/>
  <c r="B29" i="10"/>
  <c r="C29" i="10" s="1"/>
  <c r="B27" i="10"/>
  <c r="C27" i="10" s="1"/>
  <c r="B26" i="10"/>
  <c r="C26" i="10" s="1"/>
  <c r="B24" i="10"/>
  <c r="C24" i="10" s="1"/>
  <c r="F24" i="10" s="1"/>
  <c r="B23" i="10"/>
  <c r="C23" i="10" s="1"/>
  <c r="B21" i="10"/>
  <c r="C21" i="10" s="1"/>
  <c r="B20" i="10"/>
  <c r="C20" i="10" s="1"/>
  <c r="F20" i="10" s="1"/>
  <c r="B12" i="10"/>
  <c r="C12" i="10" s="1"/>
  <c r="B10" i="10"/>
  <c r="C10" i="10" s="1"/>
  <c r="B39" i="23"/>
  <c r="C39" i="23" s="1"/>
  <c r="B38" i="23"/>
  <c r="C38" i="23" s="1"/>
  <c r="B37" i="23"/>
  <c r="C37" i="23" s="1"/>
  <c r="B36" i="23"/>
  <c r="C36" i="23" s="1"/>
  <c r="B34" i="23"/>
  <c r="C34" i="23" s="1"/>
  <c r="B32" i="23"/>
  <c r="C32" i="23" s="1"/>
  <c r="B30" i="23"/>
  <c r="C30" i="23" s="1"/>
  <c r="B29" i="23"/>
  <c r="C29" i="23" s="1"/>
  <c r="B27" i="23"/>
  <c r="C27" i="23" s="1"/>
  <c r="B26" i="23"/>
  <c r="C26" i="23" s="1"/>
  <c r="B24" i="23"/>
  <c r="C24" i="23" s="1"/>
  <c r="F24" i="23" s="1"/>
  <c r="B23" i="23"/>
  <c r="C23" i="23" s="1"/>
  <c r="B21" i="23"/>
  <c r="C21" i="23" s="1"/>
  <c r="B20" i="23"/>
  <c r="C20" i="23" s="1"/>
  <c r="B17" i="23"/>
  <c r="C17" i="23" s="1"/>
  <c r="B14" i="23"/>
  <c r="C14" i="23" s="1"/>
  <c r="B12" i="23"/>
  <c r="C12" i="23" s="1"/>
  <c r="B11" i="23"/>
  <c r="C11" i="23" s="1"/>
  <c r="B10" i="23"/>
  <c r="C10" i="23" s="1"/>
  <c r="F10" i="23" s="1"/>
  <c r="B8" i="23"/>
  <c r="C8" i="23" s="1"/>
  <c r="B39" i="9"/>
  <c r="C39" i="9" s="1"/>
  <c r="B38" i="9"/>
  <c r="C38" i="9" s="1"/>
  <c r="B37" i="9"/>
  <c r="C37" i="9" s="1"/>
  <c r="B36" i="9"/>
  <c r="C36" i="9" s="1"/>
  <c r="B35" i="9"/>
  <c r="B34" i="9"/>
  <c r="C34" i="9" s="1"/>
  <c r="B32" i="9"/>
  <c r="C32" i="9" s="1"/>
  <c r="B31" i="9"/>
  <c r="B30" i="9"/>
  <c r="C30" i="9" s="1"/>
  <c r="B29" i="9"/>
  <c r="C29" i="9" s="1"/>
  <c r="B27" i="9"/>
  <c r="C27" i="9" s="1"/>
  <c r="B26" i="9"/>
  <c r="C26" i="9" s="1"/>
  <c r="B24" i="9"/>
  <c r="C24" i="9" s="1"/>
  <c r="F24" i="9" s="1"/>
  <c r="B23" i="9"/>
  <c r="C23" i="9" s="1"/>
  <c r="B21" i="9"/>
  <c r="C21" i="9" s="1"/>
  <c r="B20" i="9"/>
  <c r="C20" i="9" s="1"/>
  <c r="B12" i="9"/>
  <c r="C12" i="9" s="1"/>
  <c r="B11" i="9"/>
  <c r="C11" i="9" s="1"/>
  <c r="B10" i="9"/>
  <c r="C10" i="9" s="1"/>
  <c r="B39" i="8"/>
  <c r="C39" i="8" s="1"/>
  <c r="B38" i="8"/>
  <c r="C38" i="8" s="1"/>
  <c r="B37" i="8"/>
  <c r="C37" i="8" s="1"/>
  <c r="B36" i="8"/>
  <c r="C36" i="8" s="1"/>
  <c r="B35" i="8"/>
  <c r="C35" i="8" s="1"/>
  <c r="B34" i="8"/>
  <c r="C34" i="8" s="1"/>
  <c r="B32" i="8"/>
  <c r="C32" i="8" s="1"/>
  <c r="B31" i="8"/>
  <c r="C31" i="8" s="1"/>
  <c r="B30" i="8"/>
  <c r="C30" i="8" s="1"/>
  <c r="B29" i="8"/>
  <c r="C29" i="8" s="1"/>
  <c r="B27" i="8"/>
  <c r="C27" i="8" s="1"/>
  <c r="B26" i="8"/>
  <c r="C26" i="8" s="1"/>
  <c r="B24" i="8"/>
  <c r="C24" i="8" s="1"/>
  <c r="B23" i="8"/>
  <c r="C23" i="8" s="1"/>
  <c r="B21" i="8"/>
  <c r="C21" i="8" s="1"/>
  <c r="F21" i="8" s="1"/>
  <c r="B20" i="8"/>
  <c r="C20" i="8" s="1"/>
  <c r="B12" i="8"/>
  <c r="C12" i="8" s="1"/>
  <c r="B11" i="8"/>
  <c r="C11" i="8" s="1"/>
  <c r="B10" i="8"/>
  <c r="C10" i="8" s="1"/>
  <c r="B39" i="7"/>
  <c r="C39" i="7" s="1"/>
  <c r="B38" i="7"/>
  <c r="C38" i="7" s="1"/>
  <c r="B37" i="7"/>
  <c r="C37" i="7" s="1"/>
  <c r="B36" i="7"/>
  <c r="C36" i="7" s="1"/>
  <c r="B35" i="7"/>
  <c r="C35" i="7" s="1"/>
  <c r="B34" i="7"/>
  <c r="C34" i="7" s="1"/>
  <c r="B32" i="7"/>
  <c r="C32" i="7" s="1"/>
  <c r="B31" i="7"/>
  <c r="C31" i="7" s="1"/>
  <c r="B30" i="7"/>
  <c r="C30" i="7" s="1"/>
  <c r="B29" i="7"/>
  <c r="C29" i="7" s="1"/>
  <c r="B27" i="7"/>
  <c r="C27" i="7" s="1"/>
  <c r="B26" i="7"/>
  <c r="C26" i="7" s="1"/>
  <c r="B24" i="7"/>
  <c r="C24" i="7" s="1"/>
  <c r="F24" i="7" s="1"/>
  <c r="B23" i="7"/>
  <c r="C23" i="7" s="1"/>
  <c r="B21" i="7"/>
  <c r="C21" i="7" s="1"/>
  <c r="F21" i="7" s="1"/>
  <c r="B20" i="7"/>
  <c r="C20" i="7" s="1"/>
  <c r="B12" i="7"/>
  <c r="C12" i="7" s="1"/>
  <c r="B11" i="7"/>
  <c r="C11" i="7" s="1"/>
  <c r="B10" i="7"/>
  <c r="C10" i="7" s="1"/>
  <c r="B7" i="7"/>
  <c r="C7" i="7" s="1"/>
  <c r="F7" i="7" s="1"/>
  <c r="B39" i="6"/>
  <c r="C39" i="6" s="1"/>
  <c r="B38" i="6"/>
  <c r="C38" i="6" s="1"/>
  <c r="B37" i="6"/>
  <c r="C37" i="6" s="1"/>
  <c r="B36" i="6"/>
  <c r="C36" i="6" s="1"/>
  <c r="B35" i="6"/>
  <c r="C35" i="6" s="1"/>
  <c r="B34" i="6"/>
  <c r="C34" i="6" s="1"/>
  <c r="B32" i="6"/>
  <c r="C32" i="6" s="1"/>
  <c r="B31" i="6"/>
  <c r="C31" i="6" s="1"/>
  <c r="B30" i="6"/>
  <c r="C30" i="6" s="1"/>
  <c r="B29" i="6"/>
  <c r="C29" i="6" s="1"/>
  <c r="B27" i="6"/>
  <c r="C27" i="6" s="1"/>
  <c r="B24" i="6"/>
  <c r="C24" i="6" s="1"/>
  <c r="F24" i="6" s="1"/>
  <c r="B23" i="6"/>
  <c r="C23" i="6" s="1"/>
  <c r="B21" i="6"/>
  <c r="C21" i="6" s="1"/>
  <c r="F21" i="6" s="1"/>
  <c r="B12" i="6"/>
  <c r="C12" i="6" s="1"/>
  <c r="B11" i="6"/>
  <c r="C11" i="6" s="1"/>
  <c r="B10" i="6"/>
  <c r="C10" i="6" s="1"/>
  <c r="B39" i="5"/>
  <c r="C39" i="5" s="1"/>
  <c r="B38" i="5"/>
  <c r="C38" i="5" s="1"/>
  <c r="B37" i="5"/>
  <c r="C37" i="5" s="1"/>
  <c r="B36" i="5"/>
  <c r="C36" i="5" s="1"/>
  <c r="B35" i="5"/>
  <c r="B34" i="5"/>
  <c r="C34" i="5" s="1"/>
  <c r="B32" i="5"/>
  <c r="C32" i="5" s="1"/>
  <c r="B31" i="5"/>
  <c r="B30" i="5"/>
  <c r="C30" i="5" s="1"/>
  <c r="B29" i="5"/>
  <c r="C29" i="5" s="1"/>
  <c r="B27" i="5"/>
  <c r="C27" i="5" s="1"/>
  <c r="B26" i="5"/>
  <c r="C26" i="5" s="1"/>
  <c r="B24" i="5"/>
  <c r="C24" i="5" s="1"/>
  <c r="F24" i="5" s="1"/>
  <c r="B23" i="5"/>
  <c r="C23" i="5" s="1"/>
  <c r="B21" i="5"/>
  <c r="C21" i="5" s="1"/>
  <c r="B20" i="5"/>
  <c r="C20" i="5" s="1"/>
  <c r="B12" i="5"/>
  <c r="C12" i="5" s="1"/>
  <c r="B11" i="5"/>
  <c r="C11" i="5" s="1"/>
  <c r="B10" i="5"/>
  <c r="C10" i="5" s="1"/>
  <c r="F8" i="23" l="1"/>
  <c r="U12" i="31"/>
  <c r="U7" i="31"/>
  <c r="B17" i="21"/>
  <c r="C17" i="21" s="1"/>
  <c r="F17" i="21" s="1"/>
  <c r="U34" i="31"/>
  <c r="U39" i="31"/>
  <c r="F11" i="23"/>
  <c r="F23" i="10"/>
  <c r="F39" i="13"/>
  <c r="F23" i="5"/>
  <c r="F12" i="15"/>
  <c r="F26" i="5"/>
  <c r="F36" i="5"/>
  <c r="F23" i="6"/>
  <c r="F38" i="6"/>
  <c r="F29" i="7"/>
  <c r="B17" i="8"/>
  <c r="C17" i="8" s="1"/>
  <c r="B18" i="8"/>
  <c r="C18" i="8" s="1"/>
  <c r="F35" i="8"/>
  <c r="F20" i="9"/>
  <c r="F36" i="9"/>
  <c r="F27" i="23"/>
  <c r="F36" i="10"/>
  <c r="F26" i="13"/>
  <c r="F29" i="14"/>
  <c r="F29" i="16"/>
  <c r="F11" i="17"/>
  <c r="F37" i="18"/>
  <c r="F39" i="19"/>
  <c r="F27" i="20"/>
  <c r="F12" i="23"/>
  <c r="F27" i="11"/>
  <c r="U36" i="31"/>
  <c r="F21" i="5"/>
  <c r="F37" i="5"/>
  <c r="F39" i="6"/>
  <c r="F10" i="7"/>
  <c r="B17" i="7"/>
  <c r="C17" i="7" s="1"/>
  <c r="B18" i="7"/>
  <c r="C18" i="7" s="1"/>
  <c r="F18" i="7" s="1"/>
  <c r="F30" i="7"/>
  <c r="F35" i="7"/>
  <c r="F39" i="7"/>
  <c r="F11" i="8"/>
  <c r="F20" i="8"/>
  <c r="F26" i="8"/>
  <c r="F31" i="8"/>
  <c r="F36" i="8"/>
  <c r="F12" i="9"/>
  <c r="F21" i="9"/>
  <c r="F27" i="9"/>
  <c r="F32" i="9"/>
  <c r="F37" i="9"/>
  <c r="F14" i="23"/>
  <c r="F29" i="23"/>
  <c r="F36" i="23"/>
  <c r="F12" i="10"/>
  <c r="F27" i="10"/>
  <c r="F32" i="10"/>
  <c r="F37" i="10"/>
  <c r="F23" i="11"/>
  <c r="F26" i="12"/>
  <c r="F36" i="12"/>
  <c r="F27" i="13"/>
  <c r="F32" i="13"/>
  <c r="F37" i="13"/>
  <c r="F10" i="14"/>
  <c r="B17" i="14"/>
  <c r="C17" i="14" s="1"/>
  <c r="B18" i="14"/>
  <c r="C18" i="14" s="1"/>
  <c r="F18" i="14" s="1"/>
  <c r="F27" i="15"/>
  <c r="F32" i="15"/>
  <c r="F37" i="15"/>
  <c r="F10" i="16"/>
  <c r="B17" i="16"/>
  <c r="C17" i="16" s="1"/>
  <c r="B18" i="16"/>
  <c r="C18" i="16" s="1"/>
  <c r="F30" i="16"/>
  <c r="F39" i="16"/>
  <c r="F12" i="17"/>
  <c r="F27" i="17"/>
  <c r="F32" i="17"/>
  <c r="F37" i="17"/>
  <c r="F23" i="18"/>
  <c r="F29" i="18"/>
  <c r="F34" i="18"/>
  <c r="F38" i="18"/>
  <c r="F11" i="19"/>
  <c r="F20" i="19"/>
  <c r="F26" i="19"/>
  <c r="F36" i="19"/>
  <c r="F29" i="20"/>
  <c r="F34" i="20"/>
  <c r="F38" i="20"/>
  <c r="B10" i="21"/>
  <c r="C10" i="21" s="1"/>
  <c r="F23" i="21"/>
  <c r="F29" i="21"/>
  <c r="F34" i="21"/>
  <c r="F38" i="21"/>
  <c r="F21" i="10"/>
  <c r="F38" i="13"/>
  <c r="F20" i="18"/>
  <c r="F23" i="20"/>
  <c r="F27" i="21"/>
  <c r="F32" i="21"/>
  <c r="F20" i="5"/>
  <c r="F29" i="6"/>
  <c r="F34" i="7"/>
  <c r="F10" i="8"/>
  <c r="F30" i="8"/>
  <c r="F11" i="9"/>
  <c r="F21" i="23"/>
  <c r="F39" i="23"/>
  <c r="B11" i="10"/>
  <c r="C11" i="10" s="1"/>
  <c r="F39" i="12"/>
  <c r="B11" i="13"/>
  <c r="C11" i="13" s="1"/>
  <c r="F23" i="14"/>
  <c r="F38" i="14"/>
  <c r="F26" i="15"/>
  <c r="F34" i="16"/>
  <c r="F20" i="17"/>
  <c r="F36" i="17"/>
  <c r="F27" i="18"/>
  <c r="B17" i="19"/>
  <c r="C17" i="19" s="1"/>
  <c r="B18" i="19"/>
  <c r="C18" i="19" s="1"/>
  <c r="F18" i="19" s="1"/>
  <c r="F37" i="20"/>
  <c r="F27" i="5"/>
  <c r="F10" i="6"/>
  <c r="F30" i="6"/>
  <c r="U29" i="31"/>
  <c r="F34" i="5"/>
  <c r="F11" i="6"/>
  <c r="B20" i="6"/>
  <c r="C20" i="6" s="1"/>
  <c r="B26" i="6"/>
  <c r="C26" i="6" s="1"/>
  <c r="F36" i="6"/>
  <c r="F11" i="7"/>
  <c r="F20" i="7"/>
  <c r="F26" i="7"/>
  <c r="F31" i="7"/>
  <c r="F36" i="7"/>
  <c r="F12" i="8"/>
  <c r="F27" i="8"/>
  <c r="F32" i="8"/>
  <c r="F37" i="8"/>
  <c r="F23" i="9"/>
  <c r="F29" i="9"/>
  <c r="F34" i="9"/>
  <c r="F38" i="9"/>
  <c r="F17" i="23"/>
  <c r="F30" i="23"/>
  <c r="F37" i="23"/>
  <c r="F29" i="10"/>
  <c r="F34" i="10"/>
  <c r="F38" i="10"/>
  <c r="F10" i="11"/>
  <c r="B17" i="11"/>
  <c r="C17" i="11" s="1"/>
  <c r="B18" i="11"/>
  <c r="C18" i="11" s="1"/>
  <c r="F18" i="11" s="1"/>
  <c r="F27" i="12"/>
  <c r="F32" i="12"/>
  <c r="F37" i="12"/>
  <c r="F23" i="13"/>
  <c r="F11" i="14"/>
  <c r="F20" i="14"/>
  <c r="F26" i="14"/>
  <c r="F36" i="14"/>
  <c r="F23" i="15"/>
  <c r="F29" i="15"/>
  <c r="F34" i="15"/>
  <c r="F38" i="15"/>
  <c r="F11" i="16"/>
  <c r="F26" i="16"/>
  <c r="F36" i="16"/>
  <c r="F23" i="17"/>
  <c r="F29" i="17"/>
  <c r="F34" i="17"/>
  <c r="F38" i="17"/>
  <c r="F10" i="18"/>
  <c r="B17" i="18"/>
  <c r="C17" i="18" s="1"/>
  <c r="B18" i="18"/>
  <c r="C18" i="18" s="1"/>
  <c r="F18" i="18" s="1"/>
  <c r="F30" i="18"/>
  <c r="F39" i="18"/>
  <c r="F12" i="19"/>
  <c r="F27" i="19"/>
  <c r="F32" i="19"/>
  <c r="F37" i="19"/>
  <c r="F10" i="20"/>
  <c r="B17" i="20"/>
  <c r="C17" i="20" s="1"/>
  <c r="B18" i="20"/>
  <c r="C18" i="20" s="1"/>
  <c r="F18" i="20" s="1"/>
  <c r="F30" i="20"/>
  <c r="F39" i="20"/>
  <c r="F30" i="21"/>
  <c r="F39" i="21"/>
  <c r="F23" i="23"/>
  <c r="F32" i="11"/>
  <c r="F20" i="12"/>
  <c r="F34" i="13"/>
  <c r="F37" i="14"/>
  <c r="F30" i="14"/>
  <c r="F39" i="14"/>
  <c r="F32" i="14"/>
  <c r="F10" i="15"/>
  <c r="F37" i="21"/>
  <c r="F11" i="5"/>
  <c r="F34" i="6"/>
  <c r="F23" i="7"/>
  <c r="F38" i="7"/>
  <c r="F24" i="8"/>
  <c r="F39" i="8"/>
  <c r="F26" i="9"/>
  <c r="F34" i="23"/>
  <c r="F26" i="10"/>
  <c r="F12" i="11"/>
  <c r="B17" i="12"/>
  <c r="C17" i="12" s="1"/>
  <c r="B18" i="12"/>
  <c r="C18" i="12" s="1"/>
  <c r="F18" i="12" s="1"/>
  <c r="B24" i="12"/>
  <c r="C24" i="12" s="1"/>
  <c r="F24" i="12" s="1"/>
  <c r="U30" i="31"/>
  <c r="B30" i="12"/>
  <c r="C30" i="12" s="1"/>
  <c r="F20" i="13"/>
  <c r="F36" i="13"/>
  <c r="F34" i="14"/>
  <c r="F20" i="15"/>
  <c r="F36" i="15"/>
  <c r="F23" i="16"/>
  <c r="F38" i="16"/>
  <c r="F26" i="17"/>
  <c r="F12" i="18"/>
  <c r="F32" i="18"/>
  <c r="F10" i="19"/>
  <c r="F30" i="19"/>
  <c r="F12" i="20"/>
  <c r="F32" i="20"/>
  <c r="F12" i="5"/>
  <c r="F32" i="5"/>
  <c r="B17" i="6"/>
  <c r="C17" i="6" s="1"/>
  <c r="B18" i="6"/>
  <c r="C18" i="6" s="1"/>
  <c r="F35" i="6"/>
  <c r="U10" i="31"/>
  <c r="U37" i="31"/>
  <c r="F29" i="5"/>
  <c r="F38" i="5"/>
  <c r="F31" i="6"/>
  <c r="U11" i="31"/>
  <c r="U32" i="31"/>
  <c r="U38" i="31"/>
  <c r="F10" i="5"/>
  <c r="B18" i="5"/>
  <c r="C18" i="5" s="1"/>
  <c r="F18" i="5" s="1"/>
  <c r="F30" i="5"/>
  <c r="F39" i="5"/>
  <c r="F12" i="6"/>
  <c r="F27" i="6"/>
  <c r="F32" i="6"/>
  <c r="F37" i="6"/>
  <c r="F12" i="7"/>
  <c r="F27" i="7"/>
  <c r="F32" i="7"/>
  <c r="F37" i="7"/>
  <c r="F23" i="8"/>
  <c r="F29" i="8"/>
  <c r="F34" i="8"/>
  <c r="F38" i="8"/>
  <c r="F10" i="9"/>
  <c r="B17" i="9"/>
  <c r="C17" i="9" s="1"/>
  <c r="B18" i="9"/>
  <c r="C18" i="9" s="1"/>
  <c r="F18" i="9" s="1"/>
  <c r="F30" i="9"/>
  <c r="F39" i="9"/>
  <c r="F20" i="23"/>
  <c r="F26" i="23"/>
  <c r="F32" i="23"/>
  <c r="F38" i="23"/>
  <c r="F10" i="10"/>
  <c r="B17" i="10"/>
  <c r="C17" i="10" s="1"/>
  <c r="B18" i="10"/>
  <c r="C18" i="10" s="1"/>
  <c r="F18" i="10" s="1"/>
  <c r="F30" i="10"/>
  <c r="F39" i="10"/>
  <c r="F20" i="11"/>
  <c r="F26" i="11"/>
  <c r="F36" i="11"/>
  <c r="F29" i="12"/>
  <c r="F34" i="12"/>
  <c r="F38" i="12"/>
  <c r="F10" i="13"/>
  <c r="B17" i="13"/>
  <c r="C17" i="13" s="1"/>
  <c r="B18" i="13"/>
  <c r="C18" i="13" s="1"/>
  <c r="F12" i="14"/>
  <c r="B17" i="15"/>
  <c r="C17" i="15" s="1"/>
  <c r="B18" i="15"/>
  <c r="C18" i="15" s="1"/>
  <c r="F18" i="15" s="1"/>
  <c r="F30" i="15"/>
  <c r="F39" i="15"/>
  <c r="F12" i="16"/>
  <c r="F27" i="16"/>
  <c r="F32" i="16"/>
  <c r="F37" i="16"/>
  <c r="F10" i="17"/>
  <c r="B17" i="17"/>
  <c r="C17" i="17" s="1"/>
  <c r="B18" i="17"/>
  <c r="C18" i="17" s="1"/>
  <c r="F18" i="17" s="1"/>
  <c r="F30" i="17"/>
  <c r="F39" i="17"/>
  <c r="F11" i="18"/>
  <c r="F26" i="18"/>
  <c r="F36" i="18"/>
  <c r="F23" i="19"/>
  <c r="F29" i="19"/>
  <c r="F34" i="19"/>
  <c r="F38" i="19"/>
  <c r="F11" i="20"/>
  <c r="F20" i="20"/>
  <c r="F26" i="20"/>
  <c r="F36" i="20"/>
  <c r="F12" i="21"/>
  <c r="F20" i="21"/>
  <c r="F26" i="21"/>
  <c r="F36" i="21"/>
  <c r="U18" i="31"/>
  <c r="C32" i="26" l="1"/>
  <c r="C49" i="26"/>
  <c r="F17" i="13"/>
  <c r="F17" i="9"/>
  <c r="F17" i="20"/>
  <c r="F11" i="13"/>
  <c r="F17" i="14"/>
  <c r="F17" i="7"/>
  <c r="F17" i="8"/>
  <c r="F17" i="10"/>
  <c r="F17" i="18"/>
  <c r="F11" i="10"/>
  <c r="F10" i="21"/>
  <c r="F17" i="17"/>
  <c r="F18" i="13"/>
  <c r="F17" i="6"/>
  <c r="F30" i="12"/>
  <c r="F17" i="11"/>
  <c r="F20" i="6"/>
  <c r="F17" i="19"/>
  <c r="B17" i="5"/>
  <c r="F26" i="6"/>
  <c r="F17" i="16"/>
  <c r="F18" i="8"/>
  <c r="F18" i="6"/>
  <c r="F17" i="15"/>
  <c r="F17" i="12"/>
  <c r="F18" i="16"/>
  <c r="C17" i="5" l="1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4" i="24"/>
  <c r="N3" i="24"/>
  <c r="H24" i="4"/>
  <c r="E24" i="4"/>
  <c r="H23" i="4"/>
  <c r="E23" i="4"/>
  <c r="H22" i="4"/>
  <c r="E22" i="4"/>
  <c r="H21" i="4"/>
  <c r="E21" i="4"/>
  <c r="H20" i="4"/>
  <c r="E20" i="4"/>
  <c r="H19" i="4"/>
  <c r="E19" i="4"/>
  <c r="H18" i="4"/>
  <c r="E18" i="4"/>
  <c r="H17" i="4"/>
  <c r="E17" i="4"/>
  <c r="H16" i="4"/>
  <c r="E16" i="4"/>
  <c r="H15" i="4"/>
  <c r="E15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G25" i="4"/>
  <c r="E7" i="4"/>
  <c r="B55" i="26"/>
  <c r="B56" i="26" s="1"/>
  <c r="B49" i="26"/>
  <c r="B40" i="26"/>
  <c r="B41" i="26" s="1"/>
  <c r="B32" i="26"/>
  <c r="B14" i="26"/>
  <c r="F7" i="4" l="1"/>
  <c r="F8" i="4"/>
  <c r="I8" i="4" s="1"/>
  <c r="F21" i="4"/>
  <c r="I21" i="4" s="1"/>
  <c r="F22" i="4"/>
  <c r="I22" i="4" s="1"/>
  <c r="J22" i="4" s="1"/>
  <c r="F23" i="4"/>
  <c r="I23" i="4" s="1"/>
  <c r="J23" i="4" s="1"/>
  <c r="K23" i="4" s="1"/>
  <c r="F24" i="4"/>
  <c r="I24" i="4" s="1"/>
  <c r="J24" i="4" s="1"/>
  <c r="L24" i="4" s="1"/>
  <c r="F14" i="4"/>
  <c r="I14" i="4" s="1"/>
  <c r="O3" i="24"/>
  <c r="O13" i="24"/>
  <c r="E25" i="4"/>
  <c r="F9" i="4"/>
  <c r="I9" i="4" s="1"/>
  <c r="J9" i="4" s="1"/>
  <c r="B8" i="7"/>
  <c r="C8" i="7" s="1"/>
  <c r="F8" i="7" s="1"/>
  <c r="B8" i="8"/>
  <c r="C8" i="8" s="1"/>
  <c r="F8" i="8" s="1"/>
  <c r="B6" i="8"/>
  <c r="B8" i="9"/>
  <c r="C8" i="9" s="1"/>
  <c r="F8" i="9" s="1"/>
  <c r="B8" i="10"/>
  <c r="C8" i="10" s="1"/>
  <c r="F8" i="10" s="1"/>
  <c r="B8" i="15"/>
  <c r="C8" i="15" s="1"/>
  <c r="F8" i="15" s="1"/>
  <c r="B8" i="16"/>
  <c r="C8" i="16" s="1"/>
  <c r="F8" i="16" s="1"/>
  <c r="B8" i="17"/>
  <c r="C8" i="17" s="1"/>
  <c r="F8" i="17" s="1"/>
  <c r="N21" i="24"/>
  <c r="O19" i="24" s="1"/>
  <c r="B8" i="6"/>
  <c r="C8" i="6" s="1"/>
  <c r="F8" i="6" s="1"/>
  <c r="D25" i="4"/>
  <c r="B8" i="11"/>
  <c r="C8" i="11" s="1"/>
  <c r="F8" i="11" s="1"/>
  <c r="F17" i="4"/>
  <c r="I17" i="4" s="1"/>
  <c r="J17" i="4" s="1"/>
  <c r="L17" i="4" s="1"/>
  <c r="B8" i="18"/>
  <c r="C8" i="18" s="1"/>
  <c r="F8" i="18" s="1"/>
  <c r="B8" i="19"/>
  <c r="C8" i="19" s="1"/>
  <c r="F8" i="19" s="1"/>
  <c r="B8" i="20"/>
  <c r="C8" i="20" s="1"/>
  <c r="F8" i="20" s="1"/>
  <c r="B8" i="21"/>
  <c r="C8" i="21" s="1"/>
  <c r="F8" i="21" s="1"/>
  <c r="B8" i="14"/>
  <c r="C8" i="14" s="1"/>
  <c r="F8" i="14" s="1"/>
  <c r="B8" i="2"/>
  <c r="C8" i="2" s="1"/>
  <c r="F8" i="2" s="1"/>
  <c r="U8" i="31"/>
  <c r="B8" i="5"/>
  <c r="C8" i="5" s="1"/>
  <c r="F8" i="5" s="1"/>
  <c r="F10" i="4"/>
  <c r="I10" i="4" s="1"/>
  <c r="J10" i="4" s="1"/>
  <c r="K10" i="4" s="1"/>
  <c r="F11" i="4"/>
  <c r="I11" i="4" s="1"/>
  <c r="J11" i="4" s="1"/>
  <c r="L11" i="4" s="1"/>
  <c r="F12" i="4"/>
  <c r="I12" i="4" s="1"/>
  <c r="F13" i="4"/>
  <c r="I13" i="4" s="1"/>
  <c r="J13" i="4" s="1"/>
  <c r="B8" i="12"/>
  <c r="C8" i="12" s="1"/>
  <c r="F8" i="12" s="1"/>
  <c r="B8" i="13"/>
  <c r="C8" i="13" s="1"/>
  <c r="F8" i="13" s="1"/>
  <c r="F18" i="4"/>
  <c r="I18" i="4" s="1"/>
  <c r="J18" i="4" s="1"/>
  <c r="F17" i="5"/>
  <c r="F15" i="4"/>
  <c r="I15" i="4" s="1"/>
  <c r="J15" i="4" s="1"/>
  <c r="L15" i="4" s="1"/>
  <c r="F16" i="4"/>
  <c r="I16" i="4" s="1"/>
  <c r="J16" i="4" s="1"/>
  <c r="F19" i="4"/>
  <c r="I19" i="4" s="1"/>
  <c r="J19" i="4" s="1"/>
  <c r="L19" i="4" s="1"/>
  <c r="F20" i="4"/>
  <c r="I20" i="4" s="1"/>
  <c r="J20" i="4" s="1"/>
  <c r="L20" i="4" s="1"/>
  <c r="I7" i="4"/>
  <c r="J8" i="4"/>
  <c r="L8" i="4" s="1"/>
  <c r="J12" i="4"/>
  <c r="K12" i="4" s="1"/>
  <c r="J14" i="4"/>
  <c r="H7" i="4"/>
  <c r="J21" i="4"/>
  <c r="L21" i="4" s="1"/>
  <c r="C25" i="4"/>
  <c r="K16" i="4" l="1"/>
  <c r="L16" i="4"/>
  <c r="B6" i="2"/>
  <c r="B6" i="19"/>
  <c r="B6" i="15"/>
  <c r="B6" i="13"/>
  <c r="B6" i="5"/>
  <c r="B6" i="11"/>
  <c r="B6" i="6"/>
  <c r="B6" i="16"/>
  <c r="B6" i="10"/>
  <c r="C6" i="8"/>
  <c r="O9" i="24"/>
  <c r="B6" i="18"/>
  <c r="O20" i="24"/>
  <c r="O18" i="24"/>
  <c r="O16" i="24"/>
  <c r="O14" i="24"/>
  <c r="O12" i="24"/>
  <c r="O10" i="24"/>
  <c r="O8" i="24"/>
  <c r="O6" i="24"/>
  <c r="O4" i="24"/>
  <c r="O21" i="24" s="1"/>
  <c r="O5" i="24"/>
  <c r="O11" i="24"/>
  <c r="B6" i="12"/>
  <c r="B6" i="21"/>
  <c r="L12" i="4"/>
  <c r="M12" i="4" s="1"/>
  <c r="B6" i="14"/>
  <c r="B6" i="20"/>
  <c r="B6" i="17"/>
  <c r="B6" i="9"/>
  <c r="B6" i="7"/>
  <c r="O17" i="24"/>
  <c r="O15" i="24"/>
  <c r="O7" i="24"/>
  <c r="K20" i="4"/>
  <c r="M20" i="4" s="1"/>
  <c r="F25" i="4"/>
  <c r="L23" i="4"/>
  <c r="M23" i="4" s="1"/>
  <c r="K9" i="4"/>
  <c r="K8" i="4"/>
  <c r="M8" i="4" s="1"/>
  <c r="H25" i="4"/>
  <c r="J7" i="4"/>
  <c r="L7" i="4" s="1"/>
  <c r="K19" i="4"/>
  <c r="M19" i="4" s="1"/>
  <c r="K22" i="4"/>
  <c r="K15" i="4"/>
  <c r="M15" i="4" s="1"/>
  <c r="K18" i="4"/>
  <c r="K11" i="4"/>
  <c r="M11" i="4" s="1"/>
  <c r="K14" i="4"/>
  <c r="L22" i="4"/>
  <c r="L13" i="4"/>
  <c r="K21" i="4"/>
  <c r="M21" i="4" s="1"/>
  <c r="L18" i="4"/>
  <c r="L9" i="4"/>
  <c r="K17" i="4"/>
  <c r="M17" i="4" s="1"/>
  <c r="L14" i="4"/>
  <c r="K24" i="4"/>
  <c r="M24" i="4" s="1"/>
  <c r="K13" i="4"/>
  <c r="L10" i="4"/>
  <c r="M10" i="4" s="1"/>
  <c r="I25" i="4"/>
  <c r="M16" i="4" l="1"/>
  <c r="M13" i="4"/>
  <c r="C6" i="21"/>
  <c r="C6" i="6"/>
  <c r="K7" i="4"/>
  <c r="M7" i="4" s="1"/>
  <c r="C6" i="7"/>
  <c r="C6" i="17"/>
  <c r="C6" i="14"/>
  <c r="C6" i="15"/>
  <c r="C6" i="2"/>
  <c r="C6" i="10"/>
  <c r="C6" i="5"/>
  <c r="C6" i="12"/>
  <c r="C6" i="16"/>
  <c r="C6" i="11"/>
  <c r="C6" i="13"/>
  <c r="C6" i="9"/>
  <c r="C6" i="20"/>
  <c r="C6" i="18"/>
  <c r="C6" i="19"/>
  <c r="M14" i="4"/>
  <c r="M18" i="4"/>
  <c r="M22" i="4"/>
  <c r="J25" i="4"/>
  <c r="M9" i="4"/>
  <c r="C28" i="26"/>
  <c r="C27" i="26"/>
  <c r="C26" i="26"/>
  <c r="C25" i="26"/>
  <c r="C34" i="26"/>
  <c r="C31" i="26"/>
  <c r="C24" i="26"/>
  <c r="C23" i="26"/>
  <c r="C30" i="26"/>
  <c r="C29" i="26"/>
  <c r="C48" i="26"/>
  <c r="C47" i="26" s="1"/>
  <c r="F6" i="17" l="1"/>
  <c r="F6" i="18"/>
  <c r="F6" i="11"/>
  <c r="F6" i="12"/>
  <c r="F6" i="14"/>
  <c r="F6" i="10"/>
  <c r="F6" i="15"/>
  <c r="F6" i="9"/>
  <c r="F6" i="5"/>
  <c r="F6" i="2"/>
  <c r="E40" i="7"/>
  <c r="F6" i="19"/>
  <c r="F6" i="20"/>
  <c r="F6" i="13"/>
  <c r="F6" i="16"/>
  <c r="F6" i="8"/>
  <c r="E40" i="8"/>
  <c r="F6" i="21"/>
  <c r="F47" i="26"/>
  <c r="E47" i="26"/>
  <c r="I47" i="26"/>
  <c r="H47" i="26"/>
  <c r="G47" i="26"/>
  <c r="J49" i="26"/>
  <c r="G30" i="26"/>
  <c r="H30" i="26"/>
  <c r="F30" i="26"/>
  <c r="E30" i="26"/>
  <c r="I30" i="26"/>
  <c r="G28" i="26"/>
  <c r="I28" i="26"/>
  <c r="H28" i="26"/>
  <c r="F28" i="26"/>
  <c r="E28" i="26"/>
  <c r="C69" i="26"/>
  <c r="H48" i="26"/>
  <c r="H69" i="26" s="1"/>
  <c r="E48" i="26"/>
  <c r="E69" i="26" s="1"/>
  <c r="I48" i="26"/>
  <c r="I69" i="26" s="1"/>
  <c r="G48" i="26"/>
  <c r="G69" i="26" s="1"/>
  <c r="F48" i="26"/>
  <c r="F69" i="26" s="1"/>
  <c r="I23" i="26"/>
  <c r="E23" i="26"/>
  <c r="G23" i="26"/>
  <c r="F23" i="26"/>
  <c r="I25" i="26"/>
  <c r="E25" i="26"/>
  <c r="F25" i="26"/>
  <c r="H25" i="26" s="1"/>
  <c r="G25" i="26"/>
  <c r="I29" i="26"/>
  <c r="E29" i="26"/>
  <c r="H29" i="26"/>
  <c r="G29" i="26"/>
  <c r="F29" i="26"/>
  <c r="G24" i="26"/>
  <c r="F24" i="26"/>
  <c r="E24" i="26"/>
  <c r="I24" i="26"/>
  <c r="H24" i="26"/>
  <c r="G26" i="26"/>
  <c r="E26" i="26"/>
  <c r="I26" i="26"/>
  <c r="H26" i="26"/>
  <c r="F26" i="26"/>
  <c r="C22" i="26"/>
  <c r="I31" i="26"/>
  <c r="E31" i="26"/>
  <c r="G31" i="26"/>
  <c r="F31" i="26"/>
  <c r="H31" i="26"/>
  <c r="I27" i="26"/>
  <c r="E27" i="26"/>
  <c r="H27" i="26"/>
  <c r="G27" i="26"/>
  <c r="F27" i="26"/>
  <c r="F6" i="7" l="1"/>
  <c r="F6" i="6"/>
  <c r="E40" i="6"/>
  <c r="F49" i="26"/>
  <c r="H49" i="26"/>
  <c r="H23" i="26"/>
  <c r="I49" i="26"/>
  <c r="J32" i="26"/>
  <c r="G22" i="26"/>
  <c r="G32" i="26" s="1"/>
  <c r="G34" i="26" s="1"/>
  <c r="H22" i="26"/>
  <c r="F22" i="26"/>
  <c r="F32" i="26" s="1"/>
  <c r="E22" i="26"/>
  <c r="E32" i="26" s="1"/>
  <c r="E34" i="26" s="1"/>
  <c r="I22" i="26"/>
  <c r="I32" i="26" s="1"/>
  <c r="I34" i="26" s="1"/>
  <c r="G49" i="26"/>
  <c r="E49" i="26"/>
  <c r="F50" i="26" l="1"/>
  <c r="H32" i="26"/>
  <c r="H33" i="26" s="1"/>
  <c r="F33" i="26" s="1"/>
  <c r="F34" i="26" s="1"/>
  <c r="F35" i="26" s="1"/>
  <c r="H34" i="26" l="1"/>
  <c r="C35" i="9" l="1"/>
  <c r="C35" i="10"/>
  <c r="C35" i="12"/>
  <c r="C35" i="15"/>
  <c r="C35" i="13"/>
  <c r="C35" i="14"/>
  <c r="C35" i="18"/>
  <c r="C35" i="20"/>
  <c r="C35" i="16"/>
  <c r="C35" i="17"/>
  <c r="C35" i="11"/>
  <c r="C35" i="21"/>
  <c r="C35" i="5"/>
  <c r="C35" i="19"/>
  <c r="C35" i="2"/>
  <c r="F35" i="21" l="1"/>
  <c r="F35" i="20"/>
  <c r="F35" i="19"/>
  <c r="F35" i="18"/>
  <c r="F35" i="17"/>
  <c r="F35" i="16"/>
  <c r="F35" i="15"/>
  <c r="F35" i="14"/>
  <c r="F35" i="13"/>
  <c r="F35" i="12"/>
  <c r="F35" i="11"/>
  <c r="F35" i="10"/>
  <c r="F35" i="9"/>
  <c r="F35" i="5"/>
  <c r="F35" i="2"/>
  <c r="C31" i="15" l="1"/>
  <c r="C31" i="11"/>
  <c r="C31" i="9"/>
  <c r="C31" i="19"/>
  <c r="C31" i="20"/>
  <c r="C31" i="16"/>
  <c r="C31" i="5"/>
  <c r="C31" i="21"/>
  <c r="C31" i="14"/>
  <c r="C31" i="12"/>
  <c r="C31" i="10"/>
  <c r="C31" i="17"/>
  <c r="C31" i="18"/>
  <c r="C31" i="13"/>
  <c r="C31" i="2"/>
  <c r="E40" i="20" l="1"/>
  <c r="E40" i="17"/>
  <c r="E40" i="16"/>
  <c r="E40" i="15"/>
  <c r="E40" i="14"/>
  <c r="E40" i="13"/>
  <c r="E40" i="5"/>
  <c r="E40" i="2"/>
  <c r="F31" i="14" l="1"/>
  <c r="F31" i="16"/>
  <c r="F31" i="21"/>
  <c r="E40" i="21"/>
  <c r="F31" i="20"/>
  <c r="F31" i="19"/>
  <c r="E40" i="19"/>
  <c r="F31" i="18"/>
  <c r="E40" i="18"/>
  <c r="F31" i="17"/>
  <c r="F31" i="15"/>
  <c r="F31" i="13"/>
  <c r="F31" i="12"/>
  <c r="E40" i="12"/>
  <c r="F31" i="11"/>
  <c r="E40" i="11"/>
  <c r="F31" i="10"/>
  <c r="E40" i="10"/>
  <c r="F31" i="9"/>
  <c r="E40" i="9"/>
  <c r="F31" i="5"/>
  <c r="F31" i="2"/>
  <c r="U31" i="31" l="1"/>
  <c r="B31" i="23"/>
  <c r="B35" i="23"/>
  <c r="C35" i="23" s="1"/>
  <c r="U35" i="31"/>
  <c r="F35" i="23" l="1"/>
  <c r="B40" i="23"/>
  <c r="C31" i="23"/>
  <c r="C41" i="26"/>
  <c r="C40" i="26" s="1"/>
  <c r="C56" i="26"/>
  <c r="C55" i="26" s="1"/>
  <c r="I40" i="26" l="1"/>
  <c r="G40" i="26"/>
  <c r="H40" i="26"/>
  <c r="E40" i="26"/>
  <c r="F40" i="26"/>
  <c r="J41" i="26"/>
  <c r="C40" i="23"/>
  <c r="E40" i="23"/>
  <c r="F55" i="26"/>
  <c r="F56" i="26" s="1"/>
  <c r="E55" i="26"/>
  <c r="E56" i="26" s="1"/>
  <c r="H55" i="26"/>
  <c r="H56" i="26" s="1"/>
  <c r="G55" i="26"/>
  <c r="G56" i="26" s="1"/>
  <c r="J56" i="26"/>
  <c r="I55" i="26"/>
  <c r="I56" i="26" s="1"/>
  <c r="F57" i="26" l="1"/>
  <c r="H41" i="26"/>
  <c r="F31" i="23"/>
  <c r="F40" i="23" s="1"/>
  <c r="G41" i="26"/>
  <c r="F41" i="26"/>
  <c r="E41" i="26"/>
  <c r="I41" i="26"/>
  <c r="F42" i="26" l="1"/>
  <c r="J40" i="31" l="1"/>
  <c r="B14" i="11"/>
  <c r="C14" i="11" l="1"/>
  <c r="B40" i="11"/>
  <c r="F14" i="11" l="1"/>
  <c r="F40" i="11" s="1"/>
  <c r="C40" i="11"/>
  <c r="B14" i="13" l="1"/>
  <c r="L40" i="31"/>
  <c r="E40" i="31" l="1"/>
  <c r="B14" i="7"/>
  <c r="T40" i="31"/>
  <c r="B14" i="21"/>
  <c r="B14" i="17"/>
  <c r="P40" i="31"/>
  <c r="O40" i="31"/>
  <c r="B14" i="16"/>
  <c r="M40" i="31"/>
  <c r="B14" i="14"/>
  <c r="C40" i="31"/>
  <c r="B14" i="5"/>
  <c r="K40" i="31"/>
  <c r="B14" i="12"/>
  <c r="I40" i="31"/>
  <c r="B14" i="10"/>
  <c r="F40" i="31"/>
  <c r="B14" i="8"/>
  <c r="Q40" i="31"/>
  <c r="B14" i="18"/>
  <c r="B14" i="9"/>
  <c r="G40" i="31"/>
  <c r="B14" i="6"/>
  <c r="D40" i="31"/>
  <c r="S40" i="31"/>
  <c r="B14" i="20"/>
  <c r="B14" i="2"/>
  <c r="B40" i="31"/>
  <c r="B14" i="19"/>
  <c r="R40" i="31"/>
  <c r="N40" i="31"/>
  <c r="B14" i="15"/>
  <c r="C14" i="13"/>
  <c r="B40" i="13"/>
  <c r="C14" i="20" l="1"/>
  <c r="B40" i="20"/>
  <c r="C14" i="18"/>
  <c r="B40" i="18"/>
  <c r="C14" i="16"/>
  <c r="B40" i="16"/>
  <c r="F14" i="13"/>
  <c r="F40" i="13" s="1"/>
  <c r="C40" i="13"/>
  <c r="C14" i="8"/>
  <c r="B40" i="8"/>
  <c r="B40" i="10"/>
  <c r="C14" i="10"/>
  <c r="C14" i="17"/>
  <c r="B40" i="17"/>
  <c r="C14" i="7"/>
  <c r="B40" i="7"/>
  <c r="B40" i="15"/>
  <c r="C14" i="15"/>
  <c r="C14" i="6"/>
  <c r="B40" i="6"/>
  <c r="C14" i="9"/>
  <c r="B40" i="9"/>
  <c r="B40" i="5"/>
  <c r="C14" i="5"/>
  <c r="C14" i="14"/>
  <c r="B40" i="14"/>
  <c r="C14" i="21"/>
  <c r="B40" i="21"/>
  <c r="C14" i="19"/>
  <c r="B40" i="19"/>
  <c r="C14" i="2"/>
  <c r="B40" i="2"/>
  <c r="B40" i="12"/>
  <c r="C14" i="12"/>
  <c r="C40" i="9" l="1"/>
  <c r="F14" i="9"/>
  <c r="F40" i="9" s="1"/>
  <c r="F14" i="17"/>
  <c r="F40" i="17" s="1"/>
  <c r="C40" i="17"/>
  <c r="C40" i="19"/>
  <c r="F14" i="19"/>
  <c r="F40" i="19" s="1"/>
  <c r="C40" i="21"/>
  <c r="F14" i="21"/>
  <c r="F40" i="21" s="1"/>
  <c r="C40" i="18"/>
  <c r="F14" i="18"/>
  <c r="F40" i="18" s="1"/>
  <c r="F14" i="12"/>
  <c r="F40" i="12" s="1"/>
  <c r="C40" i="12"/>
  <c r="C40" i="14"/>
  <c r="F14" i="14"/>
  <c r="F40" i="14" s="1"/>
  <c r="C40" i="6"/>
  <c r="F14" i="6"/>
  <c r="F40" i="6" s="1"/>
  <c r="C40" i="7"/>
  <c r="F14" i="7"/>
  <c r="F40" i="7" s="1"/>
  <c r="C40" i="8"/>
  <c r="F14" i="8"/>
  <c r="F40" i="8" s="1"/>
  <c r="F14" i="20"/>
  <c r="F40" i="20" s="1"/>
  <c r="C40" i="20"/>
  <c r="C40" i="2"/>
  <c r="F14" i="2"/>
  <c r="F40" i="2" s="1"/>
  <c r="C40" i="5"/>
  <c r="F14" i="5"/>
  <c r="F40" i="5" s="1"/>
  <c r="C40" i="15"/>
  <c r="F14" i="15"/>
  <c r="F40" i="15" s="1"/>
  <c r="F14" i="10"/>
  <c r="F40" i="10" s="1"/>
  <c r="C40" i="10"/>
  <c r="F14" i="16"/>
  <c r="F40" i="16" s="1"/>
  <c r="C40" i="16"/>
  <c r="U6" i="31" l="1"/>
  <c r="U17" i="31" l="1"/>
  <c r="U26" i="31" l="1"/>
  <c r="U27" i="31"/>
  <c r="U24" i="31" l="1"/>
  <c r="U14" i="31"/>
  <c r="U20" i="31" l="1"/>
  <c r="U23" i="31"/>
  <c r="U21" i="31" l="1"/>
  <c r="C14" i="26" l="1"/>
  <c r="C8" i="26" s="1"/>
  <c r="C66" i="26" s="1"/>
  <c r="U40" i="31"/>
  <c r="C78" i="26" s="1"/>
  <c r="F8" i="26" l="1"/>
  <c r="F66" i="26" s="1"/>
  <c r="C10" i="26"/>
  <c r="E10" i="26" s="1"/>
  <c r="E68" i="26" s="1"/>
  <c r="G8" i="26"/>
  <c r="G66" i="26" s="1"/>
  <c r="C11" i="26"/>
  <c r="F11" i="26" s="1"/>
  <c r="F70" i="26" s="1"/>
  <c r="C13" i="26"/>
  <c r="I13" i="26" s="1"/>
  <c r="I72" i="26" s="1"/>
  <c r="I8" i="26"/>
  <c r="I66" i="26" s="1"/>
  <c r="C9" i="26"/>
  <c r="F9" i="26" s="1"/>
  <c r="F67" i="26" s="1"/>
  <c r="C16" i="26"/>
  <c r="E8" i="26"/>
  <c r="E66" i="26" s="1"/>
  <c r="C6" i="26"/>
  <c r="G6" i="26" s="1"/>
  <c r="G64" i="26" s="1"/>
  <c r="C5" i="26"/>
  <c r="C63" i="26" s="1"/>
  <c r="H8" i="26"/>
  <c r="H66" i="26" s="1"/>
  <c r="C7" i="26"/>
  <c r="G7" i="26" s="1"/>
  <c r="G65" i="26" s="1"/>
  <c r="C12" i="26"/>
  <c r="I12" i="26" s="1"/>
  <c r="I71" i="26" s="1"/>
  <c r="H11" i="26"/>
  <c r="H70" i="26" s="1"/>
  <c r="I11" i="26"/>
  <c r="I70" i="26" s="1"/>
  <c r="F5" i="26"/>
  <c r="F63" i="26" s="1"/>
  <c r="G5" i="26"/>
  <c r="G63" i="26" s="1"/>
  <c r="I7" i="26"/>
  <c r="I65" i="26" s="1"/>
  <c r="G9" i="26"/>
  <c r="G67" i="26" s="1"/>
  <c r="I10" i="26"/>
  <c r="I68" i="26" s="1"/>
  <c r="E9" i="26"/>
  <c r="E67" i="26" s="1"/>
  <c r="F7" i="26"/>
  <c r="F65" i="26" s="1"/>
  <c r="H9" i="26"/>
  <c r="H67" i="26" s="1"/>
  <c r="E7" i="26"/>
  <c r="E65" i="26" s="1"/>
  <c r="C67" i="26"/>
  <c r="G13" i="26"/>
  <c r="G72" i="26" s="1"/>
  <c r="I9" i="26"/>
  <c r="I67" i="26" s="1"/>
  <c r="G11" i="26"/>
  <c r="G70" i="26" s="1"/>
  <c r="E11" i="26"/>
  <c r="E70" i="26" s="1"/>
  <c r="C64" i="26"/>
  <c r="I5" i="26"/>
  <c r="I63" i="26" s="1"/>
  <c r="E5" i="26"/>
  <c r="E63" i="26" s="1"/>
  <c r="G12" i="26" l="1"/>
  <c r="G71" i="26" s="1"/>
  <c r="F12" i="26"/>
  <c r="F71" i="26" s="1"/>
  <c r="C68" i="26"/>
  <c r="C4" i="26"/>
  <c r="G4" i="26" s="1"/>
  <c r="G62" i="26" s="1"/>
  <c r="F10" i="26"/>
  <c r="F68" i="26" s="1"/>
  <c r="E6" i="26"/>
  <c r="E64" i="26" s="1"/>
  <c r="E13" i="26"/>
  <c r="E72" i="26" s="1"/>
  <c r="H12" i="26"/>
  <c r="H71" i="26" s="1"/>
  <c r="G10" i="26"/>
  <c r="G68" i="26" s="1"/>
  <c r="I6" i="26"/>
  <c r="I64" i="26" s="1"/>
  <c r="F6" i="26"/>
  <c r="F64" i="26" s="1"/>
  <c r="H6" i="26"/>
  <c r="H64" i="26" s="1"/>
  <c r="H13" i="26"/>
  <c r="H72" i="26" s="1"/>
  <c r="C65" i="26"/>
  <c r="C72" i="26"/>
  <c r="C70" i="26"/>
  <c r="E12" i="26"/>
  <c r="E71" i="26" s="1"/>
  <c r="H10" i="26"/>
  <c r="H68" i="26" s="1"/>
  <c r="F13" i="26"/>
  <c r="F72" i="26" s="1"/>
  <c r="C71" i="26"/>
  <c r="H7" i="26"/>
  <c r="H65" i="26" s="1"/>
  <c r="G73" i="26"/>
  <c r="G75" i="26" s="1"/>
  <c r="G78" i="26" s="1"/>
  <c r="H5" i="26"/>
  <c r="H63" i="26" s="1"/>
  <c r="G14" i="26"/>
  <c r="G16" i="26" s="1"/>
  <c r="I4" i="26"/>
  <c r="I14" i="26" s="1"/>
  <c r="I16" i="26" s="1"/>
  <c r="E4" i="26"/>
  <c r="E14" i="26" s="1"/>
  <c r="E16" i="26" s="1"/>
  <c r="F4" i="26"/>
  <c r="F62" i="26" s="1"/>
  <c r="F73" i="26" s="1"/>
  <c r="H4" i="26"/>
  <c r="H62" i="26" s="1"/>
  <c r="J14" i="26"/>
  <c r="C62" i="26" l="1"/>
  <c r="C73" i="26" s="1"/>
  <c r="C75" i="26" s="1"/>
  <c r="H73" i="26"/>
  <c r="H14" i="26"/>
  <c r="H15" i="26" s="1"/>
  <c r="H16" i="26" s="1"/>
  <c r="I62" i="26"/>
  <c r="I73" i="26" s="1"/>
  <c r="I75" i="26" s="1"/>
  <c r="I78" i="26" s="1"/>
  <c r="E62" i="26"/>
  <c r="E73" i="26" s="1"/>
  <c r="E75" i="26" s="1"/>
  <c r="E78" i="26" s="1"/>
  <c r="F14" i="26"/>
  <c r="F15" i="26" l="1"/>
  <c r="F74" i="26" s="1"/>
  <c r="F75" i="26" s="1"/>
  <c r="H74" i="26"/>
  <c r="H75" i="26" s="1"/>
  <c r="H78" i="26" s="1"/>
  <c r="J73" i="26"/>
  <c r="F16" i="26"/>
  <c r="F17" i="26" s="1"/>
  <c r="F78" i="26" l="1"/>
  <c r="F76" i="26"/>
</calcChain>
</file>

<file path=xl/sharedStrings.xml><?xml version="1.0" encoding="utf-8"?>
<sst xmlns="http://schemas.openxmlformats.org/spreadsheetml/2006/main" count="1147" uniqueCount="137">
  <si>
    <t>Quality Assurance</t>
  </si>
  <si>
    <t>Travel</t>
  </si>
  <si>
    <t>Production and Operations</t>
  </si>
  <si>
    <t>Hardware Maintenance</t>
  </si>
  <si>
    <t>Vendor-provided</t>
  </si>
  <si>
    <t>County-provided</t>
  </si>
  <si>
    <t>Software Maintenance</t>
  </si>
  <si>
    <t>Network</t>
  </si>
  <si>
    <t>Wide Area Network</t>
  </si>
  <si>
    <t>County</t>
  </si>
  <si>
    <t>Total</t>
  </si>
  <si>
    <t>Share</t>
  </si>
  <si>
    <t>Consortium/County Personnel</t>
  </si>
  <si>
    <t>Consortium Project Team</t>
  </si>
  <si>
    <t>County Support Staff</t>
  </si>
  <si>
    <t>Consortium Management</t>
  </si>
  <si>
    <t>Contractor Services</t>
  </si>
  <si>
    <t>Application Maintenance</t>
  </si>
  <si>
    <t>Local Area Network</t>
  </si>
  <si>
    <t>Total Costs</t>
  </si>
  <si>
    <t>Print Costs</t>
  </si>
  <si>
    <t>Legal Counsel</t>
  </si>
  <si>
    <t>GA/GR</t>
  </si>
  <si>
    <t xml:space="preserve">CalHEERS M&amp;O </t>
  </si>
  <si>
    <t>CalHEERS CSCN Expansion</t>
  </si>
  <si>
    <t>FM&amp;O</t>
  </si>
  <si>
    <t>Recurring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</si>
  <si>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</si>
  <si>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</si>
  <si>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</si>
  <si>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</si>
  <si>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</si>
  <si>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</si>
  <si>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</si>
  <si>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</si>
  <si>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</si>
  <si>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</si>
  <si>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</si>
  <si>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</si>
  <si>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GA/GR%</t>
  </si>
  <si>
    <t>Non GA/GR</t>
  </si>
  <si>
    <t xml:space="preserve">County </t>
  </si>
  <si>
    <t>County Non</t>
  </si>
  <si>
    <t>CL%</t>
  </si>
  <si>
    <t>L/M/S %</t>
  </si>
  <si>
    <t>Formula</t>
  </si>
  <si>
    <t>CL% * 99.42%</t>
  </si>
  <si>
    <t>CL% * .58%</t>
  </si>
  <si>
    <t>Adj CL %</t>
  </si>
  <si>
    <t>GA/GR %</t>
  </si>
  <si>
    <t xml:space="preserve">  Alameda </t>
  </si>
  <si>
    <t xml:space="preserve">  Contra Costa </t>
  </si>
  <si>
    <t xml:space="preserve">  Fresno </t>
  </si>
  <si>
    <t xml:space="preserve">  Orange </t>
  </si>
  <si>
    <t xml:space="preserve">  Placer </t>
  </si>
  <si>
    <t xml:space="preserve">  Sacramento </t>
  </si>
  <si>
    <t xml:space="preserve">  San Diego </t>
  </si>
  <si>
    <t xml:space="preserve">  San Francisco </t>
  </si>
  <si>
    <t xml:space="preserve">  San Luis Obispo </t>
  </si>
  <si>
    <t xml:space="preserve">  San Mateo </t>
  </si>
  <si>
    <t xml:space="preserve">  Santa Barbara </t>
  </si>
  <si>
    <t xml:space="preserve">  Santa Clara </t>
  </si>
  <si>
    <t xml:space="preserve">  Santa Cruz </t>
  </si>
  <si>
    <t xml:space="preserve">  Solano </t>
  </si>
  <si>
    <t xml:space="preserve">  Sonoma </t>
  </si>
  <si>
    <t xml:space="preserve">  Tulare </t>
  </si>
  <si>
    <t xml:space="preserve">  Ventura </t>
  </si>
  <si>
    <t xml:space="preserve">  Yolo </t>
  </si>
  <si>
    <t>CalFresh</t>
  </si>
  <si>
    <t>Active</t>
  </si>
  <si>
    <t>Actual</t>
  </si>
  <si>
    <t>Percent</t>
  </si>
  <si>
    <t>PLA</t>
  </si>
  <si>
    <t>SAC</t>
  </si>
  <si>
    <t>YOL</t>
  </si>
  <si>
    <t>SCZ</t>
  </si>
  <si>
    <t>SCL</t>
  </si>
  <si>
    <t>SOL</t>
  </si>
  <si>
    <t>CCS</t>
  </si>
  <si>
    <t>SON</t>
  </si>
  <si>
    <t>SMT</t>
  </si>
  <si>
    <t>SFO</t>
  </si>
  <si>
    <t>ALA</t>
  </si>
  <si>
    <t>TUL</t>
  </si>
  <si>
    <t>ORG</t>
  </si>
  <si>
    <t>SBR</t>
  </si>
  <si>
    <t>VEN</t>
  </si>
  <si>
    <t>SLO</t>
  </si>
  <si>
    <t>SDG</t>
  </si>
  <si>
    <t>FRS</t>
  </si>
  <si>
    <t>Program</t>
  </si>
  <si>
    <t>Ratios</t>
  </si>
  <si>
    <t>Federal</t>
  </si>
  <si>
    <t>Welfare</t>
  </si>
  <si>
    <t>Health</t>
  </si>
  <si>
    <t>Costs</t>
  </si>
  <si>
    <t>F/SW/SH/C</t>
  </si>
  <si>
    <t>Medi-Cal</t>
  </si>
  <si>
    <t>General Fund = State Welfare + State Health</t>
  </si>
  <si>
    <t>CalWORKs</t>
  </si>
  <si>
    <t>CFAP</t>
  </si>
  <si>
    <t>Foster Care</t>
  </si>
  <si>
    <t>Sub-Total</t>
  </si>
  <si>
    <t>County Share Shift</t>
  </si>
  <si>
    <t>Covered CA</t>
  </si>
  <si>
    <t>F/SW/SH/C/CC</t>
  </si>
  <si>
    <t>100/0/0/0/0</t>
  </si>
  <si>
    <t>50/35/0/15/0</t>
  </si>
  <si>
    <t>0/100/0/0/0</t>
  </si>
  <si>
    <t>0/70/0/30/0</t>
  </si>
  <si>
    <t>KinGAP</t>
  </si>
  <si>
    <t>CAPI</t>
  </si>
  <si>
    <t>50/0/50/0/0</t>
  </si>
  <si>
    <t>CMSP</t>
  </si>
  <si>
    <t>0/0/100/0/0</t>
  </si>
  <si>
    <t>Refugee</t>
  </si>
  <si>
    <t>0/0/0/100/0</t>
  </si>
  <si>
    <t xml:space="preserve">QA County Share Shift </t>
  </si>
  <si>
    <t>75/0/25/0/0</t>
  </si>
  <si>
    <t>0/0/0/0/100</t>
  </si>
  <si>
    <t xml:space="preserve"> CalHEERS M&amp;O (Non-Application Maintenance)</t>
  </si>
  <si>
    <t xml:space="preserve"> CalHEERS M&amp;O (Application Maintenance)</t>
  </si>
  <si>
    <t xml:space="preserve"> Grand Total </t>
  </si>
  <si>
    <t xml:space="preserve"> CalWIN Maintenance and Operations</t>
  </si>
  <si>
    <t xml:space="preserve">  CalWIN Maintenance and Operations QA</t>
  </si>
  <si>
    <t>CCC</t>
  </si>
  <si>
    <t>SBO</t>
  </si>
  <si>
    <t>Total Allocated</t>
  </si>
  <si>
    <t>Variance</t>
  </si>
  <si>
    <t>SFY 2019/20</t>
  </si>
  <si>
    <t>Maintenance &amp; Operations</t>
  </si>
  <si>
    <t>County-provided (SWCP)</t>
  </si>
  <si>
    <t>County-provided (HWCP)</t>
  </si>
  <si>
    <t>Print Costs (PC)</t>
  </si>
  <si>
    <t>Local Area Network (LAN)</t>
  </si>
  <si>
    <t>CalWIN M&amp;O COUNTY ALLOCATIONS SFY 2019/20 (v4)</t>
  </si>
  <si>
    <t>Total Allocated (v3)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</si>
</sst>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[$-409]mmm\-yy;@"/>
    <numFmt numFmtId="167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2"/>
      <color indexed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41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2" borderId="0" applyFont="0" applyFill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8"/>
    <xf numFmtId="164" fontId="3" fillId="0" borderId="0" xfId="8" applyNumberFormat="1"/>
    <xf numFmtId="10" fontId="3" fillId="0" borderId="0" xfId="8" applyNumberFormat="1"/>
    <xf numFmtId="0" fontId="3" fillId="0" borderId="0" xfId="8" applyAlignment="1">
      <alignment horizontal="center"/>
    </xf>
    <xf numFmtId="0" fontId="3" fillId="0" borderId="10" xfId="8" applyBorder="1"/>
    <xf numFmtId="0" fontId="3" fillId="0" borderId="10" xfId="8" applyBorder="1" applyAlignment="1">
      <alignment horizontal="center"/>
    </xf>
    <xf numFmtId="0" fontId="3" fillId="0" borderId="11" xfId="8" applyBorder="1" applyAlignment="1">
      <alignment horizontal="center"/>
    </xf>
    <xf numFmtId="10" fontId="3" fillId="0" borderId="11" xfId="8" applyNumberFormat="1" applyBorder="1" applyAlignment="1">
      <alignment horizontal="center"/>
    </xf>
    <xf numFmtId="10" fontId="3" fillId="0" borderId="0" xfId="8" applyNumberFormat="1" applyAlignment="1">
      <alignment horizontal="center"/>
    </xf>
    <xf numFmtId="0" fontId="3" fillId="0" borderId="12" xfId="8" applyBorder="1"/>
    <xf numFmtId="10" fontId="3" fillId="0" borderId="13" xfId="8" applyNumberFormat="1" applyBorder="1"/>
    <xf numFmtId="10" fontId="3" fillId="0" borderId="10" xfId="9" applyNumberFormat="1" applyBorder="1"/>
    <xf numFmtId="10" fontId="3" fillId="0" borderId="12" xfId="9" applyNumberFormat="1" applyBorder="1"/>
    <xf numFmtId="10" fontId="3" fillId="0" borderId="10" xfId="10" applyNumberFormat="1" applyBorder="1"/>
    <xf numFmtId="10" fontId="3" fillId="0" borderId="12" xfId="8" applyNumberFormat="1" applyBorder="1"/>
    <xf numFmtId="10" fontId="3" fillId="0" borderId="12" xfId="10" applyNumberFormat="1" applyBorder="1"/>
    <xf numFmtId="0" fontId="3" fillId="0" borderId="11" xfId="8" applyBorder="1"/>
    <xf numFmtId="10" fontId="3" fillId="0" borderId="11" xfId="9" applyNumberFormat="1" applyBorder="1"/>
    <xf numFmtId="10" fontId="5" fillId="0" borderId="0" xfId="8" applyNumberFormat="1" applyFont="1"/>
    <xf numFmtId="2" fontId="3" fillId="0" borderId="0" xfId="8" applyNumberFormat="1"/>
    <xf numFmtId="10" fontId="0" fillId="0" borderId="0" xfId="11" applyNumberFormat="1" applyFont="1"/>
    <xf numFmtId="0" fontId="6" fillId="0" borderId="0" xfId="12" applyFont="1" applyAlignment="1">
      <alignment horizontal="left"/>
    </xf>
    <xf numFmtId="0" fontId="3" fillId="0" borderId="0" xfId="12"/>
    <xf numFmtId="49" fontId="8" fillId="4" borderId="0" xfId="12" applyNumberFormat="1" applyFont="1" applyFill="1" applyAlignment="1">
      <alignment horizontal="center"/>
    </xf>
    <xf numFmtId="165" fontId="8" fillId="4" borderId="0" xfId="12" applyNumberFormat="1" applyFont="1" applyFill="1" applyAlignment="1">
      <alignment horizontal="right"/>
    </xf>
    <xf numFmtId="165" fontId="9" fillId="4" borderId="15" xfId="12" applyNumberFormat="1" applyFont="1" applyFill="1" applyBorder="1" applyAlignment="1">
      <alignment horizontal="center"/>
    </xf>
    <xf numFmtId="10" fontId="9" fillId="4" borderId="15" xfId="4" applyNumberFormat="1" applyFont="1" applyFill="1" applyBorder="1" applyAlignment="1">
      <alignment horizontal="center"/>
    </xf>
    <xf numFmtId="49" fontId="3" fillId="0" borderId="0" xfId="12" applyNumberFormat="1" applyAlignment="1">
      <alignment horizontal="center"/>
    </xf>
    <xf numFmtId="49" fontId="3" fillId="0" borderId="0" xfId="12" applyNumberFormat="1"/>
    <xf numFmtId="0" fontId="3" fillId="0" borderId="0" xfId="12" applyAlignment="1">
      <alignment horizontal="center"/>
    </xf>
    <xf numFmtId="3" fontId="3" fillId="0" borderId="0" xfId="12" applyNumberFormat="1" applyAlignment="1">
      <alignment horizontal="right"/>
    </xf>
    <xf numFmtId="4" fontId="2" fillId="0" borderId="15" xfId="12" applyNumberFormat="1" applyFont="1" applyBorder="1" applyAlignment="1">
      <alignment horizontal="right"/>
    </xf>
    <xf numFmtId="10" fontId="2" fillId="0" borderId="15" xfId="4" applyNumberFormat="1" applyFont="1" applyBorder="1" applyAlignment="1">
      <alignment horizontal="right"/>
    </xf>
    <xf numFmtId="6" fontId="3" fillId="0" borderId="0" xfId="12" applyNumberFormat="1"/>
    <xf numFmtId="0" fontId="1" fillId="0" borderId="0" xfId="13"/>
    <xf numFmtId="0" fontId="3" fillId="5" borderId="0" xfId="12" applyFill="1" applyAlignment="1">
      <alignment horizontal="center"/>
    </xf>
    <xf numFmtId="3" fontId="3" fillId="6" borderId="0" xfId="12" applyNumberFormat="1" applyFill="1" applyAlignment="1">
      <alignment horizontal="right"/>
    </xf>
    <xf numFmtId="4" fontId="2" fillId="5" borderId="15" xfId="12" applyNumberFormat="1" applyFont="1" applyFill="1" applyBorder="1" applyAlignment="1">
      <alignment horizontal="right"/>
    </xf>
    <xf numFmtId="10" fontId="2" fillId="5" borderId="15" xfId="4" applyNumberFormat="1" applyFont="1" applyFill="1" applyBorder="1" applyAlignment="1">
      <alignment horizontal="right"/>
    </xf>
    <xf numFmtId="3" fontId="3" fillId="0" borderId="0" xfId="12" applyNumberFormat="1"/>
    <xf numFmtId="6" fontId="2" fillId="0" borderId="0" xfId="12" applyNumberFormat="1" applyFont="1"/>
    <xf numFmtId="0" fontId="3" fillId="0" borderId="0" xfId="12" applyAlignment="1">
      <alignment horizontal="left"/>
    </xf>
    <xf numFmtId="9" fontId="0" fillId="0" borderId="0" xfId="14" applyFont="1"/>
    <xf numFmtId="8" fontId="3" fillId="0" borderId="0" xfId="12" applyNumberFormat="1"/>
    <xf numFmtId="0" fontId="3" fillId="3" borderId="0" xfId="8" applyFill="1"/>
    <xf numFmtId="0" fontId="7" fillId="7" borderId="0" xfId="8" applyFont="1" applyFill="1"/>
    <xf numFmtId="0" fontId="6" fillId="0" borderId="17" xfId="8" applyFont="1" applyBorder="1" applyAlignment="1">
      <alignment horizontal="centerContinuous"/>
    </xf>
    <xf numFmtId="0" fontId="7" fillId="0" borderId="18" xfId="8" applyFont="1" applyBorder="1" applyAlignment="1">
      <alignment horizontal="centerContinuous"/>
    </xf>
    <xf numFmtId="0" fontId="7" fillId="0" borderId="19" xfId="8" applyFont="1" applyBorder="1" applyAlignment="1">
      <alignment horizontal="centerContinuous"/>
    </xf>
    <xf numFmtId="0" fontId="6" fillId="0" borderId="8" xfId="8" applyFont="1" applyBorder="1" applyAlignment="1">
      <alignment horizontal="center"/>
    </xf>
    <xf numFmtId="0" fontId="6" fillId="0" borderId="5" xfId="8" applyFont="1" applyBorder="1" applyAlignment="1">
      <alignment horizontal="center"/>
    </xf>
    <xf numFmtId="0" fontId="6" fillId="0" borderId="14" xfId="8" applyFont="1" applyBorder="1" applyAlignment="1">
      <alignment horizontal="center"/>
    </xf>
    <xf numFmtId="0" fontId="6" fillId="0" borderId="3" xfId="8" applyFont="1" applyBorder="1" applyAlignment="1">
      <alignment horizontal="center"/>
    </xf>
    <xf numFmtId="10" fontId="7" fillId="0" borderId="14" xfId="5" applyNumberFormat="1" applyFont="1" applyBorder="1" applyProtection="1">
      <protection locked="0"/>
    </xf>
    <xf numFmtId="10" fontId="7" fillId="0" borderId="3" xfId="5" applyNumberFormat="1" applyFont="1" applyBorder="1" applyProtection="1">
      <protection locked="0"/>
    </xf>
    <xf numFmtId="38" fontId="7" fillId="0" borderId="3" xfId="2" applyNumberFormat="1" applyFont="1" applyBorder="1" applyProtection="1">
      <protection locked="0"/>
    </xf>
    <xf numFmtId="1" fontId="7" fillId="0" borderId="3" xfId="8" applyNumberFormat="1" applyFont="1" applyBorder="1" applyAlignment="1">
      <alignment horizontal="center"/>
    </xf>
    <xf numFmtId="1" fontId="7" fillId="0" borderId="5" xfId="8" applyNumberFormat="1" applyFont="1" applyBorder="1" applyAlignment="1">
      <alignment horizontal="center"/>
    </xf>
    <xf numFmtId="1" fontId="7" fillId="0" borderId="2" xfId="8" applyNumberFormat="1" applyFont="1" applyBorder="1" applyAlignment="1">
      <alignment horizontal="center"/>
    </xf>
    <xf numFmtId="10" fontId="7" fillId="0" borderId="8" xfId="5" applyNumberFormat="1" applyFont="1" applyBorder="1" applyProtection="1">
      <protection locked="0"/>
    </xf>
    <xf numFmtId="1" fontId="7" fillId="0" borderId="6" xfId="2" applyNumberFormat="1" applyFont="1" applyBorder="1" applyAlignment="1">
      <alignment horizontal="center"/>
    </xf>
    <xf numFmtId="10" fontId="6" fillId="3" borderId="20" xfId="8" applyNumberFormat="1" applyFont="1" applyFill="1" applyBorder="1"/>
    <xf numFmtId="38" fontId="6" fillId="0" borderId="20" xfId="2" applyNumberFormat="1" applyFont="1" applyBorder="1" applyProtection="1">
      <protection locked="0"/>
    </xf>
    <xf numFmtId="1" fontId="6" fillId="3" borderId="20" xfId="8" applyNumberFormat="1" applyFont="1" applyFill="1" applyBorder="1"/>
    <xf numFmtId="38" fontId="3" fillId="3" borderId="0" xfId="8" applyNumberFormat="1" applyFill="1"/>
    <xf numFmtId="10" fontId="7" fillId="0" borderId="14" xfId="5" applyNumberFormat="1" applyFont="1" applyBorder="1"/>
    <xf numFmtId="6" fontId="7" fillId="0" borderId="14" xfId="8" applyNumberFormat="1" applyFont="1" applyBorder="1"/>
    <xf numFmtId="6" fontId="7" fillId="0" borderId="14" xfId="8" applyNumberFormat="1" applyFont="1" applyBorder="1" applyAlignment="1">
      <alignment horizontal="center"/>
    </xf>
    <xf numFmtId="0" fontId="6" fillId="7" borderId="0" xfId="8" applyFont="1" applyFill="1"/>
    <xf numFmtId="10" fontId="6" fillId="7" borderId="0" xfId="5" applyNumberFormat="1" applyFont="1" applyFill="1" applyAlignment="1">
      <alignment horizontal="center"/>
    </xf>
    <xf numFmtId="0" fontId="6" fillId="7" borderId="0" xfId="8" applyFont="1" applyFill="1" applyAlignment="1">
      <alignment horizontal="right"/>
    </xf>
    <xf numFmtId="17" fontId="6" fillId="7" borderId="0" xfId="8" applyNumberFormat="1" applyFont="1" applyFill="1" applyAlignment="1">
      <alignment horizontal="center"/>
    </xf>
    <xf numFmtId="0" fontId="7" fillId="0" borderId="14" xfId="8" applyFont="1" applyBorder="1"/>
    <xf numFmtId="0" fontId="7" fillId="0" borderId="16" xfId="8" applyFont="1" applyBorder="1"/>
    <xf numFmtId="0" fontId="7" fillId="0" borderId="7" xfId="8" applyFont="1" applyBorder="1"/>
    <xf numFmtId="0" fontId="6" fillId="3" borderId="21" xfId="8" applyFont="1" applyFill="1" applyBorder="1"/>
    <xf numFmtId="10" fontId="6" fillId="3" borderId="21" xfId="8" applyNumberFormat="1" applyFont="1" applyFill="1" applyBorder="1"/>
    <xf numFmtId="38" fontId="6" fillId="0" borderId="22" xfId="2" applyNumberFormat="1" applyFont="1" applyBorder="1"/>
    <xf numFmtId="3" fontId="6" fillId="0" borderId="22" xfId="2" applyNumberFormat="1" applyFont="1" applyBorder="1"/>
    <xf numFmtId="0" fontId="7" fillId="0" borderId="1" xfId="8" applyFont="1" applyBorder="1" applyAlignment="1">
      <alignment horizontal="left"/>
    </xf>
    <xf numFmtId="10" fontId="6" fillId="3" borderId="14" xfId="8" applyNumberFormat="1" applyFont="1" applyFill="1" applyBorder="1"/>
    <xf numFmtId="38" fontId="10" fillId="0" borderId="9" xfId="8" applyNumberFormat="1" applyFont="1" applyBorder="1" applyAlignment="1" applyProtection="1">
      <alignment horizontal="centerContinuous"/>
      <protection locked="0"/>
    </xf>
    <xf numFmtId="1" fontId="10" fillId="0" borderId="9" xfId="8" applyNumberFormat="1" applyFont="1" applyBorder="1" applyAlignment="1">
      <alignment horizontal="centerContinuous"/>
    </xf>
    <xf numFmtId="38" fontId="7" fillId="0" borderId="3" xfId="2" applyNumberFormat="1" applyFont="1" applyBorder="1" applyAlignment="1">
      <alignment horizontal="right"/>
    </xf>
    <xf numFmtId="0" fontId="6" fillId="0" borderId="20" xfId="8" applyFont="1" applyBorder="1" applyAlignment="1">
      <alignment horizontal="left"/>
    </xf>
    <xf numFmtId="0" fontId="6" fillId="0" borderId="23" xfId="8" applyFont="1" applyBorder="1" applyAlignment="1">
      <alignment horizontal="center"/>
    </xf>
    <xf numFmtId="38" fontId="6" fillId="0" borderId="23" xfId="2" applyNumberFormat="1" applyFont="1" applyBorder="1"/>
    <xf numFmtId="3" fontId="6" fillId="0" borderId="23" xfId="2" applyNumberFormat="1" applyFont="1" applyBorder="1"/>
    <xf numFmtId="10" fontId="7" fillId="0" borderId="14" xfId="6" applyNumberFormat="1" applyFont="1" applyBorder="1"/>
    <xf numFmtId="10" fontId="7" fillId="0" borderId="3" xfId="5" applyNumberFormat="1" applyFont="1" applyBorder="1"/>
    <xf numFmtId="3" fontId="6" fillId="0" borderId="20" xfId="2" applyNumberFormat="1" applyFont="1" applyBorder="1" applyProtection="1">
      <protection locked="0"/>
    </xf>
    <xf numFmtId="0" fontId="6" fillId="0" borderId="17" xfId="3" applyFont="1" applyBorder="1" applyAlignment="1">
      <alignment horizontal="centerContinuous"/>
    </xf>
    <xf numFmtId="0" fontId="7" fillId="0" borderId="18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/>
    </xf>
    <xf numFmtId="0" fontId="3" fillId="3" borderId="0" xfId="3" applyFill="1"/>
    <xf numFmtId="0" fontId="6" fillId="0" borderId="2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6" fillId="0" borderId="14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1" fontId="7" fillId="0" borderId="3" xfId="3" applyNumberFormat="1" applyFont="1" applyBorder="1" applyAlignment="1">
      <alignment horizontal="center"/>
    </xf>
    <xf numFmtId="10" fontId="6" fillId="3" borderId="20" xfId="3" applyNumberFormat="1" applyFont="1" applyFill="1" applyBorder="1"/>
    <xf numFmtId="6" fontId="7" fillId="0" borderId="14" xfId="3" applyNumberFormat="1" applyFont="1" applyBorder="1"/>
    <xf numFmtId="6" fontId="7" fillId="0" borderId="14" xfId="3" applyNumberFormat="1" applyFont="1" applyBorder="1" applyAlignment="1">
      <alignment horizontal="center"/>
    </xf>
    <xf numFmtId="10" fontId="7" fillId="0" borderId="8" xfId="5" applyNumberFormat="1" applyFont="1" applyBorder="1"/>
    <xf numFmtId="10" fontId="7" fillId="0" borderId="5" xfId="5" applyNumberFormat="1" applyFont="1" applyBorder="1"/>
    <xf numFmtId="6" fontId="3" fillId="3" borderId="0" xfId="8" applyNumberFormat="1" applyFill="1"/>
    <xf numFmtId="0" fontId="5" fillId="3" borderId="0" xfId="8" applyFont="1" applyFill="1"/>
    <xf numFmtId="10" fontId="7" fillId="0" borderId="9" xfId="6" applyNumberFormat="1" applyFont="1" applyBorder="1" applyProtection="1">
      <protection locked="0"/>
    </xf>
    <xf numFmtId="0" fontId="7" fillId="0" borderId="9" xfId="8" applyFont="1" applyBorder="1"/>
    <xf numFmtId="10" fontId="7" fillId="0" borderId="7" xfId="6" applyNumberFormat="1" applyFont="1" applyBorder="1" applyProtection="1">
      <protection locked="0"/>
    </xf>
    <xf numFmtId="38" fontId="6" fillId="0" borderId="21" xfId="2" applyNumberFormat="1" applyFont="1" applyBorder="1" applyProtection="1">
      <protection locked="0"/>
    </xf>
    <xf numFmtId="3" fontId="6" fillId="0" borderId="21" xfId="2" applyNumberFormat="1" applyFont="1" applyBorder="1" applyProtection="1">
      <protection locked="0"/>
    </xf>
    <xf numFmtId="3" fontId="7" fillId="0" borderId="3" xfId="2" applyNumberFormat="1" applyFont="1" applyBorder="1" applyProtection="1">
      <protection locked="0"/>
    </xf>
    <xf numFmtId="0" fontId="7" fillId="0" borderId="1" xfId="0" applyFont="1" applyBorder="1" applyAlignment="1">
      <alignment horizontal="left"/>
    </xf>
    <xf numFmtId="10" fontId="6" fillId="3" borderId="14" xfId="0" applyNumberFormat="1" applyFont="1" applyFill="1" applyBorder="1"/>
    <xf numFmtId="38" fontId="10" fillId="0" borderId="9" xfId="0" applyNumberFormat="1" applyFont="1" applyBorder="1" applyAlignment="1" applyProtection="1">
      <alignment horizontal="centerContinuous"/>
      <protection locked="0"/>
    </xf>
    <xf numFmtId="1" fontId="10" fillId="0" borderId="9" xfId="0" applyNumberFormat="1" applyFont="1" applyBorder="1" applyAlignment="1">
      <alignment horizontal="centerContinuous"/>
    </xf>
    <xf numFmtId="3" fontId="7" fillId="0" borderId="3" xfId="2" applyNumberFormat="1" applyFont="1" applyBorder="1" applyAlignment="1">
      <alignment horizontal="right"/>
    </xf>
    <xf numFmtId="0" fontId="6" fillId="0" borderId="20" xfId="0" applyFont="1" applyBorder="1" applyAlignment="1">
      <alignment horizontal="left"/>
    </xf>
    <xf numFmtId="0" fontId="6" fillId="0" borderId="23" xfId="0" applyFont="1" applyBorder="1" applyAlignment="1">
      <alignment horizontal="center"/>
    </xf>
    <xf numFmtId="6" fontId="7" fillId="0" borderId="14" xfId="0" applyNumberFormat="1" applyFont="1" applyBorder="1"/>
    <xf numFmtId="6" fontId="7" fillId="0" borderId="14" xfId="0" applyNumberFormat="1" applyFont="1" applyBorder="1" applyAlignment="1">
      <alignment horizontal="center"/>
    </xf>
    <xf numFmtId="0" fontId="13" fillId="0" borderId="26" xfId="0" applyFont="1" applyBorder="1"/>
    <xf numFmtId="0" fontId="12" fillId="0" borderId="26" xfId="0" applyFont="1" applyBorder="1"/>
    <xf numFmtId="0" fontId="13" fillId="0" borderId="26" xfId="0" applyFont="1" applyBorder="1" applyAlignment="1">
      <alignment horizontal="center"/>
    </xf>
    <xf numFmtId="0" fontId="0" fillId="0" borderId="26" xfId="0" applyBorder="1"/>
    <xf numFmtId="0" fontId="3" fillId="0" borderId="26" xfId="0" applyFont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38" fontId="11" fillId="0" borderId="26" xfId="0" applyNumberFormat="1" applyFont="1" applyBorder="1"/>
    <xf numFmtId="6" fontId="0" fillId="0" borderId="26" xfId="0" applyNumberFormat="1" applyBorder="1"/>
    <xf numFmtId="0" fontId="11" fillId="0" borderId="26" xfId="0" applyFont="1" applyBorder="1"/>
    <xf numFmtId="0" fontId="0" fillId="0" borderId="28" xfId="0" applyBorder="1"/>
    <xf numFmtId="0" fontId="13" fillId="0" borderId="29" xfId="0" applyFont="1" applyBorder="1"/>
    <xf numFmtId="0" fontId="12" fillId="0" borderId="29" xfId="0" applyFont="1" applyBorder="1"/>
    <xf numFmtId="0" fontId="13" fillId="0" borderId="29" xfId="0" applyFont="1" applyBorder="1" applyAlignment="1">
      <alignment horizontal="center"/>
    </xf>
    <xf numFmtId="0" fontId="11" fillId="0" borderId="30" xfId="0" applyFont="1" applyBorder="1"/>
    <xf numFmtId="38" fontId="11" fillId="0" borderId="30" xfId="0" applyNumberFormat="1" applyFont="1" applyBorder="1"/>
    <xf numFmtId="0" fontId="13" fillId="0" borderId="28" xfId="0" applyFont="1" applyBorder="1" applyAlignment="1">
      <alignment horizontal="center"/>
    </xf>
    <xf numFmtId="0" fontId="11" fillId="0" borderId="28" xfId="0" applyFont="1" applyBorder="1"/>
    <xf numFmtId="0" fontId="14" fillId="8" borderId="27" xfId="0" applyFont="1" applyFill="1" applyBorder="1" applyAlignment="1">
      <alignment horizontal="center" vertical="center"/>
    </xf>
    <xf numFmtId="0" fontId="14" fillId="8" borderId="25" xfId="0" applyFont="1" applyFill="1" applyBorder="1" applyAlignment="1">
      <alignment horizontal="center" vertical="center"/>
    </xf>
    <xf numFmtId="0" fontId="3" fillId="0" borderId="28" xfId="0" applyFont="1" applyBorder="1"/>
    <xf numFmtId="0" fontId="3" fillId="0" borderId="26" xfId="0" applyFont="1" applyBorder="1"/>
    <xf numFmtId="0" fontId="3" fillId="3" borderId="27" xfId="0" applyFont="1" applyFill="1" applyBorder="1" applyAlignment="1" applyProtection="1">
      <alignment horizontal="left" indent="1"/>
    </xf>
    <xf numFmtId="6" fontId="3" fillId="0" borderId="27" xfId="0" applyNumberFormat="1" applyFont="1" applyFill="1" applyBorder="1" applyAlignment="1" applyProtection="1">
      <alignment horizontal="right"/>
      <protection locked="0"/>
    </xf>
    <xf numFmtId="6" fontId="2" fillId="0" borderId="27" xfId="0" applyNumberFormat="1" applyFont="1" applyFill="1" applyBorder="1" applyAlignment="1" applyProtection="1">
      <alignment horizontal="right"/>
      <protection locked="0"/>
    </xf>
    <xf numFmtId="38" fontId="3" fillId="0" borderId="26" xfId="0" applyNumberFormat="1" applyFont="1" applyBorder="1"/>
    <xf numFmtId="6" fontId="3" fillId="0" borderId="26" xfId="0" applyNumberFormat="1" applyFont="1" applyBorder="1"/>
    <xf numFmtId="0" fontId="14" fillId="8" borderId="27" xfId="0" applyFont="1" applyFill="1" applyBorder="1" applyAlignment="1">
      <alignment horizontal="center" vertical="center" wrapText="1"/>
    </xf>
    <xf numFmtId="6" fontId="3" fillId="9" borderId="27" xfId="0" applyNumberFormat="1" applyFont="1" applyFill="1" applyBorder="1" applyAlignment="1">
      <alignment horizontal="center"/>
    </xf>
    <xf numFmtId="0" fontId="14" fillId="9" borderId="27" xfId="0" applyFont="1" applyFill="1" applyBorder="1" applyProtection="1"/>
    <xf numFmtId="0" fontId="3" fillId="0" borderId="28" xfId="0" applyFont="1" applyFill="1" applyBorder="1"/>
    <xf numFmtId="0" fontId="3" fillId="0" borderId="26" xfId="0" applyFont="1" applyFill="1" applyBorder="1"/>
    <xf numFmtId="0" fontId="2" fillId="10" borderId="27" xfId="0" applyFont="1" applyFill="1" applyBorder="1" applyProtection="1"/>
    <xf numFmtId="6" fontId="3" fillId="10" borderId="27" xfId="0" applyNumberFormat="1" applyFont="1" applyFill="1" applyBorder="1" applyAlignment="1">
      <alignment horizontal="center"/>
    </xf>
    <xf numFmtId="0" fontId="2" fillId="10" borderId="27" xfId="0" applyFont="1" applyFill="1" applyBorder="1" applyAlignment="1">
      <alignment horizontal="right"/>
    </xf>
    <xf numFmtId="6" fontId="2" fillId="10" borderId="27" xfId="0" applyNumberFormat="1" applyFont="1" applyFill="1" applyBorder="1" applyAlignment="1"/>
    <xf numFmtId="6" fontId="15" fillId="0" borderId="26" xfId="0" applyNumberFormat="1" applyFont="1" applyBorder="1" applyAlignment="1">
      <alignment horizontal="center"/>
    </xf>
    <xf numFmtId="0" fontId="3" fillId="0" borderId="26" xfId="0" applyFont="1" applyBorder="1" applyAlignment="1">
      <alignment horizontal="right"/>
    </xf>
    <xf numFmtId="38" fontId="0" fillId="0" borderId="26" xfId="0" applyNumberFormat="1" applyBorder="1"/>
    <xf numFmtId="0" fontId="3" fillId="0" borderId="27" xfId="0" applyFont="1" applyFill="1" applyBorder="1" applyAlignment="1" applyProtection="1">
      <alignment horizontal="left" indent="1"/>
    </xf>
    <xf numFmtId="0" fontId="0" fillId="0" borderId="26" xfId="0" applyBorder="1" applyAlignment="1">
      <alignment horizontal="right"/>
    </xf>
    <xf numFmtId="6" fontId="3" fillId="0" borderId="27" xfId="0" applyNumberFormat="1" applyFont="1" applyBorder="1" applyAlignment="1" applyProtection="1">
      <alignment horizontal="right"/>
      <protection locked="0"/>
    </xf>
    <xf numFmtId="0" fontId="17" fillId="0" borderId="26" xfId="0" applyFont="1" applyBorder="1" applyAlignment="1">
      <alignment horizontal="center"/>
    </xf>
    <xf numFmtId="167" fontId="15" fillId="0" borderId="26" xfId="19" applyNumberFormat="1" applyFont="1" applyBorder="1" applyAlignment="1">
      <alignment horizontal="center"/>
    </xf>
    <xf numFmtId="0" fontId="13" fillId="0" borderId="26" xfId="0" applyFont="1" applyFill="1" applyBorder="1"/>
    <xf numFmtId="0" fontId="12" fillId="0" borderId="26" xfId="0" applyFont="1" applyFill="1" applyBorder="1"/>
    <xf numFmtId="0" fontId="13" fillId="0" borderId="26" xfId="0" applyFont="1" applyFill="1" applyBorder="1" applyAlignment="1">
      <alignment horizontal="center"/>
    </xf>
    <xf numFmtId="38" fontId="7" fillId="0" borderId="4" xfId="8" applyNumberFormat="1" applyFont="1" applyBorder="1" applyAlignment="1" applyProtection="1">
      <alignment horizontal="center"/>
      <protection locked="0"/>
    </xf>
    <xf numFmtId="38" fontId="7" fillId="0" borderId="3" xfId="8" applyNumberFormat="1" applyFont="1" applyBorder="1" applyAlignment="1" applyProtection="1">
      <alignment horizontal="center"/>
      <protection locked="0"/>
    </xf>
    <xf numFmtId="38" fontId="7" fillId="0" borderId="4" xfId="0" applyNumberFormat="1" applyFont="1" applyBorder="1" applyAlignment="1" applyProtection="1">
      <alignment horizontal="center"/>
      <protection locked="0"/>
    </xf>
    <xf numFmtId="38" fontId="7" fillId="0" borderId="3" xfId="0" applyNumberFormat="1" applyFont="1" applyBorder="1" applyAlignment="1" applyProtection="1">
      <alignment horizontal="center"/>
      <protection locked="0"/>
    </xf>
    <xf numFmtId="38" fontId="6" fillId="0" borderId="4" xfId="8" applyNumberFormat="1" applyFont="1" applyBorder="1" applyAlignment="1" applyProtection="1">
      <alignment horizontal="center"/>
      <protection locked="0"/>
    </xf>
    <xf numFmtId="38" fontId="6" fillId="0" borderId="3" xfId="8" applyNumberFormat="1" applyFont="1" applyBorder="1" applyAlignment="1" applyProtection="1">
      <alignment horizontal="center"/>
      <protection locked="0"/>
    </xf>
    <xf numFmtId="38" fontId="7" fillId="0" borderId="4" xfId="3" applyNumberFormat="1" applyFont="1" applyBorder="1" applyAlignment="1" applyProtection="1">
      <alignment horizontal="center"/>
      <protection locked="0"/>
    </xf>
    <xf numFmtId="38" fontId="7" fillId="0" borderId="3" xfId="3" applyNumberFormat="1" applyFont="1" applyBorder="1" applyAlignment="1" applyProtection="1">
      <alignment horizontal="center"/>
      <protection locked="0"/>
    </xf>
  </cellXfs>
  <cellStyles count="20">
    <cellStyle name="Comma" xfId="19" builtinId="3"/>
    <cellStyle name="Comma 10" xfId="9" xr:uid="{D54C4D21-779A-40E6-ABDB-80ABC059E03C}"/>
    <cellStyle name="Comma 2" xfId="1" xr:uid="{00000000-0005-0000-0000-000000000000}"/>
    <cellStyle name="Comma 2 2" xfId="2" xr:uid="{00000000-0005-0000-0000-000001000000}"/>
    <cellStyle name="Comma 4" xfId="15" xr:uid="{37C864B1-17C1-4C44-8C97-6A6C66AD0FE1}"/>
    <cellStyle name="Normal" xfId="0" builtinId="0"/>
    <cellStyle name="Normal - Style1 2" xfId="8" xr:uid="{2A5FAB62-3470-4F98-A120-1A0582ED20C8}"/>
    <cellStyle name="Normal 2" xfId="3" xr:uid="{00000000-0005-0000-0000-000003000000}"/>
    <cellStyle name="Normal 2 2" xfId="17" xr:uid="{B38AA0B2-DB5A-43E3-A806-83B78BD4B73B}"/>
    <cellStyle name="Normal 220" xfId="12" xr:uid="{810AE0E3-20EC-45E1-8434-3922E2384488}"/>
    <cellStyle name="Normal 3" xfId="13" xr:uid="{BDE1865E-7447-4FC7-A4E3-81FFF6F20237}"/>
    <cellStyle name="Normal_Costall5-98" xfId="10" xr:uid="{743C0321-8C40-4373-96B9-073526E3E2E3}"/>
    <cellStyle name="Percent 10" xfId="11" xr:uid="{FF13EC58-A396-4BD2-84AA-209A47CEDE40}"/>
    <cellStyle name="Percent 2" xfId="4" xr:uid="{00000000-0005-0000-0000-000004000000}"/>
    <cellStyle name="Percent 2 2" xfId="5" xr:uid="{00000000-0005-0000-0000-000005000000}"/>
    <cellStyle name="Percent 2 2 2" xfId="18" xr:uid="{381BA578-70F7-4261-84CE-9457561044C7}"/>
    <cellStyle name="Percent 3" xfId="6" xr:uid="{00000000-0005-0000-0000-000006000000}"/>
    <cellStyle name="Percent 3 2" xfId="16" xr:uid="{A37B8705-1387-4A45-9F3B-7D921872F172}"/>
    <cellStyle name="Percent 69" xfId="14" xr:uid="{CA9F0F56-A6BA-4810-BAD7-E0EA41476DF0}"/>
    <cellStyle name="remit address" xfId="7" xr:uid="{00000000-0005-0000-0000-000007000000}"/>
  </cellStyles>
  <dxfs count="0"/>
  <tableStyles count="0" defaultTableStyle="TableStyleMedium9" defaultPivotStyle="PivotStyleLight16"/>
  <colors>
    <mruColors>
      <color rgb="FFC1EAFF"/>
      <color rgb="FFB3E6FF"/>
      <color rgb="FFFFFF89"/>
      <color rgb="FF66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8.92.48.19\CalwinData\Projects\CalWin\Updated%20Documents\CalWin%20102301%20BO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cascw017\calwindata\Documents%20and%20Settings\tzq678\Local%20Settings\Temporary%20Internet%20Files\OLK28\CR2748%20Caseload%20Impact%2020041207%20v6.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ed Sch B"/>
      <sheetName val="New Servers"/>
      <sheetName val="New Rack Servers"/>
      <sheetName val="Server Rack"/>
      <sheetName val="Change FY1920"/>
      <sheetName val="County Direct FY1920"/>
      <sheetName val="Summary FY1920"/>
      <sheetName val="Credits FY1920"/>
      <sheetName val="Credits Summary FY1920"/>
      <sheetName val="County Direct Credit Balances"/>
    </sheetNames>
    <sheetDataSet>
      <sheetData sheetId="0"/>
      <sheetData sheetId="1">
        <row r="1">
          <cell r="I1">
            <v>0.63</v>
          </cell>
        </row>
      </sheetData>
      <sheetData sheetId="2"/>
      <sheetData sheetId="3"/>
      <sheetData sheetId="4"/>
      <sheetData sheetId="5"/>
      <sheetData sheetId="6"/>
      <sheetData sheetId="7">
        <row r="1">
          <cell r="I1" t="str">
            <v>Total Cost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venue Impact "/>
      <sheetName val="COst Impact"/>
      <sheetName val="Caseload Ramp-U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A96C3-E4F3-4101-849A-7ACE5F79B3DF}">
  <sheetPr>
    <pageSetUpPr fitToPage="1"/>
  </sheetPr>
  <dimension ref="A1:BH69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21" width="15.7109375" style="126" customWidth="1"/>
    <col min="22" max="16384" width="9.140625" style="126"/>
  </cols>
  <sheetData>
    <row r="1" spans="1:60" s="124" customFormat="1" ht="23.25" x14ac:dyDescent="0.35">
      <c r="A1" s="166" t="s">
        <v>135</v>
      </c>
      <c r="B1" s="167"/>
      <c r="C1" s="168"/>
      <c r="D1" s="168"/>
      <c r="E1" s="125"/>
      <c r="F1" s="125"/>
      <c r="G1" s="125"/>
      <c r="H1" s="125"/>
      <c r="I1" s="164"/>
      <c r="J1" s="125"/>
      <c r="K1" s="125"/>
      <c r="L1" s="158"/>
      <c r="M1" s="158"/>
      <c r="N1" s="125"/>
      <c r="O1" s="125"/>
      <c r="P1" s="16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</row>
    <row r="2" spans="1:60" s="124" customFormat="1" ht="14.25" customHeight="1" x14ac:dyDescent="0.35">
      <c r="A2" s="133"/>
      <c r="B2" s="134"/>
      <c r="C2" s="135"/>
      <c r="D2" s="135"/>
      <c r="E2" s="135"/>
      <c r="F2" s="134"/>
      <c r="G2" s="134"/>
      <c r="H2" s="134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</row>
    <row r="3" spans="1:60" s="143" customFormat="1" ht="39.950000000000003" customHeight="1" x14ac:dyDescent="0.2">
      <c r="A3" s="140" t="s">
        <v>129</v>
      </c>
      <c r="B3" s="140" t="s">
        <v>82</v>
      </c>
      <c r="C3" s="140" t="s">
        <v>125</v>
      </c>
      <c r="D3" s="140" t="s">
        <v>89</v>
      </c>
      <c r="E3" s="140" t="s">
        <v>84</v>
      </c>
      <c r="F3" s="140" t="s">
        <v>72</v>
      </c>
      <c r="G3" s="140" t="s">
        <v>73</v>
      </c>
      <c r="H3" s="140" t="s">
        <v>126</v>
      </c>
      <c r="I3" s="140" t="s">
        <v>88</v>
      </c>
      <c r="J3" s="140" t="s">
        <v>81</v>
      </c>
      <c r="K3" s="140" t="s">
        <v>87</v>
      </c>
      <c r="L3" s="140" t="s">
        <v>80</v>
      </c>
      <c r="M3" s="140" t="s">
        <v>85</v>
      </c>
      <c r="N3" s="140" t="s">
        <v>76</v>
      </c>
      <c r="O3" s="140" t="s">
        <v>75</v>
      </c>
      <c r="P3" s="140" t="s">
        <v>77</v>
      </c>
      <c r="Q3" s="140" t="s">
        <v>79</v>
      </c>
      <c r="R3" s="140" t="s">
        <v>83</v>
      </c>
      <c r="S3" s="140" t="s">
        <v>86</v>
      </c>
      <c r="T3" s="140" t="s">
        <v>74</v>
      </c>
      <c r="U3" s="141" t="s">
        <v>127</v>
      </c>
    </row>
    <row r="4" spans="1:60" s="143" customFormat="1" ht="15" customHeight="1" x14ac:dyDescent="0.2">
      <c r="A4" s="151" t="s">
        <v>130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60" s="153" customFormat="1" ht="15" customHeight="1" x14ac:dyDescent="0.2">
      <c r="A5" s="154" t="s">
        <v>12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</row>
    <row r="6" spans="1:60" s="143" customFormat="1" ht="15" customHeight="1" x14ac:dyDescent="0.2">
      <c r="A6" s="144" t="s">
        <v>14</v>
      </c>
      <c r="B6" s="145">
        <f>1439642+62024</f>
        <v>1501666</v>
      </c>
      <c r="C6" s="145">
        <v>667369</v>
      </c>
      <c r="D6" s="145">
        <f>1053505+62024</f>
        <v>1115529</v>
      </c>
      <c r="E6" s="145">
        <f>1503997-272</f>
        <v>1503725</v>
      </c>
      <c r="F6" s="145">
        <v>544872</v>
      </c>
      <c r="G6" s="145">
        <v>1117861</v>
      </c>
      <c r="H6" s="145">
        <v>0</v>
      </c>
      <c r="I6" s="145">
        <f>1182217-60000</f>
        <v>1122217</v>
      </c>
      <c r="J6" s="145">
        <v>667369</v>
      </c>
      <c r="K6" s="145">
        <f>480516-4749</f>
        <v>475767</v>
      </c>
      <c r="L6" s="145">
        <f>431650+37852</f>
        <v>469502</v>
      </c>
      <c r="M6" s="145">
        <f>431650-47574</f>
        <v>384076</v>
      </c>
      <c r="N6" s="145">
        <f>796081+5045</f>
        <v>801126</v>
      </c>
      <c r="O6" s="145">
        <v>480516</v>
      </c>
      <c r="P6" s="145">
        <v>431650</v>
      </c>
      <c r="Q6" s="145">
        <f>431650+37853</f>
        <v>469503</v>
      </c>
      <c r="R6" s="145">
        <v>796081</v>
      </c>
      <c r="S6" s="145">
        <v>753429.99999999988</v>
      </c>
      <c r="T6" s="145">
        <f>609228-79205</f>
        <v>530023</v>
      </c>
      <c r="U6" s="146">
        <f>SUM(B6:T6)</f>
        <v>13832282</v>
      </c>
      <c r="V6" s="147"/>
      <c r="W6" s="147"/>
      <c r="X6" s="147"/>
    </row>
    <row r="7" spans="1:60" s="143" customFormat="1" ht="15" customHeight="1" x14ac:dyDescent="0.2">
      <c r="A7" s="144" t="s">
        <v>13</v>
      </c>
      <c r="B7" s="145">
        <v>0</v>
      </c>
      <c r="C7" s="145">
        <v>0</v>
      </c>
      <c r="D7" s="145">
        <v>0</v>
      </c>
      <c r="E7" s="145">
        <f>122280-12998</f>
        <v>109282</v>
      </c>
      <c r="F7" s="145">
        <v>0</v>
      </c>
      <c r="G7" s="145">
        <v>0</v>
      </c>
      <c r="H7" s="145">
        <v>0</v>
      </c>
      <c r="I7" s="145">
        <v>0</v>
      </c>
      <c r="J7" s="145">
        <v>0</v>
      </c>
      <c r="K7" s="145">
        <v>0</v>
      </c>
      <c r="L7" s="145">
        <v>0</v>
      </c>
      <c r="M7" s="145">
        <v>0</v>
      </c>
      <c r="N7" s="145">
        <v>0</v>
      </c>
      <c r="O7" s="145">
        <v>0</v>
      </c>
      <c r="P7" s="145">
        <v>0</v>
      </c>
      <c r="Q7" s="145">
        <v>0</v>
      </c>
      <c r="R7" s="145">
        <v>0</v>
      </c>
      <c r="S7" s="145">
        <v>0</v>
      </c>
      <c r="T7" s="145">
        <v>0</v>
      </c>
      <c r="U7" s="146">
        <f>SUM(B7:T7)</f>
        <v>109282</v>
      </c>
      <c r="V7" s="147"/>
      <c r="W7" s="147"/>
      <c r="X7" s="147"/>
    </row>
    <row r="8" spans="1:60" s="143" customFormat="1" ht="12.75" x14ac:dyDescent="0.2">
      <c r="A8" s="144" t="s">
        <v>15</v>
      </c>
      <c r="B8" s="145">
        <v>42606</v>
      </c>
      <c r="C8" s="145">
        <v>42610</v>
      </c>
      <c r="D8" s="145">
        <v>42610</v>
      </c>
      <c r="E8" s="145">
        <v>42610</v>
      </c>
      <c r="F8" s="145">
        <v>17431</v>
      </c>
      <c r="G8" s="145">
        <v>42610</v>
      </c>
      <c r="H8" s="145">
        <f>3480020-894270</f>
        <v>2585750</v>
      </c>
      <c r="I8" s="145">
        <v>42610</v>
      </c>
      <c r="J8" s="145">
        <v>42610</v>
      </c>
      <c r="K8" s="145">
        <v>17431</v>
      </c>
      <c r="L8" s="145">
        <v>34863</v>
      </c>
      <c r="M8" s="145">
        <v>34863</v>
      </c>
      <c r="N8" s="145">
        <v>42610</v>
      </c>
      <c r="O8" s="145">
        <v>17431</v>
      </c>
      <c r="P8" s="145">
        <v>34863</v>
      </c>
      <c r="Q8" s="145">
        <v>34863</v>
      </c>
      <c r="R8" s="145">
        <v>42610</v>
      </c>
      <c r="S8" s="145">
        <v>34863</v>
      </c>
      <c r="T8" s="145">
        <v>17431</v>
      </c>
      <c r="U8" s="146">
        <f>SUM(B8:T8)</f>
        <v>3213275</v>
      </c>
      <c r="V8" s="147"/>
      <c r="W8" s="147"/>
      <c r="X8" s="147"/>
    </row>
    <row r="9" spans="1:60" s="153" customFormat="1" ht="15" customHeight="1" x14ac:dyDescent="0.2">
      <c r="A9" s="154" t="s">
        <v>16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</row>
    <row r="10" spans="1:60" s="143" customFormat="1" ht="12.75" x14ac:dyDescent="0.2">
      <c r="A10" s="144" t="s">
        <v>17</v>
      </c>
      <c r="B10" s="163">
        <f>423055-69844</f>
        <v>353211</v>
      </c>
      <c r="C10" s="163">
        <f>209705-34621</f>
        <v>175084</v>
      </c>
      <c r="D10" s="163">
        <f>403454-66608</f>
        <v>336846</v>
      </c>
      <c r="E10" s="163">
        <f>574865-94908</f>
        <v>479957</v>
      </c>
      <c r="F10" s="163">
        <f>41485-6849</f>
        <v>34636</v>
      </c>
      <c r="G10" s="163">
        <f>499645-82489</f>
        <v>417156</v>
      </c>
      <c r="H10" s="145">
        <f>9117615+752633+894270+287727+18007</f>
        <v>11070252</v>
      </c>
      <c r="I10" s="163">
        <f>730320-120572</f>
        <v>609748</v>
      </c>
      <c r="J10" s="163">
        <f>266690-44028</f>
        <v>222662</v>
      </c>
      <c r="K10" s="163">
        <f>61088-10085</f>
        <v>51003</v>
      </c>
      <c r="L10" s="163">
        <f>107588-17763</f>
        <v>89825</v>
      </c>
      <c r="M10" s="163">
        <f>110323-18214</f>
        <v>92109</v>
      </c>
      <c r="N10" s="163">
        <f>367439-60662</f>
        <v>306777</v>
      </c>
      <c r="O10" s="163">
        <f>62000-10236</f>
        <v>51764</v>
      </c>
      <c r="P10" s="163">
        <f>117617-19417</f>
        <v>98200</v>
      </c>
      <c r="Q10" s="163">
        <f>96647-15955</f>
        <v>80692</v>
      </c>
      <c r="R10" s="163">
        <f>244808-40417</f>
        <v>204391</v>
      </c>
      <c r="S10" s="163">
        <f>188278-31084</f>
        <v>157194</v>
      </c>
      <c r="T10" s="163">
        <f>53794-8881</f>
        <v>44913</v>
      </c>
      <c r="U10" s="146">
        <f>SUM(B10:T10)</f>
        <v>14876420</v>
      </c>
      <c r="V10" s="147"/>
      <c r="W10" s="147"/>
      <c r="X10" s="147"/>
    </row>
    <row r="11" spans="1:60" s="143" customFormat="1" ht="12.75" x14ac:dyDescent="0.2">
      <c r="A11" s="144" t="s">
        <v>0</v>
      </c>
      <c r="B11" s="145">
        <v>0</v>
      </c>
      <c r="C11" s="145">
        <v>0</v>
      </c>
      <c r="D11" s="145">
        <v>0</v>
      </c>
      <c r="E11" s="145">
        <v>0</v>
      </c>
      <c r="F11" s="145">
        <v>0</v>
      </c>
      <c r="G11" s="145">
        <v>0</v>
      </c>
      <c r="H11" s="145">
        <f>1944156-287727</f>
        <v>1656429</v>
      </c>
      <c r="I11" s="145">
        <v>0</v>
      </c>
      <c r="J11" s="145">
        <v>0</v>
      </c>
      <c r="K11" s="145">
        <v>0</v>
      </c>
      <c r="L11" s="145">
        <v>0</v>
      </c>
      <c r="M11" s="145">
        <v>0</v>
      </c>
      <c r="N11" s="145">
        <v>1000000</v>
      </c>
      <c r="O11" s="145">
        <v>0</v>
      </c>
      <c r="P11" s="145">
        <v>0</v>
      </c>
      <c r="Q11" s="145">
        <v>0</v>
      </c>
      <c r="R11" s="145">
        <v>0</v>
      </c>
      <c r="S11" s="145">
        <v>0</v>
      </c>
      <c r="T11" s="145">
        <v>0</v>
      </c>
      <c r="U11" s="146">
        <f>SUM(B11:T11)</f>
        <v>2656429</v>
      </c>
      <c r="V11" s="147"/>
      <c r="W11" s="147"/>
      <c r="X11" s="147"/>
    </row>
    <row r="12" spans="1:60" s="143" customFormat="1" ht="12.75" x14ac:dyDescent="0.2">
      <c r="A12" s="144" t="s">
        <v>21</v>
      </c>
      <c r="B12" s="145">
        <v>0</v>
      </c>
      <c r="C12" s="145">
        <v>0</v>
      </c>
      <c r="D12" s="145">
        <v>0</v>
      </c>
      <c r="E12" s="145">
        <v>0</v>
      </c>
      <c r="F12" s="145">
        <v>0</v>
      </c>
      <c r="G12" s="145">
        <v>0</v>
      </c>
      <c r="H12" s="145">
        <v>0</v>
      </c>
      <c r="I12" s="145">
        <v>0</v>
      </c>
      <c r="J12" s="145">
        <v>0</v>
      </c>
      <c r="K12" s="145">
        <v>0</v>
      </c>
      <c r="L12" s="145">
        <v>0</v>
      </c>
      <c r="M12" s="145">
        <v>0</v>
      </c>
      <c r="N12" s="145">
        <v>0</v>
      </c>
      <c r="O12" s="145">
        <v>0</v>
      </c>
      <c r="P12" s="145">
        <v>0</v>
      </c>
      <c r="Q12" s="145">
        <v>0</v>
      </c>
      <c r="R12" s="145">
        <v>0</v>
      </c>
      <c r="S12" s="145">
        <v>0</v>
      </c>
      <c r="T12" s="145">
        <v>0</v>
      </c>
      <c r="U12" s="146">
        <f>SUM(B12:T12)</f>
        <v>0</v>
      </c>
      <c r="V12" s="147"/>
      <c r="W12" s="147"/>
      <c r="X12" s="147"/>
    </row>
    <row r="13" spans="1:60" s="153" customFormat="1" ht="15" customHeight="1" x14ac:dyDescent="0.2">
      <c r="A13" s="154" t="s">
        <v>1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</row>
    <row r="14" spans="1:60" s="143" customFormat="1" ht="12.75" x14ac:dyDescent="0.2">
      <c r="A14" s="161" t="s">
        <v>14</v>
      </c>
      <c r="B14" s="145">
        <f>128+560</f>
        <v>688</v>
      </c>
      <c r="C14" s="145">
        <v>88</v>
      </c>
      <c r="D14" s="145">
        <f>11000-4042</f>
        <v>6958</v>
      </c>
      <c r="E14" s="145">
        <f>20000-7411</f>
        <v>12589</v>
      </c>
      <c r="F14" s="145">
        <f>6000-5944</f>
        <v>56</v>
      </c>
      <c r="G14" s="145">
        <v>341</v>
      </c>
      <c r="H14" s="145">
        <v>0</v>
      </c>
      <c r="I14" s="145">
        <v>0</v>
      </c>
      <c r="J14" s="145">
        <f>2000-780</f>
        <v>1220</v>
      </c>
      <c r="K14" s="145">
        <f>16000-1495</f>
        <v>14505</v>
      </c>
      <c r="L14" s="145">
        <f>5923-4500</f>
        <v>1423</v>
      </c>
      <c r="M14" s="145">
        <f>17000-9681</f>
        <v>7319</v>
      </c>
      <c r="N14" s="145">
        <f>5000-1394</f>
        <v>3606</v>
      </c>
      <c r="O14" s="145">
        <v>3000</v>
      </c>
      <c r="P14" s="145">
        <f>8000-8000</f>
        <v>0</v>
      </c>
      <c r="Q14" s="145">
        <f>10000-6900</f>
        <v>3100</v>
      </c>
      <c r="R14" s="145">
        <f>12000-8294</f>
        <v>3706</v>
      </c>
      <c r="S14" s="145">
        <f>20000-18891</f>
        <v>1109</v>
      </c>
      <c r="T14" s="145">
        <f>6000-655</f>
        <v>5345</v>
      </c>
      <c r="U14" s="146">
        <f>SUM(B14:T14)</f>
        <v>65053</v>
      </c>
      <c r="V14" s="147"/>
      <c r="W14" s="147"/>
      <c r="X14" s="147"/>
    </row>
    <row r="15" spans="1:60" s="143" customFormat="1" ht="15" customHeight="1" x14ac:dyDescent="0.2">
      <c r="A15" s="144" t="s">
        <v>13</v>
      </c>
      <c r="B15" s="145">
        <v>0</v>
      </c>
      <c r="C15" s="145">
        <v>0</v>
      </c>
      <c r="D15" s="145">
        <v>0</v>
      </c>
      <c r="E15" s="145">
        <f>24000+20000-3221</f>
        <v>40779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0</v>
      </c>
      <c r="L15" s="145">
        <v>0</v>
      </c>
      <c r="M15" s="145">
        <v>0</v>
      </c>
      <c r="N15" s="145">
        <v>0</v>
      </c>
      <c r="O15" s="145">
        <v>0</v>
      </c>
      <c r="P15" s="145">
        <v>0</v>
      </c>
      <c r="Q15" s="145">
        <v>0</v>
      </c>
      <c r="R15" s="145">
        <v>0</v>
      </c>
      <c r="S15" s="145">
        <v>0</v>
      </c>
      <c r="T15" s="145">
        <v>0</v>
      </c>
      <c r="U15" s="146">
        <f>SUM(B15:T15)</f>
        <v>40779</v>
      </c>
      <c r="V15" s="147"/>
      <c r="W15" s="147"/>
      <c r="X15" s="147"/>
    </row>
    <row r="16" spans="1:60" s="153" customFormat="1" ht="15" customHeight="1" x14ac:dyDescent="0.2">
      <c r="A16" s="154" t="s">
        <v>2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</row>
    <row r="17" spans="1:24" s="143" customFormat="1" ht="12.75" x14ac:dyDescent="0.2">
      <c r="A17" s="144" t="s">
        <v>25</v>
      </c>
      <c r="B17" s="145">
        <f>949889+16081+15285+15855+43406+265902</f>
        <v>1306418</v>
      </c>
      <c r="C17" s="145">
        <v>470852</v>
      </c>
      <c r="D17" s="145">
        <v>905878</v>
      </c>
      <c r="E17" s="145">
        <f>1290751-1-1-2</f>
        <v>1290747</v>
      </c>
      <c r="F17" s="145">
        <v>93147</v>
      </c>
      <c r="G17" s="145">
        <f>1121857+2000+13300+6650+4630</f>
        <v>1148437</v>
      </c>
      <c r="H17" s="145">
        <f>19513282-18007-15855-47851-87027</f>
        <v>19344542</v>
      </c>
      <c r="I17" s="145">
        <v>1639796</v>
      </c>
      <c r="J17" s="145">
        <f>598802+1+780+6342+44561</f>
        <v>650486</v>
      </c>
      <c r="K17" s="145">
        <v>137161</v>
      </c>
      <c r="L17" s="145">
        <f>241568+4077+40000</f>
        <v>285645</v>
      </c>
      <c r="M17" s="145">
        <f>247709+1</f>
        <v>247710</v>
      </c>
      <c r="N17" s="145">
        <f>825016+7200</f>
        <v>832216</v>
      </c>
      <c r="O17" s="145">
        <v>139209</v>
      </c>
      <c r="P17" s="145">
        <v>264087</v>
      </c>
      <c r="Q17" s="145">
        <f>217002+7200</f>
        <v>224202</v>
      </c>
      <c r="R17" s="145">
        <v>549670</v>
      </c>
      <c r="S17" s="145">
        <v>422744</v>
      </c>
      <c r="T17" s="145">
        <f>120783+2</f>
        <v>120785</v>
      </c>
      <c r="U17" s="146">
        <f>SUM(B17:T17)</f>
        <v>30073732</v>
      </c>
      <c r="V17" s="147"/>
      <c r="W17" s="147"/>
      <c r="X17" s="147"/>
    </row>
    <row r="18" spans="1:24" s="143" customFormat="1" ht="12.75" x14ac:dyDescent="0.2">
      <c r="A18" s="161" t="s">
        <v>133</v>
      </c>
      <c r="B18" s="145">
        <f>691839-16081+10000+45000+105000+7347</f>
        <v>843105</v>
      </c>
      <c r="C18" s="145">
        <f>452521+285777</f>
        <v>738298</v>
      </c>
      <c r="D18" s="145">
        <f>809492+10000+182149+47851+4042+219270</f>
        <v>1272804</v>
      </c>
      <c r="E18" s="145">
        <f>1478947+100000-250000</f>
        <v>1328947</v>
      </c>
      <c r="F18" s="145">
        <f>102728-48250</f>
        <v>54478</v>
      </c>
      <c r="G18" s="145">
        <f>881196-13300-57010-7527-49483-43922</f>
        <v>709954</v>
      </c>
      <c r="H18" s="145">
        <v>0</v>
      </c>
      <c r="I18" s="145">
        <f>1393106-291106-2000-8600</f>
        <v>1091400</v>
      </c>
      <c r="J18" s="145">
        <f>354150-6342</f>
        <v>347808</v>
      </c>
      <c r="K18" s="145">
        <f>103390-15000-10000-13806</f>
        <v>64584</v>
      </c>
      <c r="L18" s="145">
        <f>247038-40000-45000-5000-1319-34888</f>
        <v>120831</v>
      </c>
      <c r="M18" s="145">
        <f>264187-92000-16000</f>
        <v>156187</v>
      </c>
      <c r="N18" s="145">
        <f>694478+142800+6000+21176+17356+10000+128190-32392</f>
        <v>987608</v>
      </c>
      <c r="O18" s="145">
        <f>135253-20000</f>
        <v>115253</v>
      </c>
      <c r="P18" s="145">
        <f>186011-20676-28784</f>
        <v>136551</v>
      </c>
      <c r="Q18" s="145">
        <f>194938-7200-50000-15000-28600</f>
        <v>94138</v>
      </c>
      <c r="R18" s="145">
        <f>432604+26000</f>
        <v>458604</v>
      </c>
      <c r="S18" s="145">
        <f>442804+18891</f>
        <v>461695</v>
      </c>
      <c r="T18" s="145">
        <f>99437-10000-10000-10000-15142</f>
        <v>54295</v>
      </c>
      <c r="U18" s="146">
        <f>SUM(B18:T18)</f>
        <v>9036540</v>
      </c>
      <c r="V18" s="147"/>
      <c r="W18" s="147"/>
      <c r="X18" s="147"/>
    </row>
    <row r="19" spans="1:24" s="153" customFormat="1" ht="15" customHeight="1" x14ac:dyDescent="0.2">
      <c r="A19" s="154" t="s">
        <v>3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</row>
    <row r="20" spans="1:24" s="143" customFormat="1" ht="12.75" x14ac:dyDescent="0.2">
      <c r="A20" s="144" t="s">
        <v>4</v>
      </c>
      <c r="B20" s="145">
        <f>51860-5384</f>
        <v>46476</v>
      </c>
      <c r="C20" s="145">
        <f>25708-2673</f>
        <v>23035</v>
      </c>
      <c r="D20" s="145">
        <f>49456-5137</f>
        <v>44319</v>
      </c>
      <c r="E20" s="145">
        <f>70468-7318</f>
        <v>63150</v>
      </c>
      <c r="F20" s="145">
        <f>5084-528</f>
        <v>4556</v>
      </c>
      <c r="G20" s="145">
        <f>61248-6364</f>
        <v>54884</v>
      </c>
      <c r="H20" s="145">
        <f>1117664+10300+58041</f>
        <v>1186005</v>
      </c>
      <c r="I20" s="145">
        <f>89524-9297</f>
        <v>80227</v>
      </c>
      <c r="J20" s="145">
        <f>32692-3395</f>
        <v>29297</v>
      </c>
      <c r="K20" s="145">
        <f>7488-778</f>
        <v>6710</v>
      </c>
      <c r="L20" s="145">
        <f>13188-1371</f>
        <v>11817</v>
      </c>
      <c r="M20" s="145">
        <f>13524-1404</f>
        <v>12120</v>
      </c>
      <c r="N20" s="145">
        <f>45040-4676</f>
        <v>40364</v>
      </c>
      <c r="O20" s="145">
        <f>7600-788</f>
        <v>6812</v>
      </c>
      <c r="P20" s="145">
        <f>14416-1494</f>
        <v>12922</v>
      </c>
      <c r="Q20" s="145">
        <f>11848-1232</f>
        <v>10616</v>
      </c>
      <c r="R20" s="145">
        <f>30008-3118</f>
        <v>26890</v>
      </c>
      <c r="S20" s="145">
        <f>23080-2398</f>
        <v>20682</v>
      </c>
      <c r="T20" s="145">
        <f>6596-686</f>
        <v>5910</v>
      </c>
      <c r="U20" s="146">
        <f>SUM(B20:T20)</f>
        <v>1686792</v>
      </c>
      <c r="V20" s="147"/>
      <c r="W20" s="147"/>
      <c r="X20" s="147"/>
    </row>
    <row r="21" spans="1:24" s="143" customFormat="1" ht="12.75" x14ac:dyDescent="0.2">
      <c r="A21" s="144" t="s">
        <v>132</v>
      </c>
      <c r="B21" s="145">
        <f>695352-15285-13236+8872-42570</f>
        <v>633133</v>
      </c>
      <c r="C21" s="145">
        <f>533328-433891</f>
        <v>99437</v>
      </c>
      <c r="D21" s="145">
        <v>399144</v>
      </c>
      <c r="E21" s="145">
        <f>959856+630000</f>
        <v>1589856</v>
      </c>
      <c r="F21" s="145">
        <f>154596-130000-24596</f>
        <v>0</v>
      </c>
      <c r="G21" s="145">
        <f>941064+57010</f>
        <v>998074</v>
      </c>
      <c r="H21" s="145">
        <v>0</v>
      </c>
      <c r="I21" s="145">
        <v>571164</v>
      </c>
      <c r="J21" s="145">
        <f>456552-180000-44561</f>
        <v>231991</v>
      </c>
      <c r="K21" s="145">
        <f>120312+15000-8863</f>
        <v>126449</v>
      </c>
      <c r="L21" s="145">
        <f>108408-51000-27000+1319</f>
        <v>31727</v>
      </c>
      <c r="M21" s="145">
        <f>247152-194000</f>
        <v>53152</v>
      </c>
      <c r="N21" s="145">
        <f>635436-500000-21176+98000</f>
        <v>212260</v>
      </c>
      <c r="O21" s="145">
        <f>148512+8000+20000</f>
        <v>176512</v>
      </c>
      <c r="P21" s="145">
        <f>201636+165000+20676</f>
        <v>387312</v>
      </c>
      <c r="Q21" s="145">
        <f>180528+15000+28600+1000+6900+15794</f>
        <v>247822</v>
      </c>
      <c r="R21" s="145">
        <f>372756-26000-298749</f>
        <v>48007</v>
      </c>
      <c r="S21" s="145">
        <v>310140</v>
      </c>
      <c r="T21" s="145">
        <f>114456-44464</f>
        <v>69992</v>
      </c>
      <c r="U21" s="146">
        <f>SUM(B21:T21)</f>
        <v>6186172</v>
      </c>
      <c r="V21" s="147"/>
      <c r="W21" s="147"/>
      <c r="X21" s="147"/>
    </row>
    <row r="22" spans="1:24" s="153" customFormat="1" ht="15" customHeight="1" x14ac:dyDescent="0.2">
      <c r="A22" s="154" t="s">
        <v>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</row>
    <row r="23" spans="1:24" s="143" customFormat="1" ht="12.75" x14ac:dyDescent="0.2">
      <c r="A23" s="144" t="s">
        <v>4</v>
      </c>
      <c r="B23" s="145">
        <f>160864-8452</f>
        <v>152412</v>
      </c>
      <c r="C23" s="145">
        <f>79740-4188</f>
        <v>75552</v>
      </c>
      <c r="D23" s="145">
        <f>153412-8056</f>
        <v>145356</v>
      </c>
      <c r="E23" s="145">
        <f>218588-11476</f>
        <v>207112</v>
      </c>
      <c r="F23" s="145">
        <f>15776-828</f>
        <v>14948</v>
      </c>
      <c r="G23" s="145">
        <f>189988-9976</f>
        <v>180012</v>
      </c>
      <c r="H23" s="145">
        <f>3466904+91028</f>
        <v>3557932</v>
      </c>
      <c r="I23" s="145">
        <f>277700-14584</f>
        <v>263116</v>
      </c>
      <c r="J23" s="145">
        <f>101408-5324</f>
        <v>96084</v>
      </c>
      <c r="K23" s="145">
        <f>23228-1220</f>
        <v>22008</v>
      </c>
      <c r="L23" s="145">
        <f>40908-2148</f>
        <v>38760</v>
      </c>
      <c r="M23" s="145">
        <f>41948-2200</f>
        <v>39748</v>
      </c>
      <c r="N23" s="145">
        <f>139716-7336</f>
        <v>132380</v>
      </c>
      <c r="O23" s="145">
        <f>23576-1240</f>
        <v>22336</v>
      </c>
      <c r="P23" s="145">
        <f>44724-2348</f>
        <v>42376</v>
      </c>
      <c r="Q23" s="145">
        <f>36748-1928</f>
        <v>34820</v>
      </c>
      <c r="R23" s="145">
        <f>93088-4888</f>
        <v>88200</v>
      </c>
      <c r="S23" s="145">
        <f>71592-3760</f>
        <v>67832</v>
      </c>
      <c r="T23" s="145">
        <f>20456-1076</f>
        <v>19380</v>
      </c>
      <c r="U23" s="146">
        <f>SUM(B23:T23)</f>
        <v>5200364</v>
      </c>
      <c r="V23" s="147"/>
      <c r="W23" s="147"/>
      <c r="X23" s="147"/>
    </row>
    <row r="24" spans="1:24" s="143" customFormat="1" ht="12.75" x14ac:dyDescent="0.2">
      <c r="A24" s="144" t="s">
        <v>131</v>
      </c>
      <c r="B24" s="145">
        <f>4560+13236+4796</f>
        <v>22592</v>
      </c>
      <c r="C24" s="145">
        <v>0</v>
      </c>
      <c r="D24" s="145">
        <v>0</v>
      </c>
      <c r="E24" s="145">
        <f>12336-12336</f>
        <v>0</v>
      </c>
      <c r="F24" s="145">
        <f>1476-1476</f>
        <v>0</v>
      </c>
      <c r="G24" s="145">
        <f>56904-6650+7527</f>
        <v>57781</v>
      </c>
      <c r="H24" s="145">
        <v>0</v>
      </c>
      <c r="I24" s="145">
        <f>4200+2000</f>
        <v>6200</v>
      </c>
      <c r="J24" s="145">
        <f>1236-1236</f>
        <v>0</v>
      </c>
      <c r="K24" s="145">
        <v>7596</v>
      </c>
      <c r="L24" s="145">
        <f>45000+51000-18433</f>
        <v>77567</v>
      </c>
      <c r="M24" s="145">
        <v>0</v>
      </c>
      <c r="N24" s="145">
        <f>6912+500000+1394+32392+8353+80121</f>
        <v>629172</v>
      </c>
      <c r="O24" s="145">
        <v>0</v>
      </c>
      <c r="P24" s="145">
        <v>60</v>
      </c>
      <c r="Q24" s="145">
        <f>2328-1000</f>
        <v>1328</v>
      </c>
      <c r="R24" s="145">
        <v>0</v>
      </c>
      <c r="S24" s="145">
        <v>4200</v>
      </c>
      <c r="T24" s="145">
        <v>0</v>
      </c>
      <c r="U24" s="146">
        <f>SUM(B24:T24)</f>
        <v>806496</v>
      </c>
      <c r="V24" s="147"/>
      <c r="W24" s="147"/>
      <c r="X24" s="147"/>
    </row>
    <row r="25" spans="1:24" s="153" customFormat="1" ht="15" customHeight="1" x14ac:dyDescent="0.2">
      <c r="A25" s="154" t="s">
        <v>7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</row>
    <row r="26" spans="1:24" s="143" customFormat="1" ht="12.75" x14ac:dyDescent="0.2">
      <c r="A26" s="144" t="s">
        <v>8</v>
      </c>
      <c r="B26" s="145">
        <f>72579-10763</f>
        <v>61816</v>
      </c>
      <c r="C26" s="145">
        <f>52807-16547</f>
        <v>36260</v>
      </c>
      <c r="D26" s="145">
        <f>62348-5676</f>
        <v>56672</v>
      </c>
      <c r="E26" s="145">
        <f>88838-8090</f>
        <v>80748</v>
      </c>
      <c r="F26" s="145">
        <f>6411-583</f>
        <v>5828</v>
      </c>
      <c r="G26" s="145">
        <f>77213-7029</f>
        <v>70184</v>
      </c>
      <c r="H26" s="145">
        <f>1409000+90537-49481-128190</f>
        <v>1321866</v>
      </c>
      <c r="I26" s="145">
        <f>112861-10273</f>
        <v>102588</v>
      </c>
      <c r="J26" s="145">
        <f>41213-3753</f>
        <v>37460</v>
      </c>
      <c r="K26" s="145">
        <f>9440-860</f>
        <v>8580</v>
      </c>
      <c r="L26" s="145">
        <f>16626-1514</f>
        <v>15112</v>
      </c>
      <c r="M26" s="145">
        <f>17049-1553</f>
        <v>15496</v>
      </c>
      <c r="N26" s="145">
        <f>68783-13171</f>
        <v>55612</v>
      </c>
      <c r="O26" s="145">
        <f>9581-869</f>
        <v>8712</v>
      </c>
      <c r="P26" s="145">
        <f>18176-1652</f>
        <v>16524</v>
      </c>
      <c r="Q26" s="145">
        <f>14935-1359</f>
        <v>13576</v>
      </c>
      <c r="R26" s="145">
        <f>37832-3444</f>
        <v>34388</v>
      </c>
      <c r="S26" s="145">
        <f>29096-2648</f>
        <v>26448</v>
      </c>
      <c r="T26" s="145">
        <f>8313-753</f>
        <v>7560</v>
      </c>
      <c r="U26" s="146">
        <f>SUM(B26:T26)</f>
        <v>1975430</v>
      </c>
      <c r="V26" s="147"/>
      <c r="W26" s="147"/>
      <c r="X26" s="147"/>
    </row>
    <row r="27" spans="1:24" s="143" customFormat="1" ht="12.75" x14ac:dyDescent="0.2">
      <c r="A27" s="144" t="s">
        <v>134</v>
      </c>
      <c r="B27" s="145">
        <f>388152+80000-836</f>
        <v>467316</v>
      </c>
      <c r="C27" s="145">
        <f>251340+157026</f>
        <v>408366</v>
      </c>
      <c r="D27" s="145">
        <v>325128</v>
      </c>
      <c r="E27" s="145">
        <f>496056-100000-380000-7973</f>
        <v>8083</v>
      </c>
      <c r="F27" s="145">
        <f>126756+130000-7487</f>
        <v>249269</v>
      </c>
      <c r="G27" s="145">
        <f>574476-4630+53142+43922</f>
        <v>666910</v>
      </c>
      <c r="H27" s="145">
        <v>0</v>
      </c>
      <c r="I27" s="145">
        <f>421728+311106</f>
        <v>732834</v>
      </c>
      <c r="J27" s="145">
        <f>235584+189236+87027+49481</f>
        <v>561328</v>
      </c>
      <c r="K27" s="145">
        <f>148068+14000</f>
        <v>162068</v>
      </c>
      <c r="L27" s="145">
        <f>201240+27000+5000-4085</f>
        <v>229155</v>
      </c>
      <c r="M27" s="145">
        <f>213780+92000+194000+19000</f>
        <v>518780</v>
      </c>
      <c r="N27" s="145">
        <f>262356-7200-142800-17356-8353</f>
        <v>86647</v>
      </c>
      <c r="O27" s="145">
        <v>188232</v>
      </c>
      <c r="P27" s="145">
        <f>167028-165000-2028</f>
        <v>0</v>
      </c>
      <c r="Q27" s="145">
        <f>139980+50000+38075</f>
        <v>228055</v>
      </c>
      <c r="R27" s="145">
        <f>100704-100704</f>
        <v>0</v>
      </c>
      <c r="S27" s="145">
        <v>195240</v>
      </c>
      <c r="T27" s="145">
        <v>128112</v>
      </c>
      <c r="U27" s="146">
        <f>SUM(B27:T27)</f>
        <v>5155523</v>
      </c>
      <c r="V27" s="147"/>
      <c r="W27" s="147"/>
      <c r="X27" s="147"/>
    </row>
    <row r="28" spans="1:24" s="153" customFormat="1" ht="15" customHeight="1" x14ac:dyDescent="0.2">
      <c r="A28" s="154" t="s">
        <v>23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</row>
    <row r="29" spans="1:24" s="143" customFormat="1" ht="12.75" x14ac:dyDescent="0.2">
      <c r="A29" s="144" t="s">
        <v>12</v>
      </c>
      <c r="B29" s="145">
        <f>3170-315</f>
        <v>2855</v>
      </c>
      <c r="C29" s="145">
        <f>3170-314</f>
        <v>2856</v>
      </c>
      <c r="D29" s="145">
        <f>3170-314</f>
        <v>2856</v>
      </c>
      <c r="E29" s="145">
        <f>3170-314</f>
        <v>2856</v>
      </c>
      <c r="F29" s="145">
        <f>1297-129</f>
        <v>1168</v>
      </c>
      <c r="G29" s="145">
        <f>3170-314</f>
        <v>2856</v>
      </c>
      <c r="H29" s="145">
        <f>93302+4628</f>
        <v>97930</v>
      </c>
      <c r="I29" s="145">
        <f>3170-314</f>
        <v>2856</v>
      </c>
      <c r="J29" s="145">
        <f>3170-314</f>
        <v>2856</v>
      </c>
      <c r="K29" s="145">
        <f>1297-129</f>
        <v>1168</v>
      </c>
      <c r="L29" s="145">
        <f>2594-257</f>
        <v>2337</v>
      </c>
      <c r="M29" s="145">
        <f>2594-257</f>
        <v>2337</v>
      </c>
      <c r="N29" s="145">
        <f>3170-314</f>
        <v>2856</v>
      </c>
      <c r="O29" s="145">
        <f>1297-129</f>
        <v>1168</v>
      </c>
      <c r="P29" s="145">
        <f>2594-257</f>
        <v>2337</v>
      </c>
      <c r="Q29" s="145">
        <f>2594-257</f>
        <v>2337</v>
      </c>
      <c r="R29" s="145">
        <f>3170-314</f>
        <v>2856</v>
      </c>
      <c r="S29" s="145">
        <f>2594-257</f>
        <v>2337</v>
      </c>
      <c r="T29" s="145">
        <f>1297-129</f>
        <v>1168</v>
      </c>
      <c r="U29" s="146">
        <f>SUM(B29:T29)</f>
        <v>139990</v>
      </c>
      <c r="V29" s="147"/>
      <c r="W29" s="147"/>
      <c r="X29" s="147"/>
    </row>
    <row r="30" spans="1:24" s="143" customFormat="1" ht="12.75" x14ac:dyDescent="0.2">
      <c r="A30" s="144" t="s">
        <v>17</v>
      </c>
      <c r="B30" s="145">
        <f>256236-202842</f>
        <v>53394</v>
      </c>
      <c r="C30" s="145">
        <f>127014-100548</f>
        <v>26466</v>
      </c>
      <c r="D30" s="145">
        <f>244364-193446</f>
        <v>50918</v>
      </c>
      <c r="E30" s="145">
        <f>348184-275634</f>
        <v>72550</v>
      </c>
      <c r="F30" s="145">
        <f>25127-19891</f>
        <v>5236</v>
      </c>
      <c r="G30" s="145">
        <f>302624-239567</f>
        <v>63057</v>
      </c>
      <c r="H30" s="145">
        <f>5522346+2185831</f>
        <v>7708177</v>
      </c>
      <c r="I30" s="145">
        <f>442340-350171</f>
        <v>92169</v>
      </c>
      <c r="J30" s="145">
        <f>161529-127872</f>
        <v>33657</v>
      </c>
      <c r="K30" s="145">
        <f>37000-29291</f>
        <v>7709</v>
      </c>
      <c r="L30" s="145">
        <f>65164-51586</f>
        <v>13578</v>
      </c>
      <c r="M30" s="145">
        <f>66820-52897</f>
        <v>13923</v>
      </c>
      <c r="N30" s="145">
        <f>222550-176177</f>
        <v>46373</v>
      </c>
      <c r="O30" s="145">
        <f>37552-29727</f>
        <v>7825</v>
      </c>
      <c r="P30" s="145">
        <f>71238-56395</f>
        <v>14843</v>
      </c>
      <c r="Q30" s="145">
        <f>58537-46340</f>
        <v>12197</v>
      </c>
      <c r="R30" s="145">
        <f>148275-117379</f>
        <v>30896</v>
      </c>
      <c r="S30" s="145">
        <f>114036-90275</f>
        <v>23761</v>
      </c>
      <c r="T30" s="145">
        <f>32582-25793</f>
        <v>6789</v>
      </c>
      <c r="U30" s="146">
        <f>SUM(B30:T30)</f>
        <v>8283518</v>
      </c>
      <c r="V30" s="147"/>
      <c r="W30" s="147"/>
      <c r="X30" s="147"/>
    </row>
    <row r="31" spans="1:24" s="143" customFormat="1" ht="15" customHeight="1" x14ac:dyDescent="0.2">
      <c r="A31" s="144" t="s">
        <v>0</v>
      </c>
      <c r="B31" s="145">
        <v>0</v>
      </c>
      <c r="C31" s="145">
        <v>0</v>
      </c>
      <c r="D31" s="145">
        <v>0</v>
      </c>
      <c r="E31" s="145">
        <v>0</v>
      </c>
      <c r="F31" s="145">
        <v>0</v>
      </c>
      <c r="G31" s="145">
        <v>0</v>
      </c>
      <c r="H31" s="145">
        <v>499268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112000</v>
      </c>
      <c r="O31" s="145">
        <v>0</v>
      </c>
      <c r="P31" s="145">
        <v>0</v>
      </c>
      <c r="Q31" s="145">
        <v>0</v>
      </c>
      <c r="R31" s="145">
        <v>0</v>
      </c>
      <c r="S31" s="145">
        <v>0</v>
      </c>
      <c r="T31" s="145">
        <v>0</v>
      </c>
      <c r="U31" s="146">
        <f>SUM(B31:T31)</f>
        <v>611268</v>
      </c>
      <c r="V31" s="147"/>
      <c r="W31" s="147"/>
      <c r="X31" s="147"/>
    </row>
    <row r="32" spans="1:24" s="143" customFormat="1" ht="12.75" x14ac:dyDescent="0.2">
      <c r="A32" s="144" t="s">
        <v>25</v>
      </c>
      <c r="B32" s="145">
        <f>132747+2+1+1+1</f>
        <v>132752</v>
      </c>
      <c r="C32" s="145">
        <v>65800</v>
      </c>
      <c r="D32" s="145">
        <f>126594-2</f>
        <v>126592</v>
      </c>
      <c r="E32" s="145">
        <f>180378+1+1</f>
        <v>180380</v>
      </c>
      <c r="F32" s="145">
        <f>13017-1</f>
        <v>13016</v>
      </c>
      <c r="G32" s="145">
        <v>156776</v>
      </c>
      <c r="H32" s="145">
        <v>2860880</v>
      </c>
      <c r="I32" s="145">
        <v>229156</v>
      </c>
      <c r="J32" s="145">
        <f>83681-1</f>
        <v>83680</v>
      </c>
      <c r="K32" s="145">
        <v>19168</v>
      </c>
      <c r="L32" s="145">
        <f>33758+2</f>
        <v>33760</v>
      </c>
      <c r="M32" s="145">
        <f>34617-1</f>
        <v>34616</v>
      </c>
      <c r="N32" s="145">
        <f>115293-1</f>
        <v>115292</v>
      </c>
      <c r="O32" s="145">
        <f>19454-2</f>
        <v>19452</v>
      </c>
      <c r="P32" s="145">
        <f>36905-1</f>
        <v>36904</v>
      </c>
      <c r="Q32" s="145">
        <f>30325-1</f>
        <v>30324</v>
      </c>
      <c r="R32" s="145">
        <f>76815+1</f>
        <v>76816</v>
      </c>
      <c r="S32" s="145">
        <f>59077-1</f>
        <v>59076</v>
      </c>
      <c r="T32" s="145">
        <f>16879+1</f>
        <v>16880</v>
      </c>
      <c r="U32" s="146">
        <f>SUM(B32:T32)</f>
        <v>4291320</v>
      </c>
      <c r="V32" s="147"/>
      <c r="W32" s="147"/>
      <c r="X32" s="147"/>
    </row>
    <row r="33" spans="1:24" s="153" customFormat="1" ht="15" customHeight="1" x14ac:dyDescent="0.2">
      <c r="A33" s="154" t="s">
        <v>24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</row>
    <row r="34" spans="1:24" s="143" customFormat="1" ht="12.75" x14ac:dyDescent="0.2">
      <c r="A34" s="144" t="s">
        <v>12</v>
      </c>
      <c r="B34" s="145">
        <f>3170-1816</f>
        <v>1354</v>
      </c>
      <c r="C34" s="145">
        <f>3170-1817</f>
        <v>1353</v>
      </c>
      <c r="D34" s="145">
        <f>3170-1817</f>
        <v>1353</v>
      </c>
      <c r="E34" s="145">
        <f>3170-1817</f>
        <v>1353</v>
      </c>
      <c r="F34" s="145">
        <f>1297-743</f>
        <v>554</v>
      </c>
      <c r="G34" s="145">
        <f>3170-1817</f>
        <v>1353</v>
      </c>
      <c r="H34" s="145">
        <f>93312+26759</f>
        <v>120071</v>
      </c>
      <c r="I34" s="145">
        <f>3170-1817</f>
        <v>1353</v>
      </c>
      <c r="J34" s="145">
        <f>3170-1817</f>
        <v>1353</v>
      </c>
      <c r="K34" s="145">
        <f>1297-743</f>
        <v>554</v>
      </c>
      <c r="L34" s="145">
        <f>2594-1487</f>
        <v>1107</v>
      </c>
      <c r="M34" s="145">
        <f>2594-1487</f>
        <v>1107</v>
      </c>
      <c r="N34" s="145">
        <f>3170-1817</f>
        <v>1353</v>
      </c>
      <c r="O34" s="145">
        <f>1297-743</f>
        <v>554</v>
      </c>
      <c r="P34" s="145">
        <f>2594-1487</f>
        <v>1107</v>
      </c>
      <c r="Q34" s="145">
        <f>2594-1487</f>
        <v>1107</v>
      </c>
      <c r="R34" s="145">
        <f>3170-1817</f>
        <v>1353</v>
      </c>
      <c r="S34" s="145">
        <f>2594-1487</f>
        <v>1107</v>
      </c>
      <c r="T34" s="145">
        <f>1297-743</f>
        <v>554</v>
      </c>
      <c r="U34" s="146">
        <f t="shared" ref="U34:U39" si="0">SUM(B34:T34)</f>
        <v>140000</v>
      </c>
      <c r="V34" s="147"/>
      <c r="W34" s="147"/>
      <c r="X34" s="147"/>
    </row>
    <row r="35" spans="1:24" s="143" customFormat="1" ht="15" customHeight="1" x14ac:dyDescent="0.2">
      <c r="A35" s="144" t="s">
        <v>0</v>
      </c>
      <c r="B35" s="145">
        <v>0</v>
      </c>
      <c r="C35" s="145">
        <v>0</v>
      </c>
      <c r="D35" s="145">
        <v>0</v>
      </c>
      <c r="E35" s="145">
        <v>0</v>
      </c>
      <c r="F35" s="145">
        <v>0</v>
      </c>
      <c r="G35" s="145">
        <v>0</v>
      </c>
      <c r="H35" s="145">
        <v>170000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40000</v>
      </c>
      <c r="O35" s="145">
        <v>0</v>
      </c>
      <c r="P35" s="145">
        <v>0</v>
      </c>
      <c r="Q35" s="145">
        <v>0</v>
      </c>
      <c r="R35" s="145">
        <v>0</v>
      </c>
      <c r="S35" s="145">
        <v>0</v>
      </c>
      <c r="T35" s="145">
        <v>0</v>
      </c>
      <c r="U35" s="146">
        <f t="shared" si="0"/>
        <v>210000</v>
      </c>
      <c r="V35" s="147"/>
      <c r="W35" s="147"/>
      <c r="X35" s="147"/>
    </row>
    <row r="36" spans="1:24" s="143" customFormat="1" ht="12.75" x14ac:dyDescent="0.2">
      <c r="A36" s="144" t="s">
        <v>17</v>
      </c>
      <c r="B36" s="145">
        <f>7734-7734</f>
        <v>0</v>
      </c>
      <c r="C36" s="145">
        <f>3833-3833</f>
        <v>0</v>
      </c>
      <c r="D36" s="145">
        <f>7375-7375</f>
        <v>0</v>
      </c>
      <c r="E36" s="145">
        <f>10509-10509</f>
        <v>0</v>
      </c>
      <c r="F36" s="145">
        <f>758-758</f>
        <v>0</v>
      </c>
      <c r="G36" s="145">
        <f>9134-9134</f>
        <v>0</v>
      </c>
      <c r="H36" s="145">
        <f>166672+83336</f>
        <v>250008</v>
      </c>
      <c r="I36" s="145">
        <f>13350-13350</f>
        <v>0</v>
      </c>
      <c r="J36" s="145">
        <f>4875-4875</f>
        <v>0</v>
      </c>
      <c r="K36" s="145">
        <f>1117-1117</f>
        <v>0</v>
      </c>
      <c r="L36" s="145">
        <f>1967-1967</f>
        <v>0</v>
      </c>
      <c r="M36" s="145">
        <f>2017-2017</f>
        <v>0</v>
      </c>
      <c r="N36" s="145">
        <f>6717-6717</f>
        <v>0</v>
      </c>
      <c r="O36" s="145">
        <f>1133-1133</f>
        <v>0</v>
      </c>
      <c r="P36" s="145">
        <f>2150-2150</f>
        <v>0</v>
      </c>
      <c r="Q36" s="145">
        <f>1767-1767</f>
        <v>0</v>
      </c>
      <c r="R36" s="145">
        <f>4475-4475</f>
        <v>0</v>
      </c>
      <c r="S36" s="145">
        <f>3442-3442</f>
        <v>0</v>
      </c>
      <c r="T36" s="145">
        <f>983-983</f>
        <v>0</v>
      </c>
      <c r="U36" s="146">
        <f t="shared" si="0"/>
        <v>250008</v>
      </c>
      <c r="V36" s="147"/>
      <c r="W36" s="147"/>
      <c r="X36" s="147"/>
    </row>
    <row r="37" spans="1:24" s="143" customFormat="1" ht="12.75" x14ac:dyDescent="0.2">
      <c r="A37" s="144" t="s">
        <v>2</v>
      </c>
      <c r="B37" s="145">
        <f>31690+2</f>
        <v>31692</v>
      </c>
      <c r="C37" s="145">
        <v>15708</v>
      </c>
      <c r="D37" s="145">
        <f>30222-2</f>
        <v>30220</v>
      </c>
      <c r="E37" s="145">
        <f>43062-2</f>
        <v>43060</v>
      </c>
      <c r="F37" s="145">
        <v>3108</v>
      </c>
      <c r="G37" s="145">
        <f>37427+1</f>
        <v>37428</v>
      </c>
      <c r="H37" s="145">
        <v>682977</v>
      </c>
      <c r="I37" s="145">
        <f>54706+2</f>
        <v>54708</v>
      </c>
      <c r="J37" s="145">
        <f>19977-1</f>
        <v>19976</v>
      </c>
      <c r="K37" s="145">
        <v>4576</v>
      </c>
      <c r="L37" s="145">
        <f>8059+1</f>
        <v>8060</v>
      </c>
      <c r="M37" s="145">
        <v>8264</v>
      </c>
      <c r="N37" s="145">
        <v>27524</v>
      </c>
      <c r="O37" s="145">
        <v>4644</v>
      </c>
      <c r="P37" s="145">
        <f>8810+1+1</f>
        <v>8812</v>
      </c>
      <c r="Q37" s="145">
        <v>7240</v>
      </c>
      <c r="R37" s="145">
        <f>18338-1-1</f>
        <v>18336</v>
      </c>
      <c r="S37" s="145">
        <f>14103+1</f>
        <v>14104</v>
      </c>
      <c r="T37" s="145">
        <f>4030-1-1</f>
        <v>4028</v>
      </c>
      <c r="U37" s="146">
        <f t="shared" si="0"/>
        <v>1024465</v>
      </c>
      <c r="V37" s="147"/>
      <c r="W37" s="147"/>
      <c r="X37" s="147"/>
    </row>
    <row r="38" spans="1:24" s="143" customFormat="1" ht="15" customHeight="1" x14ac:dyDescent="0.2">
      <c r="A38" s="144" t="s">
        <v>6</v>
      </c>
      <c r="B38" s="145">
        <v>0</v>
      </c>
      <c r="C38" s="145">
        <v>0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5">
        <v>0</v>
      </c>
      <c r="U38" s="146">
        <f t="shared" si="0"/>
        <v>0</v>
      </c>
      <c r="V38" s="147"/>
      <c r="W38" s="147"/>
      <c r="X38" s="147"/>
    </row>
    <row r="39" spans="1:24" s="143" customFormat="1" ht="15" customHeight="1" x14ac:dyDescent="0.2">
      <c r="A39" s="144" t="s">
        <v>7</v>
      </c>
      <c r="B39" s="145">
        <f>7176+2+2+2+2</f>
        <v>7184</v>
      </c>
      <c r="C39" s="145">
        <f>3558-2</f>
        <v>3556</v>
      </c>
      <c r="D39" s="145">
        <f>6846-2</f>
        <v>6844</v>
      </c>
      <c r="E39" s="145">
        <f>9754-2</f>
        <v>9752</v>
      </c>
      <c r="F39" s="145">
        <v>704</v>
      </c>
      <c r="G39" s="145">
        <f>8478-2</f>
        <v>8476</v>
      </c>
      <c r="H39" s="145">
        <v>154673</v>
      </c>
      <c r="I39" s="145">
        <v>12392</v>
      </c>
      <c r="J39" s="145">
        <v>4525</v>
      </c>
      <c r="K39" s="145">
        <v>1037</v>
      </c>
      <c r="L39" s="145">
        <v>1825</v>
      </c>
      <c r="M39" s="145">
        <v>1872</v>
      </c>
      <c r="N39" s="145">
        <v>6234</v>
      </c>
      <c r="O39" s="145">
        <v>1052</v>
      </c>
      <c r="P39" s="145">
        <v>1996</v>
      </c>
      <c r="Q39" s="145">
        <v>1640</v>
      </c>
      <c r="R39" s="145">
        <v>4154</v>
      </c>
      <c r="S39" s="145">
        <v>3195</v>
      </c>
      <c r="T39" s="145">
        <v>913</v>
      </c>
      <c r="U39" s="146">
        <f t="shared" si="0"/>
        <v>232024</v>
      </c>
      <c r="V39" s="147"/>
      <c r="W39" s="147"/>
      <c r="X39" s="147"/>
    </row>
    <row r="40" spans="1:24" s="143" customFormat="1" ht="15" customHeight="1" x14ac:dyDescent="0.2">
      <c r="A40" s="156" t="s">
        <v>19</v>
      </c>
      <c r="B40" s="157">
        <f>SUM(B5:B39)</f>
        <v>5660670</v>
      </c>
      <c r="C40" s="157">
        <f>SUM(C5:C39)</f>
        <v>2852690</v>
      </c>
      <c r="D40" s="157">
        <f>SUM(D5:D39)</f>
        <v>4870027</v>
      </c>
      <c r="E40" s="157">
        <f t="shared" ref="E40:H40" si="1">SUM(E5:E39)</f>
        <v>7067536</v>
      </c>
      <c r="F40" s="157">
        <f t="shared" si="1"/>
        <v>1043007</v>
      </c>
      <c r="G40" s="157">
        <f t="shared" si="1"/>
        <v>5734150</v>
      </c>
      <c r="H40" s="157">
        <f t="shared" si="1"/>
        <v>53266760</v>
      </c>
      <c r="I40" s="157">
        <f t="shared" ref="I40" si="2">SUM(I5:I39)</f>
        <v>6654534</v>
      </c>
      <c r="J40" s="157">
        <f t="shared" ref="J40" si="3">SUM(J5:J39)</f>
        <v>3034362</v>
      </c>
      <c r="K40" s="157">
        <f t="shared" ref="K40" si="4">SUM(K5:K39)</f>
        <v>1128074</v>
      </c>
      <c r="L40" s="157">
        <f t="shared" ref="L40" si="5">SUM(L5:L39)</f>
        <v>1466894</v>
      </c>
      <c r="M40" s="157">
        <f t="shared" ref="M40" si="6">SUM(M5:M39)</f>
        <v>1623679</v>
      </c>
      <c r="N40" s="157">
        <f t="shared" ref="N40" si="7">SUM(N5:N39)</f>
        <v>5482010</v>
      </c>
      <c r="O40" s="157">
        <f t="shared" ref="O40" si="8">SUM(O5:O39)</f>
        <v>1244472</v>
      </c>
      <c r="P40" s="157">
        <f t="shared" ref="P40" si="9">SUM(P5:P39)</f>
        <v>1490544</v>
      </c>
      <c r="Q40" s="157">
        <f t="shared" ref="Q40" si="10">SUM(Q5:Q39)</f>
        <v>1497560</v>
      </c>
      <c r="R40" s="157">
        <f t="shared" ref="R40" si="11">SUM(R5:R39)</f>
        <v>2386958</v>
      </c>
      <c r="S40" s="157">
        <f t="shared" ref="S40:T40" si="12">SUM(S5:S39)</f>
        <v>2559157</v>
      </c>
      <c r="T40" s="157">
        <f t="shared" si="12"/>
        <v>1034078</v>
      </c>
      <c r="U40" s="157">
        <f t="shared" ref="U40" si="13">SUM(U5:U39)</f>
        <v>110097162</v>
      </c>
      <c r="V40" s="147"/>
      <c r="W40" s="147"/>
      <c r="X40" s="147"/>
    </row>
    <row r="41" spans="1:24" s="131" customFormat="1" ht="14.45" customHeight="1" x14ac:dyDescent="0.2">
      <c r="A41" s="136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</row>
    <row r="42" spans="1:24" s="131" customFormat="1" ht="14.45" customHeight="1" x14ac:dyDescent="0.2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</row>
    <row r="43" spans="1:24" s="131" customFormat="1" ht="14.45" customHeight="1" x14ac:dyDescent="0.2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</row>
    <row r="45" spans="1:24" ht="14.45" customHeight="1" x14ac:dyDescent="0.2">
      <c r="A45" s="159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</row>
    <row r="47" spans="1:24" ht="14.45" customHeight="1" x14ac:dyDescent="0.2">
      <c r="A47" s="159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</row>
    <row r="49" spans="1:21" ht="14.45" customHeight="1" x14ac:dyDescent="0.2">
      <c r="A49" s="159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</row>
    <row r="52" spans="1:21" ht="14.45" customHeight="1" x14ac:dyDescent="0.2">
      <c r="A52" s="162"/>
      <c r="U52" s="160"/>
    </row>
    <row r="53" spans="1:21" ht="14.45" customHeight="1" x14ac:dyDescent="0.2">
      <c r="A53" s="162"/>
      <c r="U53" s="160"/>
    </row>
    <row r="54" spans="1:21" ht="14.45" customHeight="1" x14ac:dyDescent="0.2">
      <c r="A54" s="162"/>
      <c r="U54" s="160"/>
    </row>
    <row r="55" spans="1:21" ht="14.45" customHeight="1" x14ac:dyDescent="0.2">
      <c r="A55" s="162"/>
      <c r="U55" s="160"/>
    </row>
    <row r="56" spans="1:21" ht="14.45" customHeight="1" x14ac:dyDescent="0.2">
      <c r="A56" s="162"/>
      <c r="U56" s="130"/>
    </row>
    <row r="57" spans="1:21" ht="14.45" customHeight="1" x14ac:dyDescent="0.2">
      <c r="A57" s="162"/>
      <c r="U57" s="160"/>
    </row>
    <row r="58" spans="1:21" ht="14.45" customHeight="1" x14ac:dyDescent="0.2">
      <c r="A58" s="162"/>
      <c r="U58" s="160"/>
    </row>
    <row r="59" spans="1:21" ht="14.45" customHeight="1" x14ac:dyDescent="0.2">
      <c r="A59" s="162"/>
      <c r="U59" s="160"/>
    </row>
    <row r="60" spans="1:21" ht="14.45" customHeight="1" x14ac:dyDescent="0.2">
      <c r="A60" s="162"/>
      <c r="U60" s="160"/>
    </row>
    <row r="61" spans="1:21" ht="14.45" customHeight="1" x14ac:dyDescent="0.2">
      <c r="A61" s="162"/>
      <c r="U61" s="130"/>
    </row>
    <row r="62" spans="1:21" ht="14.45" customHeight="1" x14ac:dyDescent="0.2">
      <c r="A62" s="162"/>
      <c r="U62" s="130"/>
    </row>
    <row r="63" spans="1:21" ht="14.45" customHeight="1" x14ac:dyDescent="0.2">
      <c r="U63" s="130"/>
    </row>
    <row r="64" spans="1:21" ht="14.45" customHeight="1" x14ac:dyDescent="0.2">
      <c r="U64" s="130"/>
    </row>
    <row r="65" spans="21:21" ht="14.45" customHeight="1" x14ac:dyDescent="0.2">
      <c r="U65" s="130"/>
    </row>
    <row r="66" spans="21:21" ht="14.45" customHeight="1" x14ac:dyDescent="0.2">
      <c r="U66" s="130"/>
    </row>
    <row r="67" spans="21:21" ht="14.45" customHeight="1" x14ac:dyDescent="0.2">
      <c r="U67" s="130"/>
    </row>
    <row r="68" spans="21:21" ht="14.45" customHeight="1" x14ac:dyDescent="0.2">
      <c r="U68" s="130"/>
    </row>
    <row r="69" spans="21:21" ht="14.45" customHeight="1" x14ac:dyDescent="0.2">
      <c r="U69" s="130"/>
    </row>
  </sheetData>
  <printOptions horizontalCentered="1"/>
  <pageMargins left="0.25" right="0.25" top="1" bottom="1" header="0.5" footer="0.5"/>
  <pageSetup paperSize="5" scale="59" fitToWidth="2" fitToHeight="2" orientation="landscape" r:id="rId1"/>
  <headerFooter alignWithMargins="0">
    <oddHeader>&amp;C&amp;F
&amp;A</oddHeader>
    <oddFooter>&amp;L8/20/2020&amp;RPage &amp;P of &amp;N</oddFooter>
  </headerFooter>
  <colBreaks count="1" manualBreakCount="1">
    <brk id="12" min="2" max="3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0F74E-78BA-4A61-8C84-18C223BBA0F0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81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667369</v>
      </c>
      <c r="C6" s="145">
        <f>SUM(B6:B6)</f>
        <v>667369</v>
      </c>
      <c r="D6" s="142"/>
      <c r="E6" s="145">
        <v>667369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222662</v>
      </c>
      <c r="C10" s="145">
        <f>SUM(B10:B10)</f>
        <v>222662</v>
      </c>
      <c r="D10" s="142"/>
      <c r="E10" s="145">
        <v>222662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1220</v>
      </c>
      <c r="C14" s="145">
        <f>SUM(B14:B14)</f>
        <v>1220</v>
      </c>
      <c r="D14" s="142"/>
      <c r="E14" s="145">
        <v>2000</v>
      </c>
      <c r="F14" s="145">
        <f t="shared" ref="F14:F15" si="2">C14-E14</f>
        <v>-780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650486</v>
      </c>
      <c r="C17" s="145">
        <f>SUM(B17:B17)</f>
        <v>650486</v>
      </c>
      <c r="D17" s="142"/>
      <c r="E17" s="145">
        <v>598803</v>
      </c>
      <c r="F17" s="145">
        <f t="shared" ref="F17:F18" si="3">C17-E17</f>
        <v>51683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347808</v>
      </c>
      <c r="C18" s="145">
        <f>SUM(B18:B18)</f>
        <v>347808</v>
      </c>
      <c r="D18" s="142"/>
      <c r="E18" s="145">
        <v>354150</v>
      </c>
      <c r="F18" s="145">
        <f t="shared" si="3"/>
        <v>-6342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29297</v>
      </c>
      <c r="C20" s="145">
        <f>SUM(B20:B20)</f>
        <v>29297</v>
      </c>
      <c r="D20" s="142"/>
      <c r="E20" s="145">
        <v>29297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231991</v>
      </c>
      <c r="C21" s="145">
        <f>SUM(B21:B21)</f>
        <v>231991</v>
      </c>
      <c r="D21" s="142"/>
      <c r="E21" s="145">
        <v>276552</v>
      </c>
      <c r="F21" s="145">
        <f t="shared" si="4"/>
        <v>-44561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96084</v>
      </c>
      <c r="C23" s="145">
        <f>SUM(B23:B23)</f>
        <v>96084</v>
      </c>
      <c r="D23" s="142"/>
      <c r="E23" s="145">
        <v>96084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37460</v>
      </c>
      <c r="C26" s="145">
        <f>SUM(B26:B26)</f>
        <v>37460</v>
      </c>
      <c r="D26" s="142"/>
      <c r="E26" s="145">
        <v>37460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561328</v>
      </c>
      <c r="C27" s="145">
        <f>SUM(B27:B27)</f>
        <v>561328</v>
      </c>
      <c r="D27" s="142"/>
      <c r="E27" s="145">
        <v>561328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33657</v>
      </c>
      <c r="C30" s="145">
        <f>SUM(B30:B30)</f>
        <v>33657</v>
      </c>
      <c r="D30" s="142"/>
      <c r="E30" s="145">
        <v>33657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83680</v>
      </c>
      <c r="C32" s="145">
        <f>SUM(B32:B32)</f>
        <v>83680</v>
      </c>
      <c r="D32" s="142"/>
      <c r="E32" s="145">
        <v>83680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19976</v>
      </c>
      <c r="C37" s="145">
        <f t="shared" si="8"/>
        <v>19976</v>
      </c>
      <c r="D37" s="142"/>
      <c r="E37" s="145">
        <v>19976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4525</v>
      </c>
      <c r="C39" s="145">
        <f t="shared" si="8"/>
        <v>4525</v>
      </c>
      <c r="D39" s="142"/>
      <c r="E39" s="145">
        <v>4525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3034362</v>
      </c>
      <c r="C40" s="157">
        <f t="shared" si="10"/>
        <v>3034362</v>
      </c>
      <c r="D40" s="152"/>
      <c r="E40" s="157">
        <f t="shared" ref="E40:F40" si="11">SUM(E5:E39)</f>
        <v>3034362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69F29-41AD-4AAA-A1FA-B17B70EA134A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87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475767</v>
      </c>
      <c r="C6" s="145">
        <f>SUM(B6:B6)</f>
        <v>475767</v>
      </c>
      <c r="D6" s="142"/>
      <c r="E6" s="145">
        <v>480516</v>
      </c>
      <c r="F6" s="145">
        <f>C6-E6</f>
        <v>-4749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17431</v>
      </c>
      <c r="C8" s="145">
        <f>SUM(B8:B8)</f>
        <v>17431</v>
      </c>
      <c r="D8" s="142"/>
      <c r="E8" s="145">
        <v>17431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51003</v>
      </c>
      <c r="C10" s="145">
        <f>SUM(B10:B10)</f>
        <v>51003</v>
      </c>
      <c r="D10" s="142"/>
      <c r="E10" s="145">
        <v>51003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14505</v>
      </c>
      <c r="C14" s="145">
        <f>SUM(B14:B14)</f>
        <v>14505</v>
      </c>
      <c r="D14" s="142"/>
      <c r="E14" s="145">
        <v>16000</v>
      </c>
      <c r="F14" s="145">
        <f t="shared" ref="F14:F15" si="2">C14-E14</f>
        <v>-1495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137161</v>
      </c>
      <c r="C17" s="145">
        <f>SUM(B17:B17)</f>
        <v>137161</v>
      </c>
      <c r="D17" s="142"/>
      <c r="E17" s="145">
        <v>137161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64584</v>
      </c>
      <c r="C18" s="145">
        <f>SUM(B18:B18)</f>
        <v>64584</v>
      </c>
      <c r="D18" s="142"/>
      <c r="E18" s="145">
        <v>78390</v>
      </c>
      <c r="F18" s="145">
        <f t="shared" si="3"/>
        <v>-13806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6710</v>
      </c>
      <c r="C20" s="145">
        <f>SUM(B20:B20)</f>
        <v>6710</v>
      </c>
      <c r="D20" s="142"/>
      <c r="E20" s="145">
        <v>6710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126449</v>
      </c>
      <c r="C21" s="145">
        <f>SUM(B21:B21)</f>
        <v>126449</v>
      </c>
      <c r="D21" s="142"/>
      <c r="E21" s="145">
        <v>135312</v>
      </c>
      <c r="F21" s="145">
        <f t="shared" si="4"/>
        <v>-8863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22008</v>
      </c>
      <c r="C23" s="145">
        <f>SUM(B23:B23)</f>
        <v>22008</v>
      </c>
      <c r="D23" s="142"/>
      <c r="E23" s="145">
        <v>22008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7596</v>
      </c>
      <c r="C24" s="145">
        <f>SUM(B24:B24)</f>
        <v>7596</v>
      </c>
      <c r="D24" s="142"/>
      <c r="E24" s="145">
        <v>7596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8580</v>
      </c>
      <c r="C26" s="145">
        <f>SUM(B26:B26)</f>
        <v>8580</v>
      </c>
      <c r="D26" s="142"/>
      <c r="E26" s="145">
        <v>8580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162068</v>
      </c>
      <c r="C27" s="145">
        <f>SUM(B27:B27)</f>
        <v>162068</v>
      </c>
      <c r="D27" s="142"/>
      <c r="E27" s="145">
        <v>162068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1168</v>
      </c>
      <c r="C29" s="145">
        <f>SUM(B29:B29)</f>
        <v>1168</v>
      </c>
      <c r="D29" s="142"/>
      <c r="E29" s="145">
        <v>1168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7709</v>
      </c>
      <c r="C30" s="145">
        <f>SUM(B30:B30)</f>
        <v>7709</v>
      </c>
      <c r="D30" s="142"/>
      <c r="E30" s="145">
        <v>7709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19168</v>
      </c>
      <c r="C32" s="145">
        <f>SUM(B32:B32)</f>
        <v>19168</v>
      </c>
      <c r="D32" s="142"/>
      <c r="E32" s="145">
        <v>19168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554</v>
      </c>
      <c r="C34" s="145">
        <f t="shared" ref="C34:C39" si="8">SUM(B34:B34)</f>
        <v>554</v>
      </c>
      <c r="D34" s="142"/>
      <c r="E34" s="145">
        <v>554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4576</v>
      </c>
      <c r="C37" s="145">
        <f t="shared" si="8"/>
        <v>4576</v>
      </c>
      <c r="D37" s="142"/>
      <c r="E37" s="145">
        <v>4576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1037</v>
      </c>
      <c r="C39" s="145">
        <f t="shared" si="8"/>
        <v>1037</v>
      </c>
      <c r="D39" s="142"/>
      <c r="E39" s="145">
        <v>1037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1128074</v>
      </c>
      <c r="C40" s="157">
        <f t="shared" si="10"/>
        <v>1128074</v>
      </c>
      <c r="D40" s="152"/>
      <c r="E40" s="157">
        <f t="shared" ref="E40:F40" si="11">SUM(E5:E39)</f>
        <v>1156987</v>
      </c>
      <c r="F40" s="157">
        <f t="shared" si="11"/>
        <v>-28913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4B6A2-0A32-45A2-B3DE-2390A325D422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80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469502</v>
      </c>
      <c r="C6" s="145">
        <f>SUM(B6:B6)</f>
        <v>469502</v>
      </c>
      <c r="D6" s="142"/>
      <c r="E6" s="145">
        <v>431650</v>
      </c>
      <c r="F6" s="145">
        <f>C6-E6</f>
        <v>37852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34863</v>
      </c>
      <c r="C8" s="145">
        <f>SUM(B8:B8)</f>
        <v>34863</v>
      </c>
      <c r="D8" s="142"/>
      <c r="E8" s="145">
        <v>34863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89825</v>
      </c>
      <c r="C10" s="145">
        <f>SUM(B10:B10)</f>
        <v>89825</v>
      </c>
      <c r="D10" s="142"/>
      <c r="E10" s="145">
        <v>89825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1423</v>
      </c>
      <c r="C14" s="145">
        <f>SUM(B14:B14)</f>
        <v>1423</v>
      </c>
      <c r="D14" s="142"/>
      <c r="E14" s="145">
        <v>5923</v>
      </c>
      <c r="F14" s="145">
        <f t="shared" ref="F14:F15" si="2">C14-E14</f>
        <v>-4500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285645</v>
      </c>
      <c r="C17" s="145">
        <f>SUM(B17:B17)</f>
        <v>285645</v>
      </c>
      <c r="D17" s="142"/>
      <c r="E17" s="145">
        <v>285645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120831</v>
      </c>
      <c r="C18" s="145">
        <f>SUM(B18:B18)</f>
        <v>120831</v>
      </c>
      <c r="D18" s="142"/>
      <c r="E18" s="145">
        <v>157038</v>
      </c>
      <c r="F18" s="145">
        <f t="shared" si="3"/>
        <v>-36207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11817</v>
      </c>
      <c r="C20" s="145">
        <f>SUM(B20:B20)</f>
        <v>11817</v>
      </c>
      <c r="D20" s="142"/>
      <c r="E20" s="145">
        <v>11817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31727</v>
      </c>
      <c r="C21" s="145">
        <f>SUM(B21:B21)</f>
        <v>31727</v>
      </c>
      <c r="D21" s="142"/>
      <c r="E21" s="145">
        <v>30408</v>
      </c>
      <c r="F21" s="145">
        <f t="shared" si="4"/>
        <v>1319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38760</v>
      </c>
      <c r="C23" s="145">
        <f>SUM(B23:B23)</f>
        <v>38760</v>
      </c>
      <c r="D23" s="142"/>
      <c r="E23" s="145">
        <v>38760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77567</v>
      </c>
      <c r="C24" s="145">
        <f>SUM(B24:B24)</f>
        <v>77567</v>
      </c>
      <c r="D24" s="142"/>
      <c r="E24" s="145">
        <v>96000</v>
      </c>
      <c r="F24" s="145">
        <f t="shared" si="5"/>
        <v>-18433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15112</v>
      </c>
      <c r="C26" s="145">
        <f>SUM(B26:B26)</f>
        <v>15112</v>
      </c>
      <c r="D26" s="142"/>
      <c r="E26" s="145">
        <v>15112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229155</v>
      </c>
      <c r="C27" s="145">
        <f>SUM(B27:B27)</f>
        <v>229155</v>
      </c>
      <c r="D27" s="142"/>
      <c r="E27" s="145">
        <v>233240</v>
      </c>
      <c r="F27" s="145">
        <f t="shared" si="6"/>
        <v>-4085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2337</v>
      </c>
      <c r="C29" s="145">
        <f>SUM(B29:B29)</f>
        <v>2337</v>
      </c>
      <c r="D29" s="142"/>
      <c r="E29" s="145">
        <v>2337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13578</v>
      </c>
      <c r="C30" s="145">
        <f>SUM(B30:B30)</f>
        <v>13578</v>
      </c>
      <c r="D30" s="142"/>
      <c r="E30" s="145">
        <v>13578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33760</v>
      </c>
      <c r="C32" s="145">
        <f>SUM(B32:B32)</f>
        <v>33760</v>
      </c>
      <c r="D32" s="142"/>
      <c r="E32" s="145">
        <v>33760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1107</v>
      </c>
      <c r="C34" s="145">
        <f t="shared" ref="C34:C39" si="8">SUM(B34:B34)</f>
        <v>1107</v>
      </c>
      <c r="D34" s="142"/>
      <c r="E34" s="145">
        <v>1107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8060</v>
      </c>
      <c r="C37" s="145">
        <f t="shared" si="8"/>
        <v>8060</v>
      </c>
      <c r="D37" s="142"/>
      <c r="E37" s="145">
        <v>8060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1825</v>
      </c>
      <c r="C39" s="145">
        <f t="shared" si="8"/>
        <v>1825</v>
      </c>
      <c r="D39" s="142"/>
      <c r="E39" s="145">
        <v>1825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1466894</v>
      </c>
      <c r="C40" s="157">
        <f t="shared" si="10"/>
        <v>1466894</v>
      </c>
      <c r="D40" s="152"/>
      <c r="E40" s="157">
        <f t="shared" ref="E40:F40" si="11">SUM(E5:E39)</f>
        <v>1490948</v>
      </c>
      <c r="F40" s="157">
        <f t="shared" si="11"/>
        <v>-24054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3CE7-989B-43FB-955B-6F56354D3285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85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384076</v>
      </c>
      <c r="C6" s="145">
        <f>SUM(B6:B6)</f>
        <v>384076</v>
      </c>
      <c r="D6" s="142"/>
      <c r="E6" s="145">
        <v>431650</v>
      </c>
      <c r="F6" s="145">
        <f>C6-E6</f>
        <v>-47574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34863</v>
      </c>
      <c r="C8" s="145">
        <f>SUM(B8:B8)</f>
        <v>34863</v>
      </c>
      <c r="D8" s="142"/>
      <c r="E8" s="145">
        <v>34863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92109</v>
      </c>
      <c r="C10" s="145">
        <f>SUM(B10:B10)</f>
        <v>92109</v>
      </c>
      <c r="D10" s="142"/>
      <c r="E10" s="145">
        <v>92109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7319</v>
      </c>
      <c r="C14" s="145">
        <f>SUM(B14:B14)</f>
        <v>7319</v>
      </c>
      <c r="D14" s="142"/>
      <c r="E14" s="145">
        <v>17000</v>
      </c>
      <c r="F14" s="145">
        <f t="shared" ref="F14:F15" si="2">C14-E14</f>
        <v>-9681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247710</v>
      </c>
      <c r="C17" s="145">
        <f>SUM(B17:B17)</f>
        <v>247710</v>
      </c>
      <c r="D17" s="142"/>
      <c r="E17" s="145">
        <v>247710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156187</v>
      </c>
      <c r="C18" s="145">
        <f>SUM(B18:B18)</f>
        <v>156187</v>
      </c>
      <c r="D18" s="142"/>
      <c r="E18" s="145">
        <v>156187</v>
      </c>
      <c r="F18" s="145">
        <f t="shared" si="3"/>
        <v>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12120</v>
      </c>
      <c r="C20" s="145">
        <f>SUM(B20:B20)</f>
        <v>12120</v>
      </c>
      <c r="D20" s="142"/>
      <c r="E20" s="145">
        <v>12120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53152</v>
      </c>
      <c r="C21" s="145">
        <f>SUM(B21:B21)</f>
        <v>53152</v>
      </c>
      <c r="D21" s="142"/>
      <c r="E21" s="145">
        <v>53152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39748</v>
      </c>
      <c r="C23" s="145">
        <f>SUM(B23:B23)</f>
        <v>39748</v>
      </c>
      <c r="D23" s="142"/>
      <c r="E23" s="145">
        <v>39748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15496</v>
      </c>
      <c r="C26" s="145">
        <f>SUM(B26:B26)</f>
        <v>15496</v>
      </c>
      <c r="D26" s="142"/>
      <c r="E26" s="145">
        <v>15496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518780</v>
      </c>
      <c r="C27" s="145">
        <f>SUM(B27:B27)</f>
        <v>518780</v>
      </c>
      <c r="D27" s="142"/>
      <c r="E27" s="145">
        <v>518780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2337</v>
      </c>
      <c r="C29" s="145">
        <f>SUM(B29:B29)</f>
        <v>2337</v>
      </c>
      <c r="D29" s="142"/>
      <c r="E29" s="145">
        <v>2337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13923</v>
      </c>
      <c r="C30" s="145">
        <f>SUM(B30:B30)</f>
        <v>13923</v>
      </c>
      <c r="D30" s="142"/>
      <c r="E30" s="145">
        <v>13923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34616</v>
      </c>
      <c r="C32" s="145">
        <f>SUM(B32:B32)</f>
        <v>34616</v>
      </c>
      <c r="D32" s="142"/>
      <c r="E32" s="145">
        <v>34616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1107</v>
      </c>
      <c r="C34" s="145">
        <f t="shared" ref="C34:C39" si="8">SUM(B34:B34)</f>
        <v>1107</v>
      </c>
      <c r="D34" s="142"/>
      <c r="E34" s="145">
        <v>1107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8264</v>
      </c>
      <c r="C37" s="145">
        <f t="shared" si="8"/>
        <v>8264</v>
      </c>
      <c r="D37" s="142"/>
      <c r="E37" s="145">
        <v>8264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1872</v>
      </c>
      <c r="C39" s="145">
        <f t="shared" si="8"/>
        <v>1872</v>
      </c>
      <c r="D39" s="142"/>
      <c r="E39" s="145">
        <v>1872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1623679</v>
      </c>
      <c r="C40" s="157">
        <f t="shared" si="10"/>
        <v>1623679</v>
      </c>
      <c r="D40" s="152"/>
      <c r="E40" s="157">
        <f t="shared" ref="E40:F40" si="11">SUM(E5:E39)</f>
        <v>1680934</v>
      </c>
      <c r="F40" s="157">
        <f t="shared" si="11"/>
        <v>-57255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9869-3906-4533-A8CA-0110CAF8A32B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76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801126</v>
      </c>
      <c r="C6" s="145">
        <f>SUM(B6:B6)</f>
        <v>801126</v>
      </c>
      <c r="D6" s="142"/>
      <c r="E6" s="145">
        <v>796081</v>
      </c>
      <c r="F6" s="145">
        <f>C6-E6</f>
        <v>5045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306777</v>
      </c>
      <c r="C10" s="145">
        <f>SUM(B10:B10)</f>
        <v>306777</v>
      </c>
      <c r="D10" s="142"/>
      <c r="E10" s="145">
        <v>306777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1000000</v>
      </c>
      <c r="C11" s="145">
        <f>SUM(B11:B11)</f>
        <v>1000000</v>
      </c>
      <c r="D11" s="142"/>
      <c r="E11" s="145">
        <v>1000000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3606</v>
      </c>
      <c r="C14" s="145">
        <f>SUM(B14:B14)</f>
        <v>3606</v>
      </c>
      <c r="D14" s="142"/>
      <c r="E14" s="145">
        <v>5000</v>
      </c>
      <c r="F14" s="145">
        <f t="shared" ref="F14:F15" si="2">C14-E14</f>
        <v>-1394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832216</v>
      </c>
      <c r="C17" s="145">
        <f>SUM(B17:B17)</f>
        <v>832216</v>
      </c>
      <c r="D17" s="142"/>
      <c r="E17" s="145">
        <v>832216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987608</v>
      </c>
      <c r="C18" s="145">
        <f>SUM(B18:B18)</f>
        <v>987608</v>
      </c>
      <c r="D18" s="142"/>
      <c r="E18" s="145">
        <v>1020000</v>
      </c>
      <c r="F18" s="145">
        <f t="shared" si="3"/>
        <v>-32392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40364</v>
      </c>
      <c r="C20" s="145">
        <f>SUM(B20:B20)</f>
        <v>40364</v>
      </c>
      <c r="D20" s="142"/>
      <c r="E20" s="145">
        <v>40364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212260</v>
      </c>
      <c r="C21" s="145">
        <f>SUM(B21:B21)</f>
        <v>212260</v>
      </c>
      <c r="D21" s="142"/>
      <c r="E21" s="145">
        <v>114260</v>
      </c>
      <c r="F21" s="145">
        <f t="shared" si="4"/>
        <v>98000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132380</v>
      </c>
      <c r="C23" s="145">
        <f>SUM(B23:B23)</f>
        <v>132380</v>
      </c>
      <c r="D23" s="142"/>
      <c r="E23" s="145">
        <v>132380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629172</v>
      </c>
      <c r="C24" s="145">
        <f>SUM(B24:B24)</f>
        <v>629172</v>
      </c>
      <c r="D24" s="142"/>
      <c r="E24" s="145">
        <v>506912</v>
      </c>
      <c r="F24" s="145">
        <f t="shared" si="5"/>
        <v>122260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55612</v>
      </c>
      <c r="C26" s="145">
        <f>SUM(B26:B26)</f>
        <v>55612</v>
      </c>
      <c r="D26" s="142"/>
      <c r="E26" s="145">
        <v>55612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86647</v>
      </c>
      <c r="C27" s="145">
        <f>SUM(B27:B27)</f>
        <v>86647</v>
      </c>
      <c r="D27" s="142"/>
      <c r="E27" s="145">
        <v>95000</v>
      </c>
      <c r="F27" s="145">
        <f t="shared" si="6"/>
        <v>-8353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46373</v>
      </c>
      <c r="C30" s="145">
        <f>SUM(B30:B30)</f>
        <v>46373</v>
      </c>
      <c r="D30" s="142"/>
      <c r="E30" s="145">
        <v>46373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112000</v>
      </c>
      <c r="C31" s="145">
        <f>SUM(B31:B31)</f>
        <v>112000</v>
      </c>
      <c r="D31" s="142"/>
      <c r="E31" s="145">
        <v>112000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115292</v>
      </c>
      <c r="C32" s="145">
        <f>SUM(B32:B32)</f>
        <v>115292</v>
      </c>
      <c r="D32" s="142"/>
      <c r="E32" s="145">
        <v>115292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40000</v>
      </c>
      <c r="C35" s="145">
        <f t="shared" si="8"/>
        <v>40000</v>
      </c>
      <c r="D35" s="142"/>
      <c r="E35" s="145">
        <v>40000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27524</v>
      </c>
      <c r="C37" s="145">
        <f t="shared" si="8"/>
        <v>27524</v>
      </c>
      <c r="D37" s="142"/>
      <c r="E37" s="145">
        <v>27524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6234</v>
      </c>
      <c r="C39" s="145">
        <f t="shared" si="8"/>
        <v>6234</v>
      </c>
      <c r="D39" s="142"/>
      <c r="E39" s="145">
        <v>6234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5482010</v>
      </c>
      <c r="C40" s="157">
        <f t="shared" si="10"/>
        <v>5482010</v>
      </c>
      <c r="D40" s="152"/>
      <c r="E40" s="157">
        <f t="shared" ref="E40:F40" si="11">SUM(E5:E39)</f>
        <v>5298844</v>
      </c>
      <c r="F40" s="157">
        <f t="shared" si="11"/>
        <v>183166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01FCC-DBD1-48E4-AF05-C68E23D12884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75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480516</v>
      </c>
      <c r="C6" s="145">
        <f>SUM(B6:B6)</f>
        <v>480516</v>
      </c>
      <c r="D6" s="142"/>
      <c r="E6" s="145">
        <v>480516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17431</v>
      </c>
      <c r="C8" s="145">
        <f>SUM(B8:B8)</f>
        <v>17431</v>
      </c>
      <c r="D8" s="142"/>
      <c r="E8" s="145">
        <v>17431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51764</v>
      </c>
      <c r="C10" s="145">
        <f>SUM(B10:B10)</f>
        <v>51764</v>
      </c>
      <c r="D10" s="142"/>
      <c r="E10" s="145">
        <v>51764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3000</v>
      </c>
      <c r="C14" s="145">
        <f>SUM(B14:B14)</f>
        <v>3000</v>
      </c>
      <c r="D14" s="142"/>
      <c r="E14" s="145">
        <v>3000</v>
      </c>
      <c r="F14" s="145">
        <f t="shared" ref="F14:F15" si="2">C14-E14</f>
        <v>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139209</v>
      </c>
      <c r="C17" s="145">
        <f>SUM(B17:B17)</f>
        <v>139209</v>
      </c>
      <c r="D17" s="142"/>
      <c r="E17" s="145">
        <v>139209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115253</v>
      </c>
      <c r="C18" s="145">
        <f>SUM(B18:B18)</f>
        <v>115253</v>
      </c>
      <c r="D18" s="142"/>
      <c r="E18" s="145">
        <v>115253</v>
      </c>
      <c r="F18" s="145">
        <f t="shared" si="3"/>
        <v>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6812</v>
      </c>
      <c r="C20" s="145">
        <f>SUM(B20:B20)</f>
        <v>6812</v>
      </c>
      <c r="D20" s="142"/>
      <c r="E20" s="145">
        <v>6812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176512</v>
      </c>
      <c r="C21" s="145">
        <f>SUM(B21:B21)</f>
        <v>176512</v>
      </c>
      <c r="D21" s="142"/>
      <c r="E21" s="145">
        <v>176512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22336</v>
      </c>
      <c r="C23" s="145">
        <f>SUM(B23:B23)</f>
        <v>22336</v>
      </c>
      <c r="D23" s="142"/>
      <c r="E23" s="145">
        <v>22336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8712</v>
      </c>
      <c r="C26" s="145">
        <f>SUM(B26:B26)</f>
        <v>8712</v>
      </c>
      <c r="D26" s="142"/>
      <c r="E26" s="145">
        <v>8712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188232</v>
      </c>
      <c r="C27" s="145">
        <f>SUM(B27:B27)</f>
        <v>188232</v>
      </c>
      <c r="D27" s="142"/>
      <c r="E27" s="145">
        <v>188232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1168</v>
      </c>
      <c r="C29" s="145">
        <f>SUM(B29:B29)</f>
        <v>1168</v>
      </c>
      <c r="D29" s="142"/>
      <c r="E29" s="145">
        <v>1168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7825</v>
      </c>
      <c r="C30" s="145">
        <f>SUM(B30:B30)</f>
        <v>7825</v>
      </c>
      <c r="D30" s="142"/>
      <c r="E30" s="145">
        <v>7825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19452</v>
      </c>
      <c r="C32" s="145">
        <f>SUM(B32:B32)</f>
        <v>19452</v>
      </c>
      <c r="D32" s="142"/>
      <c r="E32" s="145">
        <v>19452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554</v>
      </c>
      <c r="C34" s="145">
        <f t="shared" ref="C34:C39" si="8">SUM(B34:B34)</f>
        <v>554</v>
      </c>
      <c r="D34" s="142"/>
      <c r="E34" s="145">
        <v>554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4644</v>
      </c>
      <c r="C37" s="145">
        <f t="shared" si="8"/>
        <v>4644</v>
      </c>
      <c r="D37" s="142"/>
      <c r="E37" s="145">
        <v>4644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1052</v>
      </c>
      <c r="C39" s="145">
        <f t="shared" si="8"/>
        <v>1052</v>
      </c>
      <c r="D39" s="142"/>
      <c r="E39" s="145">
        <v>1052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1244472</v>
      </c>
      <c r="C40" s="157">
        <f t="shared" si="10"/>
        <v>1244472</v>
      </c>
      <c r="D40" s="152"/>
      <c r="E40" s="157">
        <f t="shared" ref="E40:F40" si="11">SUM(E5:E39)</f>
        <v>1244472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8C014-D032-4558-BA84-513FCF080CAE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77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431650</v>
      </c>
      <c r="C6" s="145">
        <f>SUM(B6:B6)</f>
        <v>431650</v>
      </c>
      <c r="D6" s="142"/>
      <c r="E6" s="145">
        <v>431650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34863</v>
      </c>
      <c r="C8" s="145">
        <f>SUM(B8:B8)</f>
        <v>34863</v>
      </c>
      <c r="D8" s="142"/>
      <c r="E8" s="145">
        <v>34863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98200</v>
      </c>
      <c r="C10" s="145">
        <f>SUM(B10:B10)</f>
        <v>98200</v>
      </c>
      <c r="D10" s="142"/>
      <c r="E10" s="145">
        <v>98200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0</v>
      </c>
      <c r="C14" s="145">
        <f>SUM(B14:B14)</f>
        <v>0</v>
      </c>
      <c r="D14" s="142"/>
      <c r="E14" s="145">
        <v>8000</v>
      </c>
      <c r="F14" s="145">
        <f t="shared" ref="F14:F15" si="2">C14-E14</f>
        <v>-8000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264087</v>
      </c>
      <c r="C17" s="145">
        <f>SUM(B17:B17)</f>
        <v>264087</v>
      </c>
      <c r="D17" s="142"/>
      <c r="E17" s="145">
        <v>264087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136551</v>
      </c>
      <c r="C18" s="145">
        <f>SUM(B18:B18)</f>
        <v>136551</v>
      </c>
      <c r="D18" s="142"/>
      <c r="E18" s="145">
        <v>186011</v>
      </c>
      <c r="F18" s="145">
        <f t="shared" si="3"/>
        <v>-49460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12922</v>
      </c>
      <c r="C20" s="145">
        <f>SUM(B20:B20)</f>
        <v>12922</v>
      </c>
      <c r="D20" s="142"/>
      <c r="E20" s="145">
        <v>12922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387312</v>
      </c>
      <c r="C21" s="145">
        <f>SUM(B21:B21)</f>
        <v>387312</v>
      </c>
      <c r="D21" s="142"/>
      <c r="E21" s="145">
        <v>366636</v>
      </c>
      <c r="F21" s="145">
        <f t="shared" si="4"/>
        <v>20676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42376</v>
      </c>
      <c r="C23" s="145">
        <f>SUM(B23:B23)</f>
        <v>42376</v>
      </c>
      <c r="D23" s="142"/>
      <c r="E23" s="145">
        <v>42376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60</v>
      </c>
      <c r="C24" s="145">
        <f>SUM(B24:B24)</f>
        <v>60</v>
      </c>
      <c r="D24" s="142"/>
      <c r="E24" s="145">
        <v>60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16524</v>
      </c>
      <c r="C26" s="145">
        <f>SUM(B26:B26)</f>
        <v>16524</v>
      </c>
      <c r="D26" s="142"/>
      <c r="E26" s="145">
        <v>16524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0</v>
      </c>
      <c r="C27" s="145">
        <f>SUM(B27:B27)</f>
        <v>0</v>
      </c>
      <c r="D27" s="142"/>
      <c r="E27" s="145">
        <v>2028</v>
      </c>
      <c r="F27" s="145">
        <f t="shared" si="6"/>
        <v>-2028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2337</v>
      </c>
      <c r="C29" s="145">
        <f>SUM(B29:B29)</f>
        <v>2337</v>
      </c>
      <c r="D29" s="142"/>
      <c r="E29" s="145">
        <v>2337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14843</v>
      </c>
      <c r="C30" s="145">
        <f>SUM(B30:B30)</f>
        <v>14843</v>
      </c>
      <c r="D30" s="142"/>
      <c r="E30" s="145">
        <v>14843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36904</v>
      </c>
      <c r="C32" s="145">
        <f>SUM(B32:B32)</f>
        <v>36904</v>
      </c>
      <c r="D32" s="142"/>
      <c r="E32" s="145">
        <v>36904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1107</v>
      </c>
      <c r="C34" s="145">
        <f t="shared" ref="C34:C39" si="8">SUM(B34:B34)</f>
        <v>1107</v>
      </c>
      <c r="D34" s="142"/>
      <c r="E34" s="145">
        <v>1107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8812</v>
      </c>
      <c r="C37" s="145">
        <f t="shared" si="8"/>
        <v>8812</v>
      </c>
      <c r="D37" s="142"/>
      <c r="E37" s="145">
        <v>8812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1996</v>
      </c>
      <c r="C39" s="145">
        <f t="shared" si="8"/>
        <v>1996</v>
      </c>
      <c r="D39" s="142"/>
      <c r="E39" s="145">
        <v>1996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1490544</v>
      </c>
      <c r="C40" s="157">
        <f t="shared" si="10"/>
        <v>1490544</v>
      </c>
      <c r="D40" s="152"/>
      <c r="E40" s="157">
        <f t="shared" ref="E40:F40" si="11">SUM(E5:E39)</f>
        <v>1529356</v>
      </c>
      <c r="F40" s="157">
        <f t="shared" si="11"/>
        <v>-38812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0036C-780F-44D8-BA98-62E22FBA00B3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79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469503</v>
      </c>
      <c r="C6" s="145">
        <f>SUM(B6:B6)</f>
        <v>469503</v>
      </c>
      <c r="D6" s="142"/>
      <c r="E6" s="145">
        <v>431650</v>
      </c>
      <c r="F6" s="145">
        <f>C6-E6</f>
        <v>37853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34863</v>
      </c>
      <c r="C8" s="145">
        <f>SUM(B8:B8)</f>
        <v>34863</v>
      </c>
      <c r="D8" s="142"/>
      <c r="E8" s="145">
        <v>34863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80692</v>
      </c>
      <c r="C10" s="145">
        <f>SUM(B10:B10)</f>
        <v>80692</v>
      </c>
      <c r="D10" s="142"/>
      <c r="E10" s="145">
        <v>80692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3100</v>
      </c>
      <c r="C14" s="145">
        <f>SUM(B14:B14)</f>
        <v>3100</v>
      </c>
      <c r="D14" s="142"/>
      <c r="E14" s="145">
        <v>10000</v>
      </c>
      <c r="F14" s="145">
        <f t="shared" ref="F14:F15" si="2">C14-E14</f>
        <v>-6900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224202</v>
      </c>
      <c r="C17" s="145">
        <f>SUM(B17:B17)</f>
        <v>224202</v>
      </c>
      <c r="D17" s="142"/>
      <c r="E17" s="145">
        <v>224202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94138</v>
      </c>
      <c r="C18" s="145">
        <f>SUM(B18:B18)</f>
        <v>94138</v>
      </c>
      <c r="D18" s="142"/>
      <c r="E18" s="145">
        <v>122738</v>
      </c>
      <c r="F18" s="145">
        <f t="shared" si="3"/>
        <v>-28600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10616</v>
      </c>
      <c r="C20" s="145">
        <f>SUM(B20:B20)</f>
        <v>10616</v>
      </c>
      <c r="D20" s="142"/>
      <c r="E20" s="145">
        <v>10616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247822</v>
      </c>
      <c r="C21" s="145">
        <f>SUM(B21:B21)</f>
        <v>247822</v>
      </c>
      <c r="D21" s="142"/>
      <c r="E21" s="145">
        <v>195528</v>
      </c>
      <c r="F21" s="145">
        <f t="shared" si="4"/>
        <v>52294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34820</v>
      </c>
      <c r="C23" s="145">
        <f>SUM(B23:B23)</f>
        <v>34820</v>
      </c>
      <c r="D23" s="142"/>
      <c r="E23" s="145">
        <v>34820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1328</v>
      </c>
      <c r="C24" s="145">
        <f>SUM(B24:B24)</f>
        <v>1328</v>
      </c>
      <c r="D24" s="142"/>
      <c r="E24" s="145">
        <v>2328</v>
      </c>
      <c r="F24" s="145">
        <f t="shared" si="5"/>
        <v>-1000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13576</v>
      </c>
      <c r="C26" s="145">
        <f>SUM(B26:B26)</f>
        <v>13576</v>
      </c>
      <c r="D26" s="142"/>
      <c r="E26" s="145">
        <v>13576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228055</v>
      </c>
      <c r="C27" s="145">
        <f>SUM(B27:B27)</f>
        <v>228055</v>
      </c>
      <c r="D27" s="142"/>
      <c r="E27" s="145">
        <v>189980</v>
      </c>
      <c r="F27" s="145">
        <f t="shared" si="6"/>
        <v>38075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2337</v>
      </c>
      <c r="C29" s="145">
        <f>SUM(B29:B29)</f>
        <v>2337</v>
      </c>
      <c r="D29" s="142"/>
      <c r="E29" s="145">
        <v>2337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12197</v>
      </c>
      <c r="C30" s="145">
        <f>SUM(B30:B30)</f>
        <v>12197</v>
      </c>
      <c r="D30" s="142"/>
      <c r="E30" s="145">
        <v>12197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30324</v>
      </c>
      <c r="C32" s="145">
        <f>SUM(B32:B32)</f>
        <v>30324</v>
      </c>
      <c r="D32" s="142"/>
      <c r="E32" s="145">
        <v>30324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1107</v>
      </c>
      <c r="C34" s="145">
        <f t="shared" ref="C34:C39" si="8">SUM(B34:B34)</f>
        <v>1107</v>
      </c>
      <c r="D34" s="142"/>
      <c r="E34" s="145">
        <v>1107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7240</v>
      </c>
      <c r="C37" s="145">
        <f t="shared" si="8"/>
        <v>7240</v>
      </c>
      <c r="D37" s="142"/>
      <c r="E37" s="145">
        <v>7240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1640</v>
      </c>
      <c r="C39" s="145">
        <f t="shared" si="8"/>
        <v>1640</v>
      </c>
      <c r="D39" s="142"/>
      <c r="E39" s="145">
        <v>1640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1497560</v>
      </c>
      <c r="C40" s="157">
        <f t="shared" si="10"/>
        <v>1497560</v>
      </c>
      <c r="D40" s="152"/>
      <c r="E40" s="157">
        <f t="shared" ref="E40:F40" si="11">SUM(E5:E39)</f>
        <v>1405838</v>
      </c>
      <c r="F40" s="157">
        <f t="shared" si="11"/>
        <v>91722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0808F-9F15-454F-BA01-EA04B1287410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83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796081</v>
      </c>
      <c r="C6" s="145">
        <f>SUM(B6:B6)</f>
        <v>796081</v>
      </c>
      <c r="D6" s="142"/>
      <c r="E6" s="145">
        <v>796081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204391</v>
      </c>
      <c r="C10" s="145">
        <f>SUM(B10:B10)</f>
        <v>204391</v>
      </c>
      <c r="D10" s="142"/>
      <c r="E10" s="145">
        <v>204391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3706</v>
      </c>
      <c r="C14" s="145">
        <f>SUM(B14:B14)</f>
        <v>3706</v>
      </c>
      <c r="D14" s="142"/>
      <c r="E14" s="145">
        <v>12000</v>
      </c>
      <c r="F14" s="145">
        <f t="shared" ref="F14:F15" si="2">C14-E14</f>
        <v>-8294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549670</v>
      </c>
      <c r="C17" s="145">
        <f>SUM(B17:B17)</f>
        <v>549670</v>
      </c>
      <c r="D17" s="142"/>
      <c r="E17" s="145">
        <v>549670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458604</v>
      </c>
      <c r="C18" s="145">
        <f>SUM(B18:B18)</f>
        <v>458604</v>
      </c>
      <c r="D18" s="142"/>
      <c r="E18" s="145">
        <v>432604</v>
      </c>
      <c r="F18" s="145">
        <f t="shared" si="3"/>
        <v>26000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26890</v>
      </c>
      <c r="C20" s="145">
        <f>SUM(B20:B20)</f>
        <v>26890</v>
      </c>
      <c r="D20" s="142"/>
      <c r="E20" s="145">
        <v>26890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48007</v>
      </c>
      <c r="C21" s="145">
        <f>SUM(B21:B21)</f>
        <v>48007</v>
      </c>
      <c r="D21" s="142"/>
      <c r="E21" s="145">
        <v>372756</v>
      </c>
      <c r="F21" s="145">
        <f t="shared" si="4"/>
        <v>-324749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88200</v>
      </c>
      <c r="C23" s="145">
        <f>SUM(B23:B23)</f>
        <v>88200</v>
      </c>
      <c r="D23" s="142"/>
      <c r="E23" s="145">
        <v>88200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34388</v>
      </c>
      <c r="C26" s="145">
        <f>SUM(B26:B26)</f>
        <v>34388</v>
      </c>
      <c r="D26" s="142"/>
      <c r="E26" s="145">
        <v>34388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0</v>
      </c>
      <c r="C27" s="145">
        <f>SUM(B27:B27)</f>
        <v>0</v>
      </c>
      <c r="D27" s="142"/>
      <c r="E27" s="145">
        <v>100704</v>
      </c>
      <c r="F27" s="145">
        <f t="shared" si="6"/>
        <v>-100704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30896</v>
      </c>
      <c r="C30" s="145">
        <f>SUM(B30:B30)</f>
        <v>30896</v>
      </c>
      <c r="D30" s="142"/>
      <c r="E30" s="145">
        <v>30896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76816</v>
      </c>
      <c r="C32" s="145">
        <f>SUM(B32:B32)</f>
        <v>76816</v>
      </c>
      <c r="D32" s="142"/>
      <c r="E32" s="145">
        <v>76816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18336</v>
      </c>
      <c r="C37" s="145">
        <f t="shared" si="8"/>
        <v>18336</v>
      </c>
      <c r="D37" s="142"/>
      <c r="E37" s="145">
        <v>18336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4154</v>
      </c>
      <c r="C39" s="145">
        <f t="shared" si="8"/>
        <v>4154</v>
      </c>
      <c r="D39" s="142"/>
      <c r="E39" s="145">
        <v>4154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2386958</v>
      </c>
      <c r="C40" s="157">
        <f t="shared" si="10"/>
        <v>2386958</v>
      </c>
      <c r="D40" s="152"/>
      <c r="E40" s="157">
        <f t="shared" ref="E40:F40" si="11">SUM(E5:E39)</f>
        <v>2794705</v>
      </c>
      <c r="F40" s="157">
        <f t="shared" si="11"/>
        <v>-407747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60D8-32A2-4648-A355-D0E33CC325BC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86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753429.99999999988</v>
      </c>
      <c r="C6" s="145">
        <f>SUM(B6:B6)</f>
        <v>753429.99999999988</v>
      </c>
      <c r="D6" s="142"/>
      <c r="E6" s="145">
        <v>753429.99999999988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34863</v>
      </c>
      <c r="C8" s="145">
        <f>SUM(B8:B8)</f>
        <v>34863</v>
      </c>
      <c r="D8" s="142"/>
      <c r="E8" s="145">
        <v>34863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157194</v>
      </c>
      <c r="C10" s="145">
        <f>SUM(B10:B10)</f>
        <v>157194</v>
      </c>
      <c r="D10" s="142"/>
      <c r="E10" s="145">
        <v>157194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1109</v>
      </c>
      <c r="C14" s="145">
        <f>SUM(B14:B14)</f>
        <v>1109</v>
      </c>
      <c r="D14" s="142"/>
      <c r="E14" s="145">
        <v>20000</v>
      </c>
      <c r="F14" s="145">
        <f t="shared" ref="F14:F15" si="2">C14-E14</f>
        <v>-18891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422744</v>
      </c>
      <c r="C17" s="145">
        <f>SUM(B17:B17)</f>
        <v>422744</v>
      </c>
      <c r="D17" s="142"/>
      <c r="E17" s="145">
        <v>422744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461695</v>
      </c>
      <c r="C18" s="145">
        <f>SUM(B18:B18)</f>
        <v>461695</v>
      </c>
      <c r="D18" s="142"/>
      <c r="E18" s="145">
        <v>442804</v>
      </c>
      <c r="F18" s="145">
        <f t="shared" si="3"/>
        <v>18891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20682</v>
      </c>
      <c r="C20" s="145">
        <f>SUM(B20:B20)</f>
        <v>20682</v>
      </c>
      <c r="D20" s="142"/>
      <c r="E20" s="145">
        <v>20682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310140</v>
      </c>
      <c r="C21" s="145">
        <f>SUM(B21:B21)</f>
        <v>310140</v>
      </c>
      <c r="D21" s="142"/>
      <c r="E21" s="145">
        <v>310140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67832</v>
      </c>
      <c r="C23" s="145">
        <f>SUM(B23:B23)</f>
        <v>67832</v>
      </c>
      <c r="D23" s="142"/>
      <c r="E23" s="145">
        <v>67832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4200</v>
      </c>
      <c r="C24" s="145">
        <f>SUM(B24:B24)</f>
        <v>4200</v>
      </c>
      <c r="D24" s="142"/>
      <c r="E24" s="145">
        <v>4200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26448</v>
      </c>
      <c r="C26" s="145">
        <f>SUM(B26:B26)</f>
        <v>26448</v>
      </c>
      <c r="D26" s="142"/>
      <c r="E26" s="145">
        <v>26448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195240</v>
      </c>
      <c r="C27" s="145">
        <f>SUM(B27:B27)</f>
        <v>195240</v>
      </c>
      <c r="D27" s="142"/>
      <c r="E27" s="145">
        <v>195240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2337</v>
      </c>
      <c r="C29" s="145">
        <f>SUM(B29:B29)</f>
        <v>2337</v>
      </c>
      <c r="D29" s="142"/>
      <c r="E29" s="145">
        <v>2337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23761</v>
      </c>
      <c r="C30" s="145">
        <f>SUM(B30:B30)</f>
        <v>23761</v>
      </c>
      <c r="D30" s="142"/>
      <c r="E30" s="145">
        <v>23761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59076</v>
      </c>
      <c r="C32" s="145">
        <f>SUM(B32:B32)</f>
        <v>59076</v>
      </c>
      <c r="D32" s="142"/>
      <c r="E32" s="145">
        <v>59076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1107</v>
      </c>
      <c r="C34" s="145">
        <f t="shared" ref="C34:C39" si="8">SUM(B34:B34)</f>
        <v>1107</v>
      </c>
      <c r="D34" s="142"/>
      <c r="E34" s="145">
        <v>1107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14104</v>
      </c>
      <c r="C37" s="145">
        <f t="shared" si="8"/>
        <v>14104</v>
      </c>
      <c r="D37" s="142"/>
      <c r="E37" s="145">
        <v>14104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3195</v>
      </c>
      <c r="C39" s="145">
        <f t="shared" si="8"/>
        <v>3195</v>
      </c>
      <c r="D39" s="142"/>
      <c r="E39" s="145">
        <v>3195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2559157</v>
      </c>
      <c r="C40" s="157">
        <f t="shared" si="10"/>
        <v>2559157</v>
      </c>
      <c r="D40" s="152"/>
      <c r="E40" s="157">
        <f t="shared" ref="E40:F40" si="11">SUM(E5:E39)</f>
        <v>2559157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P42"/>
  <sheetViews>
    <sheetView zoomScaleNormal="100" workbookViewId="0">
      <pane xSplit="1" ySplit="4" topLeftCell="B5" activePane="bottomRight" state="frozen"/>
      <selection activeCell="A3" sqref="A3"/>
      <selection pane="topRight" activeCell="A3" sqref="A3"/>
      <selection pane="bottomLeft" activeCell="A3" sqref="A3"/>
      <selection pane="bottomRight" activeCell="E6" sqref="E6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9.425781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82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1501666</v>
      </c>
      <c r="C6" s="145">
        <f>SUM(B6:B6)</f>
        <v>1501666</v>
      </c>
      <c r="D6" s="142"/>
      <c r="E6" s="145">
        <v>1439642</v>
      </c>
      <c r="F6" s="145">
        <f>C6-E6</f>
        <v>62024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42606</v>
      </c>
      <c r="C8" s="145">
        <f>SUM(B8:B8)</f>
        <v>42606</v>
      </c>
      <c r="D8" s="142"/>
      <c r="E8" s="145">
        <v>42606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353211</v>
      </c>
      <c r="C10" s="145">
        <f>SUM(B10:B10)</f>
        <v>353211</v>
      </c>
      <c r="D10" s="142"/>
      <c r="E10" s="145">
        <v>353211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688</v>
      </c>
      <c r="C14" s="145">
        <f>SUM(B14:B14)</f>
        <v>688</v>
      </c>
      <c r="D14" s="142"/>
      <c r="E14" s="145">
        <v>128</v>
      </c>
      <c r="F14" s="145">
        <f t="shared" ref="F14:F15" si="2">C14-E14</f>
        <v>560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1306418</v>
      </c>
      <c r="C17" s="145">
        <f>SUM(B17:B17)</f>
        <v>1306418</v>
      </c>
      <c r="D17" s="142"/>
      <c r="E17" s="145">
        <v>997110</v>
      </c>
      <c r="F17" s="145">
        <f t="shared" ref="F17:F18" si="3">C17-E17</f>
        <v>309308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843105</v>
      </c>
      <c r="C18" s="145">
        <f>SUM(B18:B18)</f>
        <v>843105</v>
      </c>
      <c r="D18" s="142"/>
      <c r="E18" s="145">
        <v>835758</v>
      </c>
      <c r="F18" s="145">
        <f t="shared" si="3"/>
        <v>7347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46476</v>
      </c>
      <c r="C20" s="145">
        <f>SUM(B20:B20)</f>
        <v>46476</v>
      </c>
      <c r="D20" s="142"/>
      <c r="E20" s="145">
        <v>46476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633133</v>
      </c>
      <c r="C21" s="145">
        <f>SUM(B21:B21)</f>
        <v>633133</v>
      </c>
      <c r="D21" s="142"/>
      <c r="E21" s="145">
        <v>675703</v>
      </c>
      <c r="F21" s="145">
        <f t="shared" si="4"/>
        <v>-42570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152412</v>
      </c>
      <c r="C23" s="145">
        <f>SUM(B23:B23)</f>
        <v>152412</v>
      </c>
      <c r="D23" s="142"/>
      <c r="E23" s="145">
        <v>152412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22592</v>
      </c>
      <c r="C24" s="145">
        <f>SUM(B24:B24)</f>
        <v>22592</v>
      </c>
      <c r="D24" s="142"/>
      <c r="E24" s="145">
        <v>17796</v>
      </c>
      <c r="F24" s="145">
        <f t="shared" si="5"/>
        <v>4796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61816</v>
      </c>
      <c r="C26" s="145">
        <f>SUM(B26:B26)</f>
        <v>61816</v>
      </c>
      <c r="D26" s="142"/>
      <c r="E26" s="145">
        <v>61816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467316</v>
      </c>
      <c r="C27" s="145">
        <f>SUM(B27:B27)</f>
        <v>467316</v>
      </c>
      <c r="D27" s="142"/>
      <c r="E27" s="145">
        <v>468152</v>
      </c>
      <c r="F27" s="145">
        <f t="shared" si="6"/>
        <v>-836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2855</v>
      </c>
      <c r="C29" s="145">
        <f>SUM(B29:B29)</f>
        <v>2855</v>
      </c>
      <c r="D29" s="142"/>
      <c r="E29" s="145">
        <v>2855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53394</v>
      </c>
      <c r="C30" s="145">
        <f>SUM(B30:B30)</f>
        <v>53394</v>
      </c>
      <c r="D30" s="142"/>
      <c r="E30" s="145">
        <v>53394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132752</v>
      </c>
      <c r="C32" s="145">
        <f>SUM(B32:B32)</f>
        <v>132752</v>
      </c>
      <c r="D32" s="142"/>
      <c r="E32" s="145">
        <v>132752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1354</v>
      </c>
      <c r="C34" s="145">
        <f t="shared" ref="C34:C39" si="8">SUM(B34:B34)</f>
        <v>1354</v>
      </c>
      <c r="D34" s="142"/>
      <c r="E34" s="145">
        <v>1354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31692</v>
      </c>
      <c r="C37" s="145">
        <f t="shared" si="8"/>
        <v>31692</v>
      </c>
      <c r="D37" s="142"/>
      <c r="E37" s="145">
        <v>31692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7184</v>
      </c>
      <c r="C39" s="145">
        <f t="shared" si="8"/>
        <v>7184</v>
      </c>
      <c r="D39" s="142"/>
      <c r="E39" s="145">
        <v>7184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>SUM(B5:B39)</f>
        <v>5660670</v>
      </c>
      <c r="C40" s="157">
        <f t="shared" ref="C40" si="10">SUM(C5:C39)</f>
        <v>5660670</v>
      </c>
      <c r="D40" s="152"/>
      <c r="E40" s="157">
        <f t="shared" ref="E40:F40" si="11">SUM(E5:E39)</f>
        <v>5320041</v>
      </c>
      <c r="F40" s="157">
        <f t="shared" si="11"/>
        <v>340629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honeticPr fontId="0" type="noConversion"/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5" max="1" man="1"/>
    <brk id="121" max="1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86BF0-5BB9-4C9F-84EB-1D483DBE3F69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74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530023</v>
      </c>
      <c r="C6" s="145">
        <f>SUM(B6:B6)</f>
        <v>530023</v>
      </c>
      <c r="D6" s="142"/>
      <c r="E6" s="145">
        <v>609228</v>
      </c>
      <c r="F6" s="145">
        <f>C6-E6</f>
        <v>-79205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17431</v>
      </c>
      <c r="C8" s="145">
        <f>SUM(B8:B8)</f>
        <v>17431</v>
      </c>
      <c r="D8" s="142"/>
      <c r="E8" s="145">
        <v>17431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44913</v>
      </c>
      <c r="C10" s="145">
        <f>SUM(B10:B10)</f>
        <v>44913</v>
      </c>
      <c r="D10" s="142"/>
      <c r="E10" s="145">
        <v>44913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5345</v>
      </c>
      <c r="C14" s="145">
        <f>SUM(B14:B14)</f>
        <v>5345</v>
      </c>
      <c r="D14" s="142"/>
      <c r="E14" s="145">
        <v>6000</v>
      </c>
      <c r="F14" s="145">
        <f t="shared" ref="F14:F15" si="2">C14-E14</f>
        <v>-655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120785</v>
      </c>
      <c r="C17" s="145">
        <f>SUM(B17:B17)</f>
        <v>120785</v>
      </c>
      <c r="D17" s="142"/>
      <c r="E17" s="145">
        <v>120785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54295</v>
      </c>
      <c r="C18" s="145">
        <f>SUM(B18:B18)</f>
        <v>54295</v>
      </c>
      <c r="D18" s="142"/>
      <c r="E18" s="145">
        <v>69437</v>
      </c>
      <c r="F18" s="145">
        <f t="shared" si="3"/>
        <v>-15142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5910</v>
      </c>
      <c r="C20" s="145">
        <f>SUM(B20:B20)</f>
        <v>5910</v>
      </c>
      <c r="D20" s="142"/>
      <c r="E20" s="145">
        <v>5910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69992</v>
      </c>
      <c r="C21" s="145">
        <f>SUM(B21:B21)</f>
        <v>69992</v>
      </c>
      <c r="D21" s="142"/>
      <c r="E21" s="145">
        <v>114456</v>
      </c>
      <c r="F21" s="145">
        <f t="shared" si="4"/>
        <v>-44464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19380</v>
      </c>
      <c r="C23" s="145">
        <f>SUM(B23:B23)</f>
        <v>19380</v>
      </c>
      <c r="D23" s="142"/>
      <c r="E23" s="145">
        <v>19380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7560</v>
      </c>
      <c r="C26" s="145">
        <f>SUM(B26:B26)</f>
        <v>7560</v>
      </c>
      <c r="D26" s="142"/>
      <c r="E26" s="145">
        <v>7560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128112</v>
      </c>
      <c r="C27" s="145">
        <f>SUM(B27:B27)</f>
        <v>128112</v>
      </c>
      <c r="D27" s="142"/>
      <c r="E27" s="145">
        <v>128112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1168</v>
      </c>
      <c r="C29" s="145">
        <f>SUM(B29:B29)</f>
        <v>1168</v>
      </c>
      <c r="D29" s="142"/>
      <c r="E29" s="145">
        <v>1168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6789</v>
      </c>
      <c r="C30" s="145">
        <f>SUM(B30:B30)</f>
        <v>6789</v>
      </c>
      <c r="D30" s="142"/>
      <c r="E30" s="145">
        <v>6789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16880</v>
      </c>
      <c r="C32" s="145">
        <f>SUM(B32:B32)</f>
        <v>16880</v>
      </c>
      <c r="D32" s="142"/>
      <c r="E32" s="145">
        <v>16880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554</v>
      </c>
      <c r="C34" s="145">
        <f t="shared" ref="C34:C39" si="8">SUM(B34:B34)</f>
        <v>554</v>
      </c>
      <c r="D34" s="142"/>
      <c r="E34" s="145">
        <v>554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4028</v>
      </c>
      <c r="C37" s="145">
        <f t="shared" si="8"/>
        <v>4028</v>
      </c>
      <c r="D37" s="142"/>
      <c r="E37" s="145">
        <v>4028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913</v>
      </c>
      <c r="C39" s="145">
        <f t="shared" si="8"/>
        <v>913</v>
      </c>
      <c r="D39" s="142"/>
      <c r="E39" s="145">
        <v>913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1034078</v>
      </c>
      <c r="C40" s="157">
        <f t="shared" si="10"/>
        <v>1034078</v>
      </c>
      <c r="D40" s="152"/>
      <c r="E40" s="157">
        <f t="shared" ref="E40:F40" si="11">SUM(E5:E39)</f>
        <v>1173544</v>
      </c>
      <c r="F40" s="157">
        <f t="shared" si="11"/>
        <v>-139466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A94D-8104-48BA-81F0-194EA18A0D66}">
  <sheetPr>
    <pageSetUpPr fitToPage="1"/>
  </sheetPr>
  <dimension ref="A1:CV82"/>
  <sheetViews>
    <sheetView zoomScale="75" zoomScaleNormal="75" workbookViewId="0">
      <selection activeCell="J14" sqref="J14"/>
    </sheetView>
  </sheetViews>
  <sheetFormatPr defaultColWidth="9.140625" defaultRowHeight="12.75" x14ac:dyDescent="0.2"/>
  <cols>
    <col min="1" max="1" width="17.42578125" style="45" customWidth="1"/>
    <col min="2" max="3" width="15.5703125" style="45" customWidth="1"/>
    <col min="4" max="9" width="16.5703125" style="45" customWidth="1"/>
    <col min="10" max="10" width="13" style="45" customWidth="1"/>
    <col min="11" max="11" width="12.140625" style="45" customWidth="1"/>
    <col min="12" max="100" width="9" style="45" customWidth="1"/>
    <col min="101" max="16384" width="9.140625" style="45"/>
  </cols>
  <sheetData>
    <row r="1" spans="1:12" ht="17.25" customHeight="1" thickBot="1" x14ac:dyDescent="0.3">
      <c r="A1" s="47" t="s">
        <v>123</v>
      </c>
      <c r="B1" s="48"/>
      <c r="C1" s="48"/>
      <c r="D1" s="48"/>
      <c r="E1" s="48"/>
      <c r="F1" s="48"/>
      <c r="G1" s="48"/>
      <c r="H1" s="49"/>
      <c r="I1" s="49"/>
    </row>
    <row r="2" spans="1:12" ht="17.25" customHeight="1" thickTop="1" x14ac:dyDescent="0.25">
      <c r="A2" s="50"/>
      <c r="B2" s="51" t="s">
        <v>90</v>
      </c>
      <c r="C2" s="51" t="s">
        <v>90</v>
      </c>
      <c r="D2" s="51" t="s">
        <v>91</v>
      </c>
      <c r="E2" s="51" t="s">
        <v>92</v>
      </c>
      <c r="F2" s="51" t="s">
        <v>93</v>
      </c>
      <c r="G2" s="51" t="s">
        <v>94</v>
      </c>
      <c r="H2" s="51" t="s">
        <v>9</v>
      </c>
      <c r="I2" s="51" t="s">
        <v>104</v>
      </c>
    </row>
    <row r="3" spans="1:12" ht="17.25" customHeight="1" x14ac:dyDescent="0.25">
      <c r="A3" s="52" t="s">
        <v>90</v>
      </c>
      <c r="B3" s="53" t="s">
        <v>71</v>
      </c>
      <c r="C3" s="53" t="s">
        <v>95</v>
      </c>
      <c r="D3" s="53" t="s">
        <v>105</v>
      </c>
      <c r="E3" s="53" t="s">
        <v>11</v>
      </c>
      <c r="F3" s="53" t="s">
        <v>11</v>
      </c>
      <c r="G3" s="53" t="s">
        <v>11</v>
      </c>
      <c r="H3" s="53" t="s">
        <v>11</v>
      </c>
      <c r="I3" s="53" t="s">
        <v>11</v>
      </c>
    </row>
    <row r="4" spans="1:12" ht="17.25" customHeight="1" x14ac:dyDescent="0.2">
      <c r="A4" s="54" t="s">
        <v>99</v>
      </c>
      <c r="B4" s="55">
        <v>3.9399999999999998E-2</v>
      </c>
      <c r="C4" s="56">
        <f>C14-SUM(C5:C13)</f>
        <v>3634972</v>
      </c>
      <c r="D4" s="57" t="s">
        <v>106</v>
      </c>
      <c r="E4" s="56">
        <f>ROUND($C4*1,0)</f>
        <v>3634972</v>
      </c>
      <c r="F4" s="56">
        <f>ROUND($C4*0,0)</f>
        <v>0</v>
      </c>
      <c r="G4" s="56">
        <f>ROUND($C4*0,0)</f>
        <v>0</v>
      </c>
      <c r="H4" s="56">
        <f>ROUND($C4*0,0)</f>
        <v>0</v>
      </c>
      <c r="I4" s="56">
        <f>ROUND($C4*0,0)</f>
        <v>0</v>
      </c>
    </row>
    <row r="5" spans="1:12" ht="17.25" customHeight="1" x14ac:dyDescent="0.2">
      <c r="A5" s="54" t="s">
        <v>68</v>
      </c>
      <c r="B5" s="55">
        <v>0.2477</v>
      </c>
      <c r="C5" s="56">
        <f>ROUND($C$14*B5,0)</f>
        <v>22852341</v>
      </c>
      <c r="D5" s="57" t="s">
        <v>107</v>
      </c>
      <c r="E5" s="56">
        <f>ROUND($C5*0.5,0)</f>
        <v>11426171</v>
      </c>
      <c r="F5" s="56">
        <f>ROUND($C5*0.35,0)</f>
        <v>7998319</v>
      </c>
      <c r="G5" s="56">
        <f>ROUND($C5*0,0)</f>
        <v>0</v>
      </c>
      <c r="H5" s="56">
        <f>C5-E5-F5</f>
        <v>3427851</v>
      </c>
      <c r="I5" s="56">
        <f t="shared" ref="I5:I13" si="0">ROUND($C5*0,0)</f>
        <v>0</v>
      </c>
    </row>
    <row r="6" spans="1:12" ht="17.25" customHeight="1" x14ac:dyDescent="0.2">
      <c r="A6" s="54" t="s">
        <v>100</v>
      </c>
      <c r="B6" s="55">
        <v>3.5999999999999999E-3</v>
      </c>
      <c r="C6" s="56">
        <f t="shared" ref="C6:C13" si="1">ROUND($C$14*B6,0)</f>
        <v>332129</v>
      </c>
      <c r="D6" s="57" t="s">
        <v>108</v>
      </c>
      <c r="E6" s="56">
        <f>ROUND($C6*0,0)</f>
        <v>0</v>
      </c>
      <c r="F6" s="56">
        <f>ROUND($C6*1,0)</f>
        <v>332129</v>
      </c>
      <c r="G6" s="56">
        <f>ROUND($C6*0,0)</f>
        <v>0</v>
      </c>
      <c r="H6" s="56">
        <f>ROUND($C6*0,0)</f>
        <v>0</v>
      </c>
      <c r="I6" s="56">
        <f t="shared" si="0"/>
        <v>0</v>
      </c>
    </row>
    <row r="7" spans="1:12" ht="17.25" customHeight="1" x14ac:dyDescent="0.2">
      <c r="A7" s="54" t="s">
        <v>101</v>
      </c>
      <c r="B7" s="55">
        <v>1.9E-3</v>
      </c>
      <c r="C7" s="56">
        <f t="shared" si="1"/>
        <v>175290</v>
      </c>
      <c r="D7" s="57" t="s">
        <v>109</v>
      </c>
      <c r="E7" s="56">
        <f>ROUND($C7*0,0)</f>
        <v>0</v>
      </c>
      <c r="F7" s="56">
        <f>ROUND($C7*0.7,0)</f>
        <v>122703</v>
      </c>
      <c r="G7" s="56">
        <f>ROUND($C7*0,0)</f>
        <v>0</v>
      </c>
      <c r="H7" s="56">
        <f>C7-F7</f>
        <v>52587</v>
      </c>
      <c r="I7" s="56">
        <f t="shared" si="0"/>
        <v>0</v>
      </c>
    </row>
    <row r="8" spans="1:12" ht="17.25" customHeight="1" x14ac:dyDescent="0.2">
      <c r="A8" s="54" t="s">
        <v>110</v>
      </c>
      <c r="B8" s="55">
        <v>8.9999999999999998E-4</v>
      </c>
      <c r="C8" s="56">
        <f t="shared" si="1"/>
        <v>83032</v>
      </c>
      <c r="D8" s="57" t="s">
        <v>108</v>
      </c>
      <c r="E8" s="56">
        <f>ROUND($C8*0,0)</f>
        <v>0</v>
      </c>
      <c r="F8" s="56">
        <f>ROUND($C8*1,0)</f>
        <v>83032</v>
      </c>
      <c r="G8" s="56">
        <f>ROUND($C8*0,0)</f>
        <v>0</v>
      </c>
      <c r="H8" s="56">
        <f>ROUND($C8*0,0)</f>
        <v>0</v>
      </c>
      <c r="I8" s="56">
        <f t="shared" si="0"/>
        <v>0</v>
      </c>
    </row>
    <row r="9" spans="1:12" ht="17.25" customHeight="1" x14ac:dyDescent="0.2">
      <c r="A9" s="54" t="s">
        <v>111</v>
      </c>
      <c r="B9" s="55">
        <v>1E-3</v>
      </c>
      <c r="C9" s="56">
        <f t="shared" si="1"/>
        <v>92258</v>
      </c>
      <c r="D9" s="57" t="s">
        <v>108</v>
      </c>
      <c r="E9" s="56">
        <f>ROUND($C9*0,0)</f>
        <v>0</v>
      </c>
      <c r="F9" s="56">
        <f>ROUND($C9*1,0)</f>
        <v>92258</v>
      </c>
      <c r="G9" s="56">
        <f>ROUND($C9*0,0)</f>
        <v>0</v>
      </c>
      <c r="H9" s="56">
        <f>ROUND($C9*0,0)</f>
        <v>0</v>
      </c>
      <c r="I9" s="56">
        <f t="shared" si="0"/>
        <v>0</v>
      </c>
    </row>
    <row r="10" spans="1:12" ht="17.25" customHeight="1" x14ac:dyDescent="0.2">
      <c r="A10" s="54" t="s">
        <v>97</v>
      </c>
      <c r="B10" s="55">
        <v>0.69950000000000001</v>
      </c>
      <c r="C10" s="56">
        <f t="shared" si="1"/>
        <v>64534569</v>
      </c>
      <c r="D10" s="58" t="s">
        <v>112</v>
      </c>
      <c r="E10" s="56">
        <f>ROUNDDOWN($C10*0.5,0)</f>
        <v>32267284</v>
      </c>
      <c r="F10" s="56">
        <f>ROUND($C10*0,0)</f>
        <v>0</v>
      </c>
      <c r="G10" s="56">
        <f>ROUNDUP($C10*0.5,0)</f>
        <v>32267285</v>
      </c>
      <c r="H10" s="56">
        <f>ROUND($C10*0,0)</f>
        <v>0</v>
      </c>
      <c r="I10" s="56">
        <f t="shared" si="0"/>
        <v>0</v>
      </c>
    </row>
    <row r="11" spans="1:12" ht="17.25" customHeight="1" x14ac:dyDescent="0.2">
      <c r="A11" s="54" t="s">
        <v>113</v>
      </c>
      <c r="B11" s="55">
        <v>1E-4</v>
      </c>
      <c r="C11" s="56">
        <f t="shared" si="1"/>
        <v>9226</v>
      </c>
      <c r="D11" s="59" t="s">
        <v>114</v>
      </c>
      <c r="E11" s="56">
        <f>ROUND($C11*0,0)</f>
        <v>0</v>
      </c>
      <c r="F11" s="56">
        <f>ROUND($C11*0,0)</f>
        <v>0</v>
      </c>
      <c r="G11" s="56">
        <f>ROUND($C11*1,0)</f>
        <v>9226</v>
      </c>
      <c r="H11" s="56">
        <f>ROUND($C11*0,0)</f>
        <v>0</v>
      </c>
      <c r="I11" s="56">
        <f t="shared" si="0"/>
        <v>0</v>
      </c>
    </row>
    <row r="12" spans="1:12" ht="17.25" customHeight="1" x14ac:dyDescent="0.2">
      <c r="A12" s="54" t="s">
        <v>115</v>
      </c>
      <c r="B12" s="55">
        <v>1E-4</v>
      </c>
      <c r="C12" s="56">
        <f t="shared" si="1"/>
        <v>9226</v>
      </c>
      <c r="D12" s="59" t="s">
        <v>106</v>
      </c>
      <c r="E12" s="56">
        <f>ROUND($C12*1,0)</f>
        <v>9226</v>
      </c>
      <c r="F12" s="56">
        <f>ROUND($C12*0,0)</f>
        <v>0</v>
      </c>
      <c r="G12" s="56">
        <f>ROUND($C12*0,0)</f>
        <v>0</v>
      </c>
      <c r="H12" s="56">
        <f>ROUND($C12*0,0)</f>
        <v>0</v>
      </c>
      <c r="I12" s="56">
        <f t="shared" si="0"/>
        <v>0</v>
      </c>
    </row>
    <row r="13" spans="1:12" ht="17.25" customHeight="1" thickBot="1" x14ac:dyDescent="0.25">
      <c r="A13" s="60" t="s">
        <v>22</v>
      </c>
      <c r="B13" s="55">
        <v>5.7999999999999996E-3</v>
      </c>
      <c r="C13" s="56">
        <f t="shared" si="1"/>
        <v>535097</v>
      </c>
      <c r="D13" s="61" t="s">
        <v>116</v>
      </c>
      <c r="E13" s="56">
        <f>ROUND($C13*0,0)</f>
        <v>0</v>
      </c>
      <c r="F13" s="56">
        <f>ROUND($C13*0,0)</f>
        <v>0</v>
      </c>
      <c r="G13" s="56">
        <f>ROUND($C13*0,0)</f>
        <v>0</v>
      </c>
      <c r="H13" s="56">
        <f>ROUND($C13*1,0)</f>
        <v>535097</v>
      </c>
      <c r="I13" s="56">
        <f t="shared" si="0"/>
        <v>0</v>
      </c>
    </row>
    <row r="14" spans="1:12" ht="17.25" customHeight="1" thickTop="1" thickBot="1" x14ac:dyDescent="0.3">
      <c r="A14" s="62" t="s">
        <v>102</v>
      </c>
      <c r="B14" s="62">
        <f>SUM(B4:B13)</f>
        <v>1</v>
      </c>
      <c r="C14" s="63">
        <f>SUM('SFY 1920'!U6:U27)-'SFY 1920'!U11</f>
        <v>92258140</v>
      </c>
      <c r="D14" s="64"/>
      <c r="E14" s="63">
        <f>SUM(E4:E13)</f>
        <v>47337653</v>
      </c>
      <c r="F14" s="63">
        <f>SUM(F4:F13)</f>
        <v>8628441</v>
      </c>
      <c r="G14" s="63">
        <f>SUM(G4:G13)</f>
        <v>32276511</v>
      </c>
      <c r="H14" s="63">
        <f>SUM(H4:H13)</f>
        <v>4015535</v>
      </c>
      <c r="I14" s="63">
        <f>SUM(I4:I13)</f>
        <v>0</v>
      </c>
      <c r="J14" s="65">
        <f>SUM(C4:C13)</f>
        <v>92258140</v>
      </c>
      <c r="K14" s="65"/>
      <c r="L14" s="65"/>
    </row>
    <row r="15" spans="1:12" ht="17.25" customHeight="1" thickTop="1" thickBot="1" x14ac:dyDescent="0.3">
      <c r="A15" s="114" t="s">
        <v>103</v>
      </c>
      <c r="B15" s="115"/>
      <c r="C15" s="116"/>
      <c r="D15" s="117"/>
      <c r="E15" s="116"/>
      <c r="F15" s="84">
        <f>-H15</f>
        <v>4015535</v>
      </c>
      <c r="G15" s="118"/>
      <c r="H15" s="84">
        <f>-H14</f>
        <v>-4015535</v>
      </c>
      <c r="I15" s="84"/>
      <c r="J15" s="65"/>
    </row>
    <row r="16" spans="1:12" ht="17.25" customHeight="1" thickTop="1" thickBot="1" x14ac:dyDescent="0.3">
      <c r="A16" s="119" t="s">
        <v>10</v>
      </c>
      <c r="B16" s="120"/>
      <c r="C16" s="63">
        <f>SUM(C14:C15)</f>
        <v>92258140</v>
      </c>
      <c r="D16" s="88"/>
      <c r="E16" s="63">
        <f>SUM(E14:E15)</f>
        <v>47337653</v>
      </c>
      <c r="F16" s="63">
        <f>SUM(F14:F15)</f>
        <v>12643976</v>
      </c>
      <c r="G16" s="63">
        <f>SUM(G14:G15)</f>
        <v>32276511</v>
      </c>
      <c r="H16" s="63">
        <f>SUM(H14:H15)</f>
        <v>0</v>
      </c>
      <c r="I16" s="63">
        <f>SUM(I14:I15)</f>
        <v>0</v>
      </c>
      <c r="J16" s="65"/>
    </row>
    <row r="17" spans="1:12" ht="17.25" customHeight="1" thickTop="1" x14ac:dyDescent="0.2">
      <c r="A17" s="66" t="s">
        <v>98</v>
      </c>
      <c r="B17" s="66"/>
      <c r="C17" s="121"/>
      <c r="D17" s="121"/>
      <c r="E17" s="122"/>
      <c r="F17" s="171">
        <f>SUM(F16:G16)</f>
        <v>44920487</v>
      </c>
      <c r="G17" s="172"/>
      <c r="H17" s="122"/>
      <c r="I17" s="122"/>
    </row>
    <row r="18" spans="1:12" ht="16.7" customHeight="1" x14ac:dyDescent="0.25">
      <c r="A18" s="69"/>
      <c r="B18" s="69"/>
      <c r="C18" s="70"/>
      <c r="D18" s="46"/>
      <c r="E18" s="46"/>
      <c r="F18" s="46"/>
      <c r="G18" s="71"/>
      <c r="H18" s="72"/>
    </row>
    <row r="19" spans="1:12" ht="17.25" customHeight="1" thickBot="1" x14ac:dyDescent="0.3">
      <c r="A19" s="47" t="s">
        <v>124</v>
      </c>
      <c r="B19" s="48"/>
      <c r="C19" s="48"/>
      <c r="D19" s="48"/>
      <c r="E19" s="48"/>
      <c r="F19" s="48"/>
      <c r="G19" s="48"/>
      <c r="H19" s="49"/>
      <c r="I19" s="49"/>
    </row>
    <row r="20" spans="1:12" ht="17.25" customHeight="1" thickTop="1" x14ac:dyDescent="0.25">
      <c r="A20" s="50"/>
      <c r="B20" s="51" t="s">
        <v>90</v>
      </c>
      <c r="C20" s="51" t="s">
        <v>90</v>
      </c>
      <c r="D20" s="51" t="s">
        <v>91</v>
      </c>
      <c r="E20" s="51" t="s">
        <v>92</v>
      </c>
      <c r="F20" s="51" t="s">
        <v>93</v>
      </c>
      <c r="G20" s="51" t="s">
        <v>94</v>
      </c>
      <c r="H20" s="51" t="s">
        <v>9</v>
      </c>
      <c r="I20" s="51" t="s">
        <v>104</v>
      </c>
    </row>
    <row r="21" spans="1:12" ht="17.25" customHeight="1" x14ac:dyDescent="0.25">
      <c r="A21" s="52" t="s">
        <v>90</v>
      </c>
      <c r="B21" s="53" t="s">
        <v>71</v>
      </c>
      <c r="C21" s="53" t="s">
        <v>95</v>
      </c>
      <c r="D21" s="53" t="s">
        <v>105</v>
      </c>
      <c r="E21" s="53" t="s">
        <v>11</v>
      </c>
      <c r="F21" s="53" t="s">
        <v>11</v>
      </c>
      <c r="G21" s="53" t="s">
        <v>11</v>
      </c>
      <c r="H21" s="53" t="s">
        <v>11</v>
      </c>
      <c r="I21" s="53" t="s">
        <v>11</v>
      </c>
    </row>
    <row r="22" spans="1:12" ht="17.25" customHeight="1" x14ac:dyDescent="0.2">
      <c r="A22" s="73" t="s">
        <v>99</v>
      </c>
      <c r="B22" s="55">
        <v>3.9399999999999998E-2</v>
      </c>
      <c r="C22" s="56">
        <f>C32-SUM(C23:C31)</f>
        <v>104664</v>
      </c>
      <c r="D22" s="57" t="s">
        <v>106</v>
      </c>
      <c r="E22" s="56">
        <f>ROUND($C22*1,0)</f>
        <v>104664</v>
      </c>
      <c r="F22" s="56">
        <f>ROUND($C22*0,0)</f>
        <v>0</v>
      </c>
      <c r="G22" s="56">
        <f>ROUND($C22*0,0)</f>
        <v>0</v>
      </c>
      <c r="H22" s="56">
        <f>ROUND($C22*0,0)</f>
        <v>0</v>
      </c>
      <c r="I22" s="56">
        <f>ROUND($C22*0,0)</f>
        <v>0</v>
      </c>
    </row>
    <row r="23" spans="1:12" ht="17.25" customHeight="1" x14ac:dyDescent="0.2">
      <c r="A23" s="73" t="s">
        <v>68</v>
      </c>
      <c r="B23" s="55">
        <v>0.2477</v>
      </c>
      <c r="C23" s="56">
        <f>ROUND($C$32*B23,0)</f>
        <v>657997</v>
      </c>
      <c r="D23" s="57" t="s">
        <v>107</v>
      </c>
      <c r="E23" s="56">
        <f>ROUND($C23*0.5,0)</f>
        <v>328999</v>
      </c>
      <c r="F23" s="56">
        <f>ROUND($C23*0.35,0)</f>
        <v>230299</v>
      </c>
      <c r="G23" s="56">
        <f>ROUND($C23*0,0)</f>
        <v>0</v>
      </c>
      <c r="H23" s="56">
        <f>C23-E23-F23</f>
        <v>98699</v>
      </c>
      <c r="I23" s="56">
        <f t="shared" ref="I23:I31" si="2">ROUND($C23*0,0)</f>
        <v>0</v>
      </c>
    </row>
    <row r="24" spans="1:12" ht="17.25" customHeight="1" x14ac:dyDescent="0.2">
      <c r="A24" s="73" t="s">
        <v>100</v>
      </c>
      <c r="B24" s="55">
        <v>3.5999999999999999E-3</v>
      </c>
      <c r="C24" s="56">
        <f t="shared" ref="C24:C31" si="3">ROUND($C$32*B24,0)</f>
        <v>9563</v>
      </c>
      <c r="D24" s="57" t="s">
        <v>108</v>
      </c>
      <c r="E24" s="56">
        <f>ROUND($C24*0,0)</f>
        <v>0</v>
      </c>
      <c r="F24" s="56">
        <f>ROUND($C24*1,0)</f>
        <v>9563</v>
      </c>
      <c r="G24" s="56">
        <f>ROUND($C24*0,0)</f>
        <v>0</v>
      </c>
      <c r="H24" s="56">
        <f>ROUND($C24*0,0)</f>
        <v>0</v>
      </c>
      <c r="I24" s="56">
        <f t="shared" si="2"/>
        <v>0</v>
      </c>
    </row>
    <row r="25" spans="1:12" ht="17.25" customHeight="1" x14ac:dyDescent="0.2">
      <c r="A25" s="54" t="s">
        <v>101</v>
      </c>
      <c r="B25" s="55">
        <v>1.9E-3</v>
      </c>
      <c r="C25" s="56">
        <f t="shared" si="3"/>
        <v>5047</v>
      </c>
      <c r="D25" s="57" t="s">
        <v>109</v>
      </c>
      <c r="E25" s="56">
        <f>ROUND($C25*0,0)</f>
        <v>0</v>
      </c>
      <c r="F25" s="56">
        <f>ROUND($C25*0.7,0)</f>
        <v>3533</v>
      </c>
      <c r="G25" s="56">
        <f>ROUND($C25*0,0)</f>
        <v>0</v>
      </c>
      <c r="H25" s="56">
        <f>C25-F25</f>
        <v>1514</v>
      </c>
      <c r="I25" s="56">
        <f t="shared" si="2"/>
        <v>0</v>
      </c>
    </row>
    <row r="26" spans="1:12" ht="17.25" customHeight="1" x14ac:dyDescent="0.2">
      <c r="A26" s="54" t="s">
        <v>110</v>
      </c>
      <c r="B26" s="55">
        <v>8.9999999999999998E-4</v>
      </c>
      <c r="C26" s="56">
        <f t="shared" si="3"/>
        <v>2391</v>
      </c>
      <c r="D26" s="57" t="s">
        <v>108</v>
      </c>
      <c r="E26" s="56">
        <f>ROUND($C26*0,0)</f>
        <v>0</v>
      </c>
      <c r="F26" s="56">
        <f>ROUND($C26*1,0)</f>
        <v>2391</v>
      </c>
      <c r="G26" s="56">
        <f>ROUND($C26*0,0)</f>
        <v>0</v>
      </c>
      <c r="H26" s="56">
        <f>ROUND($C26*0,0)</f>
        <v>0</v>
      </c>
      <c r="I26" s="56">
        <f t="shared" si="2"/>
        <v>0</v>
      </c>
    </row>
    <row r="27" spans="1:12" ht="17.25" customHeight="1" x14ac:dyDescent="0.2">
      <c r="A27" s="54" t="s">
        <v>111</v>
      </c>
      <c r="B27" s="55">
        <v>1E-3</v>
      </c>
      <c r="C27" s="56">
        <f t="shared" si="3"/>
        <v>2656</v>
      </c>
      <c r="D27" s="57" t="s">
        <v>108</v>
      </c>
      <c r="E27" s="56">
        <f>ROUND($C27*0,0)</f>
        <v>0</v>
      </c>
      <c r="F27" s="56">
        <f>ROUND($C27*1,0)</f>
        <v>2656</v>
      </c>
      <c r="G27" s="56">
        <f>ROUND($C27*0,0)</f>
        <v>0</v>
      </c>
      <c r="H27" s="56">
        <f>ROUND($C27*0,0)</f>
        <v>0</v>
      </c>
      <c r="I27" s="56">
        <f t="shared" si="2"/>
        <v>0</v>
      </c>
    </row>
    <row r="28" spans="1:12" ht="17.25" customHeight="1" x14ac:dyDescent="0.2">
      <c r="A28" s="54" t="s">
        <v>97</v>
      </c>
      <c r="B28" s="55">
        <v>0.69950000000000001</v>
      </c>
      <c r="C28" s="56">
        <f t="shared" si="3"/>
        <v>1858172</v>
      </c>
      <c r="D28" s="58" t="s">
        <v>112</v>
      </c>
      <c r="E28" s="56">
        <f>ROUNDDOWN($C28*0.5,0)</f>
        <v>929086</v>
      </c>
      <c r="F28" s="56">
        <f>ROUND($C28*0,0)</f>
        <v>0</v>
      </c>
      <c r="G28" s="56">
        <f>ROUNDUP($C28*0.5,0)</f>
        <v>929086</v>
      </c>
      <c r="H28" s="56">
        <f>ROUND($C28*0,0)</f>
        <v>0</v>
      </c>
      <c r="I28" s="56">
        <f t="shared" si="2"/>
        <v>0</v>
      </c>
    </row>
    <row r="29" spans="1:12" ht="17.25" customHeight="1" x14ac:dyDescent="0.2">
      <c r="A29" s="54" t="s">
        <v>113</v>
      </c>
      <c r="B29" s="55">
        <v>1E-4</v>
      </c>
      <c r="C29" s="56">
        <f t="shared" si="3"/>
        <v>266</v>
      </c>
      <c r="D29" s="59" t="s">
        <v>114</v>
      </c>
      <c r="E29" s="56">
        <f>ROUND($C29*0,0)</f>
        <v>0</v>
      </c>
      <c r="F29" s="56">
        <f>ROUND($C29*0,0)</f>
        <v>0</v>
      </c>
      <c r="G29" s="56">
        <f>ROUND($C29*1,0)</f>
        <v>266</v>
      </c>
      <c r="H29" s="56">
        <f>ROUND($C29*0,0)</f>
        <v>0</v>
      </c>
      <c r="I29" s="56">
        <f t="shared" si="2"/>
        <v>0</v>
      </c>
    </row>
    <row r="30" spans="1:12" ht="17.25" customHeight="1" x14ac:dyDescent="0.2">
      <c r="A30" s="54" t="s">
        <v>115</v>
      </c>
      <c r="B30" s="55">
        <v>1E-4</v>
      </c>
      <c r="C30" s="56">
        <f t="shared" si="3"/>
        <v>266</v>
      </c>
      <c r="D30" s="59" t="s">
        <v>106</v>
      </c>
      <c r="E30" s="56">
        <f>ROUND($C30*1,0)</f>
        <v>266</v>
      </c>
      <c r="F30" s="56">
        <f>ROUND($C30*0,0)</f>
        <v>0</v>
      </c>
      <c r="G30" s="56">
        <f>ROUND($C30*0,0)</f>
        <v>0</v>
      </c>
      <c r="H30" s="56">
        <f>ROUND($C30*0,0)</f>
        <v>0</v>
      </c>
      <c r="I30" s="56">
        <f t="shared" si="2"/>
        <v>0</v>
      </c>
    </row>
    <row r="31" spans="1:12" ht="17.25" customHeight="1" thickBot="1" x14ac:dyDescent="0.25">
      <c r="A31" s="60" t="s">
        <v>22</v>
      </c>
      <c r="B31" s="55">
        <v>5.7999999999999996E-3</v>
      </c>
      <c r="C31" s="56">
        <f t="shared" si="3"/>
        <v>15407</v>
      </c>
      <c r="D31" s="61" t="s">
        <v>116</v>
      </c>
      <c r="E31" s="56">
        <f>ROUND($C31*0,0)</f>
        <v>0</v>
      </c>
      <c r="F31" s="56">
        <f>ROUND($C31*0,0)</f>
        <v>0</v>
      </c>
      <c r="G31" s="56">
        <f>ROUND($C31*0,0)</f>
        <v>0</v>
      </c>
      <c r="H31" s="56">
        <f>ROUND($C31*1,0)</f>
        <v>15407</v>
      </c>
      <c r="I31" s="56">
        <f t="shared" si="2"/>
        <v>0</v>
      </c>
    </row>
    <row r="32" spans="1:12" ht="17.25" customHeight="1" x14ac:dyDescent="0.25">
      <c r="A32" s="76" t="s">
        <v>102</v>
      </c>
      <c r="B32" s="77">
        <f>SUM(B22:B31)</f>
        <v>1</v>
      </c>
      <c r="C32" s="78">
        <f>'SFY 1920'!U11</f>
        <v>2656429</v>
      </c>
      <c r="D32" s="79"/>
      <c r="E32" s="78">
        <f>SUM(E22:E31)</f>
        <v>1363015</v>
      </c>
      <c r="F32" s="78">
        <f>SUM(F22:F31)</f>
        <v>248442</v>
      </c>
      <c r="G32" s="78">
        <f>SUM(G22:G31)</f>
        <v>929352</v>
      </c>
      <c r="H32" s="78">
        <f>SUM(H22:H31)</f>
        <v>115620</v>
      </c>
      <c r="I32" s="78">
        <f>SUM(I22:I31)</f>
        <v>0</v>
      </c>
      <c r="J32" s="65">
        <f>SUM(C22:C31)</f>
        <v>2656429</v>
      </c>
      <c r="K32" s="65"/>
      <c r="L32" s="65"/>
    </row>
    <row r="33" spans="1:100" ht="17.25" customHeight="1" thickBot="1" x14ac:dyDescent="0.3">
      <c r="A33" s="80" t="s">
        <v>117</v>
      </c>
      <c r="B33" s="81"/>
      <c r="C33" s="82"/>
      <c r="D33" s="83"/>
      <c r="E33" s="82"/>
      <c r="F33" s="56">
        <f>-H33</f>
        <v>115620</v>
      </c>
      <c r="G33" s="84"/>
      <c r="H33" s="56">
        <f>-H32</f>
        <v>-115620</v>
      </c>
      <c r="I33" s="84"/>
    </row>
    <row r="34" spans="1:100" ht="17.25" customHeight="1" thickTop="1" thickBot="1" x14ac:dyDescent="0.3">
      <c r="A34" s="85" t="s">
        <v>10</v>
      </c>
      <c r="B34" s="86"/>
      <c r="C34" s="87">
        <f>SUM(C32:C33)</f>
        <v>2656429</v>
      </c>
      <c r="D34" s="88"/>
      <c r="E34" s="87">
        <f>SUM(E32:E33)</f>
        <v>1363015</v>
      </c>
      <c r="F34" s="87">
        <f>SUM(F32:F33)</f>
        <v>364062</v>
      </c>
      <c r="G34" s="87">
        <f>SUM(G32:G33)</f>
        <v>929352</v>
      </c>
      <c r="H34" s="87">
        <f>SUM(H32:H33)</f>
        <v>0</v>
      </c>
      <c r="I34" s="87">
        <f>SUM(I32:I33)</f>
        <v>0</v>
      </c>
    </row>
    <row r="35" spans="1:100" ht="17.25" customHeight="1" thickTop="1" x14ac:dyDescent="0.25">
      <c r="A35" s="73" t="s">
        <v>98</v>
      </c>
      <c r="B35" s="89"/>
      <c r="C35" s="67"/>
      <c r="D35" s="67"/>
      <c r="E35" s="68"/>
      <c r="F35" s="173">
        <f>F34+G34</f>
        <v>1293414</v>
      </c>
      <c r="G35" s="174">
        <v>1248864</v>
      </c>
      <c r="H35" s="68"/>
      <c r="I35" s="68"/>
    </row>
    <row r="36" spans="1:100" ht="16.7" customHeight="1" x14ac:dyDescent="0.25">
      <c r="A36" s="69"/>
      <c r="B36" s="69"/>
      <c r="C36" s="70"/>
      <c r="D36" s="46"/>
      <c r="E36" s="46"/>
      <c r="F36" s="46"/>
      <c r="G36" s="71"/>
      <c r="H36" s="72"/>
    </row>
    <row r="37" spans="1:100" s="95" customFormat="1" ht="16.7" customHeight="1" thickBot="1" x14ac:dyDescent="0.3">
      <c r="A37" s="92" t="s">
        <v>120</v>
      </c>
      <c r="B37" s="93"/>
      <c r="C37" s="93"/>
      <c r="D37" s="93"/>
      <c r="E37" s="93"/>
      <c r="F37" s="93"/>
      <c r="G37" s="93"/>
      <c r="H37" s="94"/>
      <c r="I37" s="94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</row>
    <row r="38" spans="1:100" s="95" customFormat="1" ht="16.7" customHeight="1" thickTop="1" x14ac:dyDescent="0.25">
      <c r="A38" s="96"/>
      <c r="B38" s="97" t="s">
        <v>90</v>
      </c>
      <c r="C38" s="97" t="s">
        <v>90</v>
      </c>
      <c r="D38" s="97" t="s">
        <v>91</v>
      </c>
      <c r="E38" s="97" t="s">
        <v>92</v>
      </c>
      <c r="F38" s="97" t="s">
        <v>93</v>
      </c>
      <c r="G38" s="97" t="s">
        <v>94</v>
      </c>
      <c r="H38" s="97" t="s">
        <v>9</v>
      </c>
      <c r="I38" s="51" t="s">
        <v>104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</row>
    <row r="39" spans="1:100" s="95" customFormat="1" ht="16.7" customHeight="1" x14ac:dyDescent="0.25">
      <c r="A39" s="98" t="s">
        <v>90</v>
      </c>
      <c r="B39" s="99" t="s">
        <v>71</v>
      </c>
      <c r="C39" s="99" t="s">
        <v>95</v>
      </c>
      <c r="D39" s="53" t="s">
        <v>105</v>
      </c>
      <c r="E39" s="99" t="s">
        <v>11</v>
      </c>
      <c r="F39" s="99" t="s">
        <v>11</v>
      </c>
      <c r="G39" s="99" t="s">
        <v>11</v>
      </c>
      <c r="H39" s="99" t="s">
        <v>11</v>
      </c>
      <c r="I39" s="53" t="s">
        <v>11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</row>
    <row r="40" spans="1:100" s="95" customFormat="1" ht="16.7" customHeight="1" thickBot="1" x14ac:dyDescent="0.25">
      <c r="A40" s="66" t="s">
        <v>97</v>
      </c>
      <c r="B40" s="90">
        <f>100%</f>
        <v>1</v>
      </c>
      <c r="C40" s="56">
        <f>C41</f>
        <v>5042578</v>
      </c>
      <c r="D40" s="100" t="s">
        <v>118</v>
      </c>
      <c r="E40" s="56">
        <f>ROUND($C40*0.75,0)</f>
        <v>3781934</v>
      </c>
      <c r="F40" s="56">
        <f>ROUND($C40*0,0)</f>
        <v>0</v>
      </c>
      <c r="G40" s="56">
        <f>ROUND($C40*0.25,0)</f>
        <v>1260645</v>
      </c>
      <c r="H40" s="56">
        <f>ROUND($C40*0,0)</f>
        <v>0</v>
      </c>
      <c r="I40" s="56">
        <f>ROUND($C40*0,0)</f>
        <v>0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</row>
    <row r="41" spans="1:100" s="95" customFormat="1" ht="16.7" customHeight="1" thickTop="1" thickBot="1" x14ac:dyDescent="0.3">
      <c r="A41" s="101" t="s">
        <v>10</v>
      </c>
      <c r="B41" s="101">
        <f>SUM(B38:B40)</f>
        <v>1</v>
      </c>
      <c r="C41" s="63">
        <f>'SFY 1920'!U29+'SFY 1920'!U31+'SFY 1920'!U32</f>
        <v>5042578</v>
      </c>
      <c r="D41" s="91"/>
      <c r="E41" s="63">
        <f>SUM(E40:E40)</f>
        <v>3781934</v>
      </c>
      <c r="F41" s="63">
        <f>SUM(F40:F40)</f>
        <v>0</v>
      </c>
      <c r="G41" s="63">
        <f>SUM(G40:G40)</f>
        <v>1260645</v>
      </c>
      <c r="H41" s="63">
        <f>SUM(H40:H40)</f>
        <v>0</v>
      </c>
      <c r="I41" s="63">
        <f>SUM(I40:I40)</f>
        <v>0</v>
      </c>
      <c r="J41" s="65">
        <f>SUM(C40:C40)</f>
        <v>5042578</v>
      </c>
      <c r="K41" s="65"/>
      <c r="L41" s="6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</row>
    <row r="42" spans="1:100" s="95" customFormat="1" ht="17.25" customHeight="1" thickTop="1" x14ac:dyDescent="0.2">
      <c r="A42" s="66" t="s">
        <v>98</v>
      </c>
      <c r="B42" s="66"/>
      <c r="C42" s="102"/>
      <c r="D42" s="102"/>
      <c r="E42" s="103"/>
      <c r="F42" s="175">
        <f>F41+G41</f>
        <v>1260645</v>
      </c>
      <c r="G42" s="176">
        <v>0</v>
      </c>
      <c r="H42" s="103"/>
      <c r="I42" s="103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</row>
    <row r="43" spans="1:100" s="95" customFormat="1" ht="17.25" customHeight="1" x14ac:dyDescent="0.25">
      <c r="A43" s="69"/>
      <c r="B43" s="69"/>
      <c r="C43" s="70"/>
      <c r="D43" s="46"/>
      <c r="E43" s="46"/>
      <c r="F43" s="46"/>
      <c r="G43" s="71"/>
      <c r="H43" s="72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</row>
    <row r="44" spans="1:100" s="95" customFormat="1" ht="17.25" customHeight="1" thickBot="1" x14ac:dyDescent="0.3">
      <c r="A44" s="92" t="s">
        <v>121</v>
      </c>
      <c r="B44" s="93"/>
      <c r="C44" s="93"/>
      <c r="D44" s="93"/>
      <c r="E44" s="93"/>
      <c r="F44" s="93"/>
      <c r="G44" s="93"/>
      <c r="H44" s="94"/>
      <c r="I44" s="94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</row>
    <row r="45" spans="1:100" s="95" customFormat="1" ht="17.25" customHeight="1" thickTop="1" x14ac:dyDescent="0.25">
      <c r="A45" s="96"/>
      <c r="B45" s="97" t="s">
        <v>90</v>
      </c>
      <c r="C45" s="97" t="s">
        <v>90</v>
      </c>
      <c r="D45" s="97" t="s">
        <v>91</v>
      </c>
      <c r="E45" s="97" t="s">
        <v>92</v>
      </c>
      <c r="F45" s="97" t="s">
        <v>93</v>
      </c>
      <c r="G45" s="97" t="s">
        <v>94</v>
      </c>
      <c r="H45" s="97" t="s">
        <v>9</v>
      </c>
      <c r="I45" s="51" t="s">
        <v>104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</row>
    <row r="46" spans="1:100" s="95" customFormat="1" ht="17.25" customHeight="1" x14ac:dyDescent="0.25">
      <c r="A46" s="98" t="s">
        <v>90</v>
      </c>
      <c r="B46" s="99" t="s">
        <v>71</v>
      </c>
      <c r="C46" s="99" t="s">
        <v>95</v>
      </c>
      <c r="D46" s="53" t="s">
        <v>105</v>
      </c>
      <c r="E46" s="99" t="s">
        <v>11</v>
      </c>
      <c r="F46" s="99" t="s">
        <v>11</v>
      </c>
      <c r="G46" s="99" t="s">
        <v>11</v>
      </c>
      <c r="H46" s="99" t="s">
        <v>11</v>
      </c>
      <c r="I46" s="53" t="s">
        <v>11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</row>
    <row r="47" spans="1:100" s="95" customFormat="1" ht="17.25" customHeight="1" x14ac:dyDescent="0.2">
      <c r="A47" s="66" t="s">
        <v>97</v>
      </c>
      <c r="B47" s="90">
        <v>0.87860000000000005</v>
      </c>
      <c r="C47" s="56">
        <f>C49-SUM(C48)</f>
        <v>7277899</v>
      </c>
      <c r="D47" s="100" t="s">
        <v>118</v>
      </c>
      <c r="E47" s="56">
        <f>ROUND($C47*0.75,0)</f>
        <v>5458424</v>
      </c>
      <c r="F47" s="56">
        <f>ROUND($C47*0,0)</f>
        <v>0</v>
      </c>
      <c r="G47" s="56">
        <f>ROUND($C47*0.25,0)</f>
        <v>1819475</v>
      </c>
      <c r="H47" s="56">
        <f>ROUND($C47*0,0)</f>
        <v>0</v>
      </c>
      <c r="I47" s="56">
        <f>ROUND($C47*0,0)</f>
        <v>0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</row>
    <row r="48" spans="1:100" s="95" customFormat="1" ht="17.25" customHeight="1" thickBot="1" x14ac:dyDescent="0.25">
      <c r="A48" s="104" t="s">
        <v>104</v>
      </c>
      <c r="B48" s="105">
        <v>0.12139999999999999</v>
      </c>
      <c r="C48" s="56">
        <f>ROUND($C$49*B48,0)</f>
        <v>1005619</v>
      </c>
      <c r="D48" s="100" t="s">
        <v>119</v>
      </c>
      <c r="E48" s="56">
        <f>ROUND($C48*0,0)</f>
        <v>0</v>
      </c>
      <c r="F48" s="56">
        <f>ROUND($C48*0,0)</f>
        <v>0</v>
      </c>
      <c r="G48" s="56">
        <f>ROUND($C48*0,0)</f>
        <v>0</v>
      </c>
      <c r="H48" s="56">
        <f>ROUND($C48*0,0)</f>
        <v>0</v>
      </c>
      <c r="I48" s="56">
        <f>ROUND($C48*1,0)</f>
        <v>1005619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</row>
    <row r="49" spans="1:100" s="95" customFormat="1" ht="17.25" customHeight="1" thickTop="1" thickBot="1" x14ac:dyDescent="0.3">
      <c r="A49" s="101" t="s">
        <v>10</v>
      </c>
      <c r="B49" s="101">
        <f>SUM(B46:B48)</f>
        <v>1</v>
      </c>
      <c r="C49" s="63">
        <f>'SFY 1920'!U30</f>
        <v>8283518</v>
      </c>
      <c r="D49" s="91"/>
      <c r="E49" s="63">
        <f>SUM(E47:E48)</f>
        <v>5458424</v>
      </c>
      <c r="F49" s="63">
        <f>SUM(F47:F48)</f>
        <v>0</v>
      </c>
      <c r="G49" s="63">
        <f>SUM(G47:G48)</f>
        <v>1819475</v>
      </c>
      <c r="H49" s="63">
        <f>SUM(H47:H48)</f>
        <v>0</v>
      </c>
      <c r="I49" s="63">
        <f>SUM(I47:I48)</f>
        <v>1005619</v>
      </c>
      <c r="J49" s="65">
        <f>SUM(C47:C48)</f>
        <v>8283518</v>
      </c>
      <c r="K49" s="65"/>
      <c r="L49" s="6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</row>
    <row r="50" spans="1:100" s="95" customFormat="1" ht="17.25" customHeight="1" thickTop="1" x14ac:dyDescent="0.2">
      <c r="A50" s="66" t="s">
        <v>98</v>
      </c>
      <c r="B50" s="66"/>
      <c r="C50" s="102"/>
      <c r="D50" s="102"/>
      <c r="E50" s="103"/>
      <c r="F50" s="175">
        <f>F49+G49</f>
        <v>1819475</v>
      </c>
      <c r="G50" s="176">
        <v>0</v>
      </c>
      <c r="H50" s="103"/>
      <c r="I50" s="103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</row>
    <row r="51" spans="1:100" ht="16.7" customHeight="1" x14ac:dyDescent="0.25">
      <c r="A51" s="69"/>
      <c r="B51" s="69"/>
      <c r="C51" s="70"/>
      <c r="D51" s="46"/>
      <c r="E51" s="46"/>
      <c r="F51" s="46"/>
      <c r="G51" s="71"/>
      <c r="H51" s="72"/>
    </row>
    <row r="52" spans="1:100" s="95" customFormat="1" ht="16.7" customHeight="1" thickBot="1" x14ac:dyDescent="0.3">
      <c r="A52" s="92" t="s">
        <v>24</v>
      </c>
      <c r="B52" s="93"/>
      <c r="C52" s="93"/>
      <c r="D52" s="93"/>
      <c r="E52" s="93"/>
      <c r="F52" s="93"/>
      <c r="G52" s="93"/>
      <c r="H52" s="94"/>
      <c r="I52" s="94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</row>
    <row r="53" spans="1:100" s="95" customFormat="1" ht="16.7" customHeight="1" thickTop="1" x14ac:dyDescent="0.25">
      <c r="A53" s="96"/>
      <c r="B53" s="97" t="s">
        <v>90</v>
      </c>
      <c r="C53" s="97" t="s">
        <v>90</v>
      </c>
      <c r="D53" s="97" t="s">
        <v>91</v>
      </c>
      <c r="E53" s="97" t="s">
        <v>92</v>
      </c>
      <c r="F53" s="97" t="s">
        <v>93</v>
      </c>
      <c r="G53" s="97" t="s">
        <v>94</v>
      </c>
      <c r="H53" s="97" t="s">
        <v>9</v>
      </c>
      <c r="I53" s="51" t="s">
        <v>104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</row>
    <row r="54" spans="1:100" s="95" customFormat="1" ht="16.7" customHeight="1" x14ac:dyDescent="0.25">
      <c r="A54" s="98" t="s">
        <v>90</v>
      </c>
      <c r="B54" s="99" t="s">
        <v>71</v>
      </c>
      <c r="C54" s="99" t="s">
        <v>95</v>
      </c>
      <c r="D54" s="53" t="s">
        <v>105</v>
      </c>
      <c r="E54" s="99" t="s">
        <v>11</v>
      </c>
      <c r="F54" s="99" t="s">
        <v>11</v>
      </c>
      <c r="G54" s="99" t="s">
        <v>11</v>
      </c>
      <c r="H54" s="99" t="s">
        <v>11</v>
      </c>
      <c r="I54" s="53" t="s">
        <v>11</v>
      </c>
      <c r="J54" s="45"/>
      <c r="K54" s="45"/>
      <c r="L54" s="45"/>
      <c r="M54" s="45"/>
      <c r="N54" s="45"/>
      <c r="O54" s="106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</row>
    <row r="55" spans="1:100" s="95" customFormat="1" ht="16.7" customHeight="1" thickBot="1" x14ac:dyDescent="0.25">
      <c r="A55" s="66" t="s">
        <v>97</v>
      </c>
      <c r="B55" s="90">
        <f>100%</f>
        <v>1</v>
      </c>
      <c r="C55" s="56">
        <f>C56</f>
        <v>1856497</v>
      </c>
      <c r="D55" s="100" t="s">
        <v>118</v>
      </c>
      <c r="E55" s="56">
        <f>ROUND($C55*0.75,0)</f>
        <v>1392373</v>
      </c>
      <c r="F55" s="56">
        <f>ROUND($C55*0,0)</f>
        <v>0</v>
      </c>
      <c r="G55" s="56">
        <f>ROUND($C55*0.25,0)</f>
        <v>464124</v>
      </c>
      <c r="H55" s="56">
        <f>ROUND($C55*0,0)</f>
        <v>0</v>
      </c>
      <c r="I55" s="56">
        <f>ROUND($C55*0,0)</f>
        <v>0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</row>
    <row r="56" spans="1:100" s="95" customFormat="1" ht="16.7" customHeight="1" thickTop="1" thickBot="1" x14ac:dyDescent="0.3">
      <c r="A56" s="101" t="s">
        <v>10</v>
      </c>
      <c r="B56" s="101">
        <f>SUM(B53:B55)</f>
        <v>1</v>
      </c>
      <c r="C56" s="63">
        <f>SUM('SFY 1920'!U34:U39)</f>
        <v>1856497</v>
      </c>
      <c r="D56" s="91"/>
      <c r="E56" s="63">
        <f>SUM(E55:E55)</f>
        <v>1392373</v>
      </c>
      <c r="F56" s="63">
        <f>SUM(F55:F55)</f>
        <v>0</v>
      </c>
      <c r="G56" s="63">
        <f>SUM(G55:G55)</f>
        <v>464124</v>
      </c>
      <c r="H56" s="63">
        <f>SUM(H55:H55)</f>
        <v>0</v>
      </c>
      <c r="I56" s="63">
        <f>SUM(I55:I55)</f>
        <v>0</v>
      </c>
      <c r="J56" s="65">
        <f>SUM(C55:C55)</f>
        <v>1856497</v>
      </c>
      <c r="K56" s="65"/>
      <c r="L56" s="6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</row>
    <row r="57" spans="1:100" s="95" customFormat="1" ht="17.25" customHeight="1" thickTop="1" x14ac:dyDescent="0.2">
      <c r="A57" s="66" t="s">
        <v>98</v>
      </c>
      <c r="B57" s="66"/>
      <c r="C57" s="102"/>
      <c r="D57" s="102"/>
      <c r="E57" s="103"/>
      <c r="F57" s="175">
        <f>F56+G56</f>
        <v>464124</v>
      </c>
      <c r="G57" s="176">
        <v>0</v>
      </c>
      <c r="H57" s="103"/>
      <c r="I57" s="103"/>
      <c r="J57" s="107"/>
      <c r="K57" s="45"/>
      <c r="L57" s="45"/>
      <c r="M57" s="45"/>
      <c r="N57" s="45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107"/>
      <c r="CE57" s="107"/>
      <c r="CF57" s="107"/>
      <c r="CG57" s="107"/>
      <c r="CH57" s="107"/>
      <c r="CI57" s="107"/>
      <c r="CJ57" s="107"/>
      <c r="CK57" s="107"/>
      <c r="CL57" s="107"/>
      <c r="CM57" s="107"/>
      <c r="CN57" s="107"/>
      <c r="CO57" s="107"/>
      <c r="CP57" s="107"/>
      <c r="CQ57" s="107"/>
      <c r="CR57" s="107"/>
      <c r="CS57" s="107"/>
      <c r="CT57" s="107"/>
      <c r="CU57" s="107"/>
      <c r="CV57" s="107"/>
    </row>
    <row r="58" spans="1:100" ht="16.7" customHeight="1" x14ac:dyDescent="0.25">
      <c r="A58" s="69"/>
      <c r="B58" s="69"/>
      <c r="C58" s="70"/>
      <c r="D58" s="46"/>
      <c r="E58" s="46"/>
      <c r="F58" s="46"/>
      <c r="G58" s="71"/>
      <c r="H58" s="72"/>
    </row>
    <row r="59" spans="1:100" ht="17.25" customHeight="1" thickBot="1" x14ac:dyDescent="0.3">
      <c r="A59" s="47" t="s">
        <v>122</v>
      </c>
      <c r="B59" s="48"/>
      <c r="C59" s="48"/>
      <c r="D59" s="48"/>
      <c r="E59" s="48"/>
      <c r="F59" s="48"/>
      <c r="G59" s="48"/>
      <c r="H59" s="49"/>
      <c r="I59" s="49"/>
    </row>
    <row r="60" spans="1:100" ht="17.25" customHeight="1" thickTop="1" x14ac:dyDescent="0.25">
      <c r="A60" s="50"/>
      <c r="B60" s="51" t="s">
        <v>90</v>
      </c>
      <c r="C60" s="51" t="s">
        <v>90</v>
      </c>
      <c r="D60" s="51" t="s">
        <v>91</v>
      </c>
      <c r="E60" s="51" t="s">
        <v>92</v>
      </c>
      <c r="F60" s="51" t="s">
        <v>93</v>
      </c>
      <c r="G60" s="51" t="s">
        <v>94</v>
      </c>
      <c r="H60" s="51" t="s">
        <v>9</v>
      </c>
      <c r="I60" s="51" t="s">
        <v>104</v>
      </c>
    </row>
    <row r="61" spans="1:100" ht="17.25" customHeight="1" x14ac:dyDescent="0.25">
      <c r="A61" s="52" t="s">
        <v>90</v>
      </c>
      <c r="B61" s="53" t="s">
        <v>71</v>
      </c>
      <c r="C61" s="53" t="s">
        <v>95</v>
      </c>
      <c r="D61" s="53" t="s">
        <v>96</v>
      </c>
      <c r="E61" s="53" t="s">
        <v>11</v>
      </c>
      <c r="F61" s="53" t="s">
        <v>11</v>
      </c>
      <c r="G61" s="53" t="s">
        <v>11</v>
      </c>
      <c r="H61" s="53" t="s">
        <v>11</v>
      </c>
      <c r="I61" s="53" t="s">
        <v>11</v>
      </c>
    </row>
    <row r="62" spans="1:100" ht="17.25" customHeight="1" x14ac:dyDescent="0.2">
      <c r="A62" s="73" t="s">
        <v>99</v>
      </c>
      <c r="B62" s="108"/>
      <c r="C62" s="56">
        <f t="shared" ref="C62:I67" si="4">SUM(C4+C22)</f>
        <v>3739636</v>
      </c>
      <c r="D62" s="57"/>
      <c r="E62" s="56">
        <f t="shared" si="4"/>
        <v>3739636</v>
      </c>
      <c r="F62" s="56">
        <f t="shared" si="4"/>
        <v>0</v>
      </c>
      <c r="G62" s="56">
        <f t="shared" si="4"/>
        <v>0</v>
      </c>
      <c r="H62" s="56">
        <f t="shared" si="4"/>
        <v>0</v>
      </c>
      <c r="I62" s="56">
        <f t="shared" si="4"/>
        <v>0</v>
      </c>
    </row>
    <row r="63" spans="1:100" ht="17.25" customHeight="1" x14ac:dyDescent="0.2">
      <c r="A63" s="73" t="s">
        <v>68</v>
      </c>
      <c r="B63" s="108"/>
      <c r="C63" s="56">
        <f t="shared" si="4"/>
        <v>23510338</v>
      </c>
      <c r="D63" s="57"/>
      <c r="E63" s="56">
        <f t="shared" si="4"/>
        <v>11755170</v>
      </c>
      <c r="F63" s="56">
        <f t="shared" si="4"/>
        <v>8228618</v>
      </c>
      <c r="G63" s="56">
        <f t="shared" si="4"/>
        <v>0</v>
      </c>
      <c r="H63" s="56">
        <f t="shared" si="4"/>
        <v>3526550</v>
      </c>
      <c r="I63" s="56">
        <f t="shared" si="4"/>
        <v>0</v>
      </c>
    </row>
    <row r="64" spans="1:100" ht="17.25" customHeight="1" x14ac:dyDescent="0.2">
      <c r="A64" s="73" t="s">
        <v>100</v>
      </c>
      <c r="B64" s="108"/>
      <c r="C64" s="56">
        <f t="shared" si="4"/>
        <v>341692</v>
      </c>
      <c r="D64" s="57"/>
      <c r="E64" s="56">
        <f t="shared" si="4"/>
        <v>0</v>
      </c>
      <c r="F64" s="56">
        <f t="shared" si="4"/>
        <v>341692</v>
      </c>
      <c r="G64" s="56">
        <f t="shared" si="4"/>
        <v>0</v>
      </c>
      <c r="H64" s="56">
        <f t="shared" si="4"/>
        <v>0</v>
      </c>
      <c r="I64" s="56">
        <f t="shared" si="4"/>
        <v>0</v>
      </c>
    </row>
    <row r="65" spans="1:14" ht="17.25" customHeight="1" x14ac:dyDescent="0.2">
      <c r="A65" s="73" t="s">
        <v>101</v>
      </c>
      <c r="B65" s="108"/>
      <c r="C65" s="56">
        <f t="shared" si="4"/>
        <v>180337</v>
      </c>
      <c r="D65" s="57"/>
      <c r="E65" s="56">
        <f t="shared" si="4"/>
        <v>0</v>
      </c>
      <c r="F65" s="56">
        <f t="shared" si="4"/>
        <v>126236</v>
      </c>
      <c r="G65" s="56">
        <f t="shared" si="4"/>
        <v>0</v>
      </c>
      <c r="H65" s="56">
        <f t="shared" si="4"/>
        <v>54101</v>
      </c>
      <c r="I65" s="56">
        <f t="shared" si="4"/>
        <v>0</v>
      </c>
    </row>
    <row r="66" spans="1:14" ht="17.25" customHeight="1" x14ac:dyDescent="0.2">
      <c r="A66" s="73" t="s">
        <v>110</v>
      </c>
      <c r="B66" s="108"/>
      <c r="C66" s="56">
        <f t="shared" si="4"/>
        <v>85423</v>
      </c>
      <c r="D66" s="57"/>
      <c r="E66" s="56">
        <f t="shared" si="4"/>
        <v>0</v>
      </c>
      <c r="F66" s="56">
        <f t="shared" si="4"/>
        <v>85423</v>
      </c>
      <c r="G66" s="56">
        <f t="shared" si="4"/>
        <v>0</v>
      </c>
      <c r="H66" s="56">
        <f t="shared" si="4"/>
        <v>0</v>
      </c>
      <c r="I66" s="56">
        <f t="shared" si="4"/>
        <v>0</v>
      </c>
    </row>
    <row r="67" spans="1:14" ht="17.25" customHeight="1" x14ac:dyDescent="0.2">
      <c r="A67" s="73" t="s">
        <v>111</v>
      </c>
      <c r="B67" s="108"/>
      <c r="C67" s="56">
        <f t="shared" si="4"/>
        <v>94914</v>
      </c>
      <c r="D67" s="57"/>
      <c r="E67" s="56">
        <f t="shared" si="4"/>
        <v>0</v>
      </c>
      <c r="F67" s="56">
        <f t="shared" si="4"/>
        <v>94914</v>
      </c>
      <c r="G67" s="56">
        <f t="shared" si="4"/>
        <v>0</v>
      </c>
      <c r="H67" s="56">
        <f t="shared" si="4"/>
        <v>0</v>
      </c>
      <c r="I67" s="56">
        <f t="shared" si="4"/>
        <v>0</v>
      </c>
    </row>
    <row r="68" spans="1:14" ht="17.25" customHeight="1" x14ac:dyDescent="0.2">
      <c r="A68" s="73" t="s">
        <v>97</v>
      </c>
      <c r="B68" s="108"/>
      <c r="C68" s="56">
        <f>SUM(C10+C28+C40+C47+C55)</f>
        <v>80569715</v>
      </c>
      <c r="D68" s="57"/>
      <c r="E68" s="56">
        <f>SUM(E10+E28+E40+E47+E55)</f>
        <v>43829101</v>
      </c>
      <c r="F68" s="56">
        <f>SUM(F10+F28+F40+F47+F55)</f>
        <v>0</v>
      </c>
      <c r="G68" s="56">
        <f>SUM(G10+G28+G40+G47+G55)</f>
        <v>36740615</v>
      </c>
      <c r="H68" s="56">
        <f>SUM(H10+H28+H40+H47+H55)</f>
        <v>0</v>
      </c>
      <c r="I68" s="56">
        <f>SUM(I10+I28+I40+I47+I55)</f>
        <v>0</v>
      </c>
    </row>
    <row r="69" spans="1:14" ht="17.25" customHeight="1" x14ac:dyDescent="0.2">
      <c r="A69" s="73" t="s">
        <v>104</v>
      </c>
      <c r="B69" s="108"/>
      <c r="C69" s="56">
        <f>C48</f>
        <v>1005619</v>
      </c>
      <c r="D69" s="57"/>
      <c r="E69" s="56">
        <f>E48</f>
        <v>0</v>
      </c>
      <c r="F69" s="56">
        <f>F48</f>
        <v>0</v>
      </c>
      <c r="G69" s="56">
        <f>G48</f>
        <v>0</v>
      </c>
      <c r="H69" s="56">
        <f>H48</f>
        <v>0</v>
      </c>
      <c r="I69" s="56">
        <f>I48</f>
        <v>1005619</v>
      </c>
    </row>
    <row r="70" spans="1:14" ht="17.25" customHeight="1" x14ac:dyDescent="0.2">
      <c r="A70" s="109" t="s">
        <v>113</v>
      </c>
      <c r="B70" s="108"/>
      <c r="C70" s="56">
        <f>SUM(C11+C29)</f>
        <v>9492</v>
      </c>
      <c r="D70" s="57"/>
      <c r="E70" s="56">
        <f t="shared" ref="E70:I72" si="5">SUM(E11+E29)</f>
        <v>0</v>
      </c>
      <c r="F70" s="56">
        <f t="shared" si="5"/>
        <v>0</v>
      </c>
      <c r="G70" s="56">
        <f t="shared" si="5"/>
        <v>9492</v>
      </c>
      <c r="H70" s="56">
        <f t="shared" si="5"/>
        <v>0</v>
      </c>
      <c r="I70" s="56">
        <f t="shared" si="5"/>
        <v>0</v>
      </c>
    </row>
    <row r="71" spans="1:14" ht="17.25" customHeight="1" x14ac:dyDescent="0.2">
      <c r="A71" s="74" t="s">
        <v>115</v>
      </c>
      <c r="B71" s="108"/>
      <c r="C71" s="56">
        <f>SUM(C12+C30)</f>
        <v>9492</v>
      </c>
      <c r="D71" s="57"/>
      <c r="E71" s="56">
        <f t="shared" si="5"/>
        <v>9492</v>
      </c>
      <c r="F71" s="56">
        <f t="shared" si="5"/>
        <v>0</v>
      </c>
      <c r="G71" s="56">
        <f t="shared" si="5"/>
        <v>0</v>
      </c>
      <c r="H71" s="56">
        <f t="shared" si="5"/>
        <v>0</v>
      </c>
      <c r="I71" s="56">
        <f t="shared" si="5"/>
        <v>0</v>
      </c>
    </row>
    <row r="72" spans="1:14" ht="17.25" customHeight="1" thickBot="1" x14ac:dyDescent="0.25">
      <c r="A72" s="75" t="s">
        <v>22</v>
      </c>
      <c r="B72" s="110"/>
      <c r="C72" s="56">
        <f>SUM(C13+C31)</f>
        <v>550504</v>
      </c>
      <c r="D72" s="57"/>
      <c r="E72" s="56">
        <f t="shared" si="5"/>
        <v>0</v>
      </c>
      <c r="F72" s="56">
        <f t="shared" si="5"/>
        <v>0</v>
      </c>
      <c r="G72" s="56">
        <f t="shared" si="5"/>
        <v>0</v>
      </c>
      <c r="H72" s="56">
        <f t="shared" si="5"/>
        <v>550504</v>
      </c>
      <c r="I72" s="56">
        <f t="shared" si="5"/>
        <v>0</v>
      </c>
    </row>
    <row r="73" spans="1:14" ht="17.25" customHeight="1" x14ac:dyDescent="0.25">
      <c r="A73" s="76" t="s">
        <v>102</v>
      </c>
      <c r="B73" s="77"/>
      <c r="C73" s="111">
        <f>SUM(C62:C72)</f>
        <v>110097162</v>
      </c>
      <c r="D73" s="112"/>
      <c r="E73" s="111">
        <f>SUM(E62:E72)</f>
        <v>59333399</v>
      </c>
      <c r="F73" s="111">
        <f>SUM(F62:F72)</f>
        <v>8876883</v>
      </c>
      <c r="G73" s="111">
        <f>SUM(G62:G72)</f>
        <v>36750107</v>
      </c>
      <c r="H73" s="111">
        <f>SUM(H62:H72)</f>
        <v>4131155</v>
      </c>
      <c r="I73" s="111">
        <f>SUM(I62:I72)</f>
        <v>1005619</v>
      </c>
      <c r="J73" s="65">
        <f>SUM(E73:I73)</f>
        <v>110097163</v>
      </c>
      <c r="K73" s="65"/>
      <c r="L73" s="65"/>
    </row>
    <row r="74" spans="1:14" ht="16.5" thickBot="1" x14ac:dyDescent="0.3">
      <c r="A74" s="80" t="s">
        <v>117</v>
      </c>
      <c r="B74" s="81"/>
      <c r="C74" s="82"/>
      <c r="D74" s="83"/>
      <c r="E74" s="82"/>
      <c r="F74" s="56">
        <f>F15+F33</f>
        <v>4131155</v>
      </c>
      <c r="G74" s="113"/>
      <c r="H74" s="56">
        <f>H15+H33</f>
        <v>-4131155</v>
      </c>
      <c r="I74" s="56"/>
    </row>
    <row r="75" spans="1:14" ht="17.25" thickTop="1" thickBot="1" x14ac:dyDescent="0.3">
      <c r="A75" s="85" t="s">
        <v>10</v>
      </c>
      <c r="B75" s="86"/>
      <c r="C75" s="63">
        <f>SUM(C73:C74)</f>
        <v>110097162</v>
      </c>
      <c r="D75" s="91"/>
      <c r="E75" s="63">
        <f>SUM(E73:E74)</f>
        <v>59333399</v>
      </c>
      <c r="F75" s="63">
        <f>SUM(F73:F74)</f>
        <v>13008038</v>
      </c>
      <c r="G75" s="63">
        <f>SUM(G73:G74)</f>
        <v>36750107</v>
      </c>
      <c r="H75" s="63">
        <f>SUM(H73:H74)</f>
        <v>0</v>
      </c>
      <c r="I75" s="63">
        <f>SUM(I73:I74)</f>
        <v>1005619</v>
      </c>
      <c r="J75" s="65"/>
    </row>
    <row r="76" spans="1:14" ht="15.75" thickTop="1" x14ac:dyDescent="0.2">
      <c r="A76" s="73" t="s">
        <v>98</v>
      </c>
      <c r="B76" s="89"/>
      <c r="C76" s="67"/>
      <c r="D76" s="67"/>
      <c r="E76" s="68"/>
      <c r="F76" s="169">
        <f>SUM(F75:G75)</f>
        <v>49758145</v>
      </c>
      <c r="G76" s="170"/>
      <c r="H76" s="68"/>
      <c r="I76" s="68"/>
      <c r="J76" s="65"/>
      <c r="N76" s="65"/>
    </row>
    <row r="77" spans="1:14" x14ac:dyDescent="0.2">
      <c r="C77" s="65"/>
      <c r="F77" s="65"/>
      <c r="H77" s="65"/>
    </row>
    <row r="78" spans="1:14" x14ac:dyDescent="0.2">
      <c r="C78" s="65">
        <f>'SFY 1920'!U40</f>
        <v>110097162</v>
      </c>
      <c r="E78" s="65">
        <f>E75</f>
        <v>59333399</v>
      </c>
      <c r="F78" s="65">
        <f>F75</f>
        <v>13008038</v>
      </c>
      <c r="G78" s="65">
        <f>G75</f>
        <v>36750107</v>
      </c>
      <c r="H78" s="65">
        <f>H75</f>
        <v>0</v>
      </c>
      <c r="I78" s="65">
        <f>I75</f>
        <v>1005619</v>
      </c>
    </row>
    <row r="79" spans="1:14" ht="16.7" customHeight="1" x14ac:dyDescent="0.2">
      <c r="C79" s="65"/>
      <c r="E79" s="65"/>
      <c r="F79" s="65"/>
      <c r="G79" s="65"/>
      <c r="H79" s="65"/>
      <c r="I79" s="65"/>
    </row>
    <row r="80" spans="1:14" ht="16.7" customHeight="1" x14ac:dyDescent="0.2">
      <c r="C80" s="65"/>
    </row>
    <row r="81" spans="3:3" ht="16.7" customHeight="1" x14ac:dyDescent="0.2"/>
    <row r="82" spans="3:3" ht="16.7" customHeight="1" x14ac:dyDescent="0.2">
      <c r="C82" s="106"/>
    </row>
  </sheetData>
  <mergeCells count="6">
    <mergeCell ref="F76:G76"/>
    <mergeCell ref="F17:G17"/>
    <mergeCell ref="F35:G35"/>
    <mergeCell ref="F42:G42"/>
    <mergeCell ref="F50:G50"/>
    <mergeCell ref="F57:G57"/>
  </mergeCells>
  <printOptions horizontalCentered="1"/>
  <pageMargins left="0.2" right="0.2" top="0.25" bottom="0.2" header="0.24" footer="0.17"/>
  <pageSetup scale="60" orientation="portrait" r:id="rId1"/>
  <headerFooter alignWithMargins="0">
    <oddFooter>&amp;RPage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B335F-D6F6-4552-A839-02969A99069C}">
  <dimension ref="A1:P29"/>
  <sheetViews>
    <sheetView workbookViewId="0">
      <selection activeCell="J14" sqref="J14"/>
    </sheetView>
  </sheetViews>
  <sheetFormatPr defaultColWidth="8.85546875" defaultRowHeight="12.75" x14ac:dyDescent="0.2"/>
  <cols>
    <col min="1" max="1" width="3.140625" style="1" customWidth="1"/>
    <col min="2" max="2" width="17.140625" style="1" customWidth="1"/>
    <col min="3" max="3" width="9" style="1" customWidth="1"/>
    <col min="4" max="4" width="8.85546875" style="1"/>
    <col min="5" max="5" width="8.140625" style="1" customWidth="1"/>
    <col min="6" max="6" width="8.85546875" style="1"/>
    <col min="7" max="7" width="10.42578125" style="1" customWidth="1"/>
    <col min="8" max="8" width="12.42578125" style="1" customWidth="1"/>
    <col min="9" max="9" width="12" style="1" customWidth="1"/>
    <col min="10" max="10" width="10.140625" style="1" customWidth="1"/>
    <col min="11" max="11" width="8.85546875" style="1"/>
    <col min="12" max="13" width="10.42578125" style="1" customWidth="1"/>
    <col min="14" max="14" width="8.85546875" style="1" customWidth="1"/>
    <col min="15" max="15" width="8.85546875" style="1"/>
    <col min="16" max="16" width="9.140625" style="1" customWidth="1"/>
    <col min="17" max="16384" width="8.85546875" style="1"/>
  </cols>
  <sheetData>
    <row r="1" spans="1:16" x14ac:dyDescent="0.2">
      <c r="A1" s="1" t="s">
        <v>26</v>
      </c>
    </row>
    <row r="2" spans="1:16" x14ac:dyDescent="0.2">
      <c r="O2" s="2"/>
    </row>
    <row r="3" spans="1:16" x14ac:dyDescent="0.2">
      <c r="C3" s="3"/>
    </row>
    <row r="4" spans="1:16" ht="13.5" thickBot="1" x14ac:dyDescent="0.25">
      <c r="B4" s="4" t="s">
        <v>27</v>
      </c>
      <c r="C4" s="4" t="s">
        <v>28</v>
      </c>
      <c r="D4" s="4" t="s">
        <v>29</v>
      </c>
      <c r="E4" s="4" t="s">
        <v>30</v>
      </c>
      <c r="F4" s="4" t="s">
        <v>31</v>
      </c>
      <c r="G4" s="4" t="s">
        <v>32</v>
      </c>
      <c r="H4" s="4" t="s">
        <v>33</v>
      </c>
      <c r="I4" s="4" t="s">
        <v>34</v>
      </c>
      <c r="J4" s="4" t="s">
        <v>35</v>
      </c>
      <c r="K4" s="4" t="s">
        <v>36</v>
      </c>
      <c r="L4" s="4" t="s">
        <v>37</v>
      </c>
      <c r="M4" s="4" t="s">
        <v>38</v>
      </c>
      <c r="N4" s="4"/>
      <c r="O4" s="4"/>
      <c r="P4" s="4"/>
    </row>
    <row r="5" spans="1:16" x14ac:dyDescent="0.2">
      <c r="A5" s="4">
        <v>5</v>
      </c>
      <c r="B5" s="5"/>
      <c r="C5" s="6" t="s">
        <v>10</v>
      </c>
      <c r="D5" s="6" t="s">
        <v>22</v>
      </c>
      <c r="E5" s="6"/>
      <c r="F5" s="6" t="s">
        <v>39</v>
      </c>
      <c r="G5" s="6" t="s">
        <v>40</v>
      </c>
      <c r="H5" s="6" t="s">
        <v>40</v>
      </c>
      <c r="I5" s="6" t="s">
        <v>22</v>
      </c>
      <c r="J5" s="6" t="s">
        <v>10</v>
      </c>
      <c r="K5" s="6" t="s">
        <v>41</v>
      </c>
      <c r="L5" s="6" t="s">
        <v>42</v>
      </c>
      <c r="M5" s="6"/>
      <c r="N5" s="4"/>
      <c r="O5" s="4"/>
      <c r="P5" s="4"/>
    </row>
    <row r="6" spans="1:16" ht="13.5" thickBot="1" x14ac:dyDescent="0.25">
      <c r="A6" s="4">
        <v>6</v>
      </c>
      <c r="B6" s="7" t="s">
        <v>9</v>
      </c>
      <c r="C6" s="7" t="s">
        <v>43</v>
      </c>
      <c r="D6" s="7" t="s">
        <v>43</v>
      </c>
      <c r="E6" s="7" t="s">
        <v>44</v>
      </c>
      <c r="F6" s="7" t="s">
        <v>45</v>
      </c>
      <c r="G6" s="7" t="s">
        <v>43</v>
      </c>
      <c r="H6" s="8" t="s">
        <v>46</v>
      </c>
      <c r="I6" s="7" t="s">
        <v>47</v>
      </c>
      <c r="J6" s="7" t="s">
        <v>48</v>
      </c>
      <c r="K6" s="7" t="s">
        <v>49</v>
      </c>
      <c r="L6" s="7" t="s">
        <v>49</v>
      </c>
      <c r="M6" s="7" t="s">
        <v>10</v>
      </c>
      <c r="N6" s="4"/>
      <c r="O6" s="9"/>
      <c r="P6" s="4"/>
    </row>
    <row r="7" spans="1:16" x14ac:dyDescent="0.2">
      <c r="A7" s="4">
        <v>7</v>
      </c>
      <c r="B7" s="10" t="s">
        <v>50</v>
      </c>
      <c r="C7" s="11">
        <v>9.4240000000000004E-2</v>
      </c>
      <c r="D7" s="12">
        <v>0.14069999999999999</v>
      </c>
      <c r="E7" s="13">
        <f>1.22222/18</f>
        <v>6.790111111111112E-2</v>
      </c>
      <c r="F7" s="13">
        <f>ROUND(SUM(C7:E7)/3,4)</f>
        <v>0.1009</v>
      </c>
      <c r="G7" s="14">
        <v>9.2920519528360807E-2</v>
      </c>
      <c r="H7" s="13">
        <f t="shared" ref="H7:H24" si="0">ROUND(G7*0.9942,4)</f>
        <v>9.2399999999999996E-2</v>
      </c>
      <c r="I7" s="13">
        <f>ROUND(F7*0.0058,4)-0.0002</f>
        <v>3.9999999999999996E-4</v>
      </c>
      <c r="J7" s="13">
        <f>ROUND(SUM(H7:I7),4)</f>
        <v>9.2799999999999994E-2</v>
      </c>
      <c r="K7" s="13">
        <f>ROUND($I7/$J7,4)</f>
        <v>4.3E-3</v>
      </c>
      <c r="L7" s="13">
        <f>ROUND($H7/$J7,4)</f>
        <v>0.99570000000000003</v>
      </c>
      <c r="M7" s="13">
        <f>SUM(K7:L7)</f>
        <v>1</v>
      </c>
      <c r="N7" s="4"/>
      <c r="O7" s="3"/>
      <c r="P7" s="9"/>
    </row>
    <row r="8" spans="1:16" x14ac:dyDescent="0.2">
      <c r="A8" s="4">
        <v>8</v>
      </c>
      <c r="B8" s="10" t="s">
        <v>51</v>
      </c>
      <c r="C8" s="15">
        <v>4.5539999999999997E-2</v>
      </c>
      <c r="D8" s="13">
        <v>3.1800000000000002E-2</v>
      </c>
      <c r="E8" s="13">
        <f>1.22222/18</f>
        <v>6.790111111111112E-2</v>
      </c>
      <c r="F8" s="13">
        <f>ROUND(SUM(C8:E8)/3,4)</f>
        <v>4.8399999999999999E-2</v>
      </c>
      <c r="G8" s="16">
        <v>4.5927358507761362E-2</v>
      </c>
      <c r="H8" s="13">
        <f t="shared" si="0"/>
        <v>4.5699999999999998E-2</v>
      </c>
      <c r="I8" s="13">
        <f t="shared" ref="I8:I24" si="1">ROUND(F8*0.0058,4)</f>
        <v>2.9999999999999997E-4</v>
      </c>
      <c r="J8" s="13">
        <f t="shared" ref="J8:J24" si="2">ROUND(SUM(H8:I8),4)</f>
        <v>4.5999999999999999E-2</v>
      </c>
      <c r="K8" s="13">
        <f t="shared" ref="K8:K24" si="3">ROUND($I8/$J8,4)</f>
        <v>6.4999999999999997E-3</v>
      </c>
      <c r="L8" s="13">
        <f t="shared" ref="L8:L24" si="4">ROUND($H8/$J8,4)</f>
        <v>0.99350000000000005</v>
      </c>
      <c r="M8" s="13">
        <f t="shared" ref="M8:M24" si="5">SUM(K8:L8)</f>
        <v>1</v>
      </c>
      <c r="N8" s="4"/>
      <c r="O8" s="3"/>
      <c r="P8" s="9"/>
    </row>
    <row r="9" spans="1:16" x14ac:dyDescent="0.2">
      <c r="A9" s="4">
        <v>9</v>
      </c>
      <c r="B9" s="10" t="s">
        <v>52</v>
      </c>
      <c r="C9" s="15">
        <v>8.7220000000000006E-2</v>
      </c>
      <c r="D9" s="13">
        <v>3.6600000000000001E-2</v>
      </c>
      <c r="E9" s="13">
        <f>1.22222/18</f>
        <v>6.790111111111112E-2</v>
      </c>
      <c r="F9" s="13">
        <f t="shared" ref="F9:F23" si="6">ROUND(SUM(C9:E9)/3,4)</f>
        <v>6.3899999999999998E-2</v>
      </c>
      <c r="G9" s="16">
        <v>8.8658268795201875E-2</v>
      </c>
      <c r="H9" s="13">
        <f t="shared" si="0"/>
        <v>8.8099999999999998E-2</v>
      </c>
      <c r="I9" s="13">
        <f t="shared" si="1"/>
        <v>4.0000000000000002E-4</v>
      </c>
      <c r="J9" s="13">
        <f t="shared" si="2"/>
        <v>8.8499999999999995E-2</v>
      </c>
      <c r="K9" s="13">
        <f t="shared" si="3"/>
        <v>4.4999999999999997E-3</v>
      </c>
      <c r="L9" s="13">
        <f t="shared" si="4"/>
        <v>0.99550000000000005</v>
      </c>
      <c r="M9" s="13">
        <f t="shared" si="5"/>
        <v>1</v>
      </c>
      <c r="N9" s="4"/>
      <c r="O9" s="3"/>
      <c r="P9" s="9"/>
    </row>
    <row r="10" spans="1:16" x14ac:dyDescent="0.2">
      <c r="A10" s="4">
        <v>10</v>
      </c>
      <c r="B10" s="10" t="s">
        <v>53</v>
      </c>
      <c r="C10" s="15">
        <v>0.12348000000000001</v>
      </c>
      <c r="D10" s="13">
        <v>2.1299999999999999E-2</v>
      </c>
      <c r="E10" s="13">
        <f>1.22222/18</f>
        <v>6.790111111111112E-2</v>
      </c>
      <c r="F10" s="13">
        <f>ROUND(SUM(C10:E10)/3,3)</f>
        <v>7.0999999999999994E-2</v>
      </c>
      <c r="G10" s="16">
        <v>0.1263872940223924</v>
      </c>
      <c r="H10" s="13">
        <f t="shared" si="0"/>
        <v>0.12570000000000001</v>
      </c>
      <c r="I10" s="13">
        <f t="shared" si="1"/>
        <v>4.0000000000000002E-4</v>
      </c>
      <c r="J10" s="13">
        <f t="shared" si="2"/>
        <v>0.12609999999999999</v>
      </c>
      <c r="K10" s="13">
        <f t="shared" si="3"/>
        <v>3.2000000000000002E-3</v>
      </c>
      <c r="L10" s="13">
        <f t="shared" si="4"/>
        <v>0.99680000000000002</v>
      </c>
      <c r="M10" s="13">
        <f t="shared" si="5"/>
        <v>1</v>
      </c>
      <c r="N10" s="4"/>
      <c r="O10" s="3"/>
      <c r="P10" s="9"/>
    </row>
    <row r="11" spans="1:16" x14ac:dyDescent="0.2">
      <c r="A11" s="4">
        <v>11</v>
      </c>
      <c r="B11" s="10" t="s">
        <v>54</v>
      </c>
      <c r="C11" s="15">
        <v>9.1500000000000001E-3</v>
      </c>
      <c r="D11" s="13">
        <v>1.2699999999999999E-2</v>
      </c>
      <c r="E11" s="13">
        <f>0.5/18</f>
        <v>2.7777777777777776E-2</v>
      </c>
      <c r="F11" s="13">
        <f t="shared" si="6"/>
        <v>1.6500000000000001E-2</v>
      </c>
      <c r="G11" s="16">
        <v>9.0502078362865949E-3</v>
      </c>
      <c r="H11" s="13">
        <f t="shared" si="0"/>
        <v>8.9999999999999993E-3</v>
      </c>
      <c r="I11" s="13">
        <f t="shared" si="1"/>
        <v>1E-4</v>
      </c>
      <c r="J11" s="13">
        <f t="shared" si="2"/>
        <v>9.1000000000000004E-3</v>
      </c>
      <c r="K11" s="13">
        <f t="shared" si="3"/>
        <v>1.0999999999999999E-2</v>
      </c>
      <c r="L11" s="13">
        <f t="shared" si="4"/>
        <v>0.98899999999999999</v>
      </c>
      <c r="M11" s="13">
        <f t="shared" si="5"/>
        <v>1</v>
      </c>
      <c r="N11" s="4"/>
      <c r="O11" s="3"/>
      <c r="P11" s="9"/>
    </row>
    <row r="12" spans="1:16" x14ac:dyDescent="0.2">
      <c r="A12" s="4">
        <v>12</v>
      </c>
      <c r="B12" s="10" t="s">
        <v>55</v>
      </c>
      <c r="C12" s="15">
        <v>0.11123</v>
      </c>
      <c r="D12" s="13">
        <v>0.1699</v>
      </c>
      <c r="E12" s="13">
        <f>1.22222/18</f>
        <v>6.790111111111112E-2</v>
      </c>
      <c r="F12" s="13">
        <f t="shared" si="6"/>
        <v>0.1163</v>
      </c>
      <c r="G12" s="16">
        <v>0.10955893427423262</v>
      </c>
      <c r="H12" s="13">
        <f t="shared" si="0"/>
        <v>0.1089</v>
      </c>
      <c r="I12" s="13">
        <f t="shared" si="1"/>
        <v>6.9999999999999999E-4</v>
      </c>
      <c r="J12" s="13">
        <f t="shared" si="2"/>
        <v>0.1096</v>
      </c>
      <c r="K12" s="13">
        <f t="shared" si="3"/>
        <v>6.4000000000000003E-3</v>
      </c>
      <c r="L12" s="13">
        <f t="shared" si="4"/>
        <v>0.99360000000000004</v>
      </c>
      <c r="M12" s="13">
        <f t="shared" si="5"/>
        <v>1</v>
      </c>
      <c r="N12" s="4"/>
      <c r="O12" s="3"/>
      <c r="P12" s="9"/>
    </row>
    <row r="13" spans="1:16" x14ac:dyDescent="0.2">
      <c r="A13" s="4">
        <v>13</v>
      </c>
      <c r="B13" s="10" t="s">
        <v>56</v>
      </c>
      <c r="C13" s="15">
        <v>0.15759999999999999</v>
      </c>
      <c r="D13" s="13">
        <v>4.9599999999999998E-2</v>
      </c>
      <c r="E13" s="13">
        <f>1.22222/18</f>
        <v>6.790111111111112E-2</v>
      </c>
      <c r="F13" s="13">
        <f t="shared" si="6"/>
        <v>9.1700000000000004E-2</v>
      </c>
      <c r="G13" s="16">
        <v>0.1606752448899518</v>
      </c>
      <c r="H13" s="13">
        <f t="shared" si="0"/>
        <v>0.15970000000000001</v>
      </c>
      <c r="I13" s="13">
        <f t="shared" si="1"/>
        <v>5.0000000000000001E-4</v>
      </c>
      <c r="J13" s="13">
        <f t="shared" si="2"/>
        <v>0.16020000000000001</v>
      </c>
      <c r="K13" s="13">
        <f t="shared" si="3"/>
        <v>3.0999999999999999E-3</v>
      </c>
      <c r="L13" s="13">
        <f t="shared" si="4"/>
        <v>0.99690000000000001</v>
      </c>
      <c r="M13" s="13">
        <f t="shared" si="5"/>
        <v>1</v>
      </c>
      <c r="N13" s="4"/>
      <c r="O13" s="3"/>
      <c r="P13" s="9"/>
    </row>
    <row r="14" spans="1:16" x14ac:dyDescent="0.2">
      <c r="A14" s="4">
        <v>14</v>
      </c>
      <c r="B14" s="10" t="s">
        <v>57</v>
      </c>
      <c r="C14" s="15">
        <v>6.6989999999999994E-2</v>
      </c>
      <c r="D14" s="13">
        <v>0.38769999999999999</v>
      </c>
      <c r="E14" s="13">
        <f>1.22222/18</f>
        <v>6.790111111111112E-2</v>
      </c>
      <c r="F14" s="13">
        <f t="shared" si="6"/>
        <v>0.17419999999999999</v>
      </c>
      <c r="G14" s="16">
        <v>5.7876625924422997E-2</v>
      </c>
      <c r="H14" s="13">
        <f t="shared" si="0"/>
        <v>5.7500000000000002E-2</v>
      </c>
      <c r="I14" s="13">
        <f t="shared" si="1"/>
        <v>1E-3</v>
      </c>
      <c r="J14" s="13">
        <f t="shared" si="2"/>
        <v>5.8500000000000003E-2</v>
      </c>
      <c r="K14" s="13">
        <f t="shared" si="3"/>
        <v>1.7100000000000001E-2</v>
      </c>
      <c r="L14" s="13">
        <f t="shared" si="4"/>
        <v>0.9829</v>
      </c>
      <c r="M14" s="13">
        <f t="shared" si="5"/>
        <v>1</v>
      </c>
      <c r="N14" s="4"/>
      <c r="O14" s="3"/>
      <c r="P14" s="9"/>
    </row>
    <row r="15" spans="1:16" x14ac:dyDescent="0.2">
      <c r="A15" s="4">
        <v>15</v>
      </c>
      <c r="B15" s="10" t="s">
        <v>58</v>
      </c>
      <c r="C15" s="15">
        <v>1.312E-2</v>
      </c>
      <c r="D15" s="13">
        <v>5.3E-3</v>
      </c>
      <c r="E15" s="13">
        <f>0.5/18</f>
        <v>2.7777777777777776E-2</v>
      </c>
      <c r="F15" s="13">
        <f t="shared" si="6"/>
        <v>1.54E-2</v>
      </c>
      <c r="G15" s="16">
        <v>1.3346034706213599E-2</v>
      </c>
      <c r="H15" s="13">
        <f t="shared" si="0"/>
        <v>1.3299999999999999E-2</v>
      </c>
      <c r="I15" s="13">
        <f t="shared" si="1"/>
        <v>1E-4</v>
      </c>
      <c r="J15" s="13">
        <f t="shared" si="2"/>
        <v>1.34E-2</v>
      </c>
      <c r="K15" s="13">
        <f t="shared" si="3"/>
        <v>7.4999999999999997E-3</v>
      </c>
      <c r="L15" s="13">
        <f t="shared" si="4"/>
        <v>0.99250000000000005</v>
      </c>
      <c r="M15" s="13">
        <f t="shared" si="5"/>
        <v>1</v>
      </c>
      <c r="N15" s="4"/>
      <c r="O15" s="3"/>
      <c r="P15" s="9"/>
    </row>
    <row r="16" spans="1:16" x14ac:dyDescent="0.2">
      <c r="A16" s="4">
        <v>16</v>
      </c>
      <c r="B16" s="10" t="s">
        <v>59</v>
      </c>
      <c r="C16" s="15">
        <v>2.332E-2</v>
      </c>
      <c r="D16" s="13">
        <v>1.5299999999999999E-2</v>
      </c>
      <c r="E16" s="13">
        <f>1/18</f>
        <v>5.5555555555555552E-2</v>
      </c>
      <c r="F16" s="13">
        <f t="shared" si="6"/>
        <v>3.1399999999999997E-2</v>
      </c>
      <c r="G16" s="16">
        <v>2.3552220965515389E-2</v>
      </c>
      <c r="H16" s="13">
        <f t="shared" si="0"/>
        <v>2.3400000000000001E-2</v>
      </c>
      <c r="I16" s="13">
        <f t="shared" si="1"/>
        <v>2.0000000000000001E-4</v>
      </c>
      <c r="J16" s="13">
        <f t="shared" si="2"/>
        <v>2.3599999999999999E-2</v>
      </c>
      <c r="K16" s="13">
        <f t="shared" si="3"/>
        <v>8.5000000000000006E-3</v>
      </c>
      <c r="L16" s="13">
        <f t="shared" si="4"/>
        <v>0.99150000000000005</v>
      </c>
      <c r="M16" s="13">
        <f t="shared" si="5"/>
        <v>1</v>
      </c>
      <c r="N16" s="4"/>
      <c r="O16" s="3"/>
      <c r="P16" s="9"/>
    </row>
    <row r="17" spans="1:16" x14ac:dyDescent="0.2">
      <c r="A17" s="4">
        <v>17</v>
      </c>
      <c r="B17" s="10" t="s">
        <v>60</v>
      </c>
      <c r="C17" s="15">
        <v>2.3949999999999999E-2</v>
      </c>
      <c r="D17" s="13">
        <v>1.7000000000000001E-2</v>
      </c>
      <c r="E17" s="13">
        <f>1/18</f>
        <v>5.5555555555555552E-2</v>
      </c>
      <c r="F17" s="13">
        <f t="shared" si="6"/>
        <v>3.2199999999999999E-2</v>
      </c>
      <c r="G17" s="16">
        <v>2.4147957563600397E-2</v>
      </c>
      <c r="H17" s="13">
        <f t="shared" si="0"/>
        <v>2.4E-2</v>
      </c>
      <c r="I17" s="13">
        <f t="shared" si="1"/>
        <v>2.0000000000000001E-4</v>
      </c>
      <c r="J17" s="13">
        <f t="shared" si="2"/>
        <v>2.4199999999999999E-2</v>
      </c>
      <c r="K17" s="13">
        <f t="shared" si="3"/>
        <v>8.3000000000000001E-3</v>
      </c>
      <c r="L17" s="13">
        <f t="shared" si="4"/>
        <v>0.99170000000000003</v>
      </c>
      <c r="M17" s="13">
        <f t="shared" si="5"/>
        <v>1</v>
      </c>
      <c r="N17" s="4"/>
      <c r="O17" s="3"/>
      <c r="P17" s="9"/>
    </row>
    <row r="18" spans="1:16" x14ac:dyDescent="0.2">
      <c r="A18" s="4">
        <v>18</v>
      </c>
      <c r="B18" s="10" t="s">
        <v>61</v>
      </c>
      <c r="C18" s="15">
        <v>8.0180000000000001E-2</v>
      </c>
      <c r="D18" s="13">
        <v>6.3799999999999996E-2</v>
      </c>
      <c r="E18" s="13">
        <f>1.22222/18</f>
        <v>6.790111111111112E-2</v>
      </c>
      <c r="F18" s="13">
        <f t="shared" si="6"/>
        <v>7.0599999999999996E-2</v>
      </c>
      <c r="G18" s="16">
        <v>8.0646043244145524E-2</v>
      </c>
      <c r="H18" s="13">
        <f t="shared" si="0"/>
        <v>8.0199999999999994E-2</v>
      </c>
      <c r="I18" s="13">
        <f t="shared" si="1"/>
        <v>4.0000000000000002E-4</v>
      </c>
      <c r="J18" s="13">
        <f t="shared" si="2"/>
        <v>8.0600000000000005E-2</v>
      </c>
      <c r="K18" s="13">
        <f t="shared" si="3"/>
        <v>5.0000000000000001E-3</v>
      </c>
      <c r="L18" s="13">
        <f t="shared" si="4"/>
        <v>0.995</v>
      </c>
      <c r="M18" s="13">
        <f t="shared" si="5"/>
        <v>1</v>
      </c>
      <c r="N18" s="4"/>
      <c r="O18" s="3"/>
      <c r="P18" s="9"/>
    </row>
    <row r="19" spans="1:16" x14ac:dyDescent="0.2">
      <c r="A19" s="4">
        <v>19</v>
      </c>
      <c r="B19" s="10" t="s">
        <v>62</v>
      </c>
      <c r="C19" s="15">
        <v>1.3339999999999999E-2</v>
      </c>
      <c r="D19" s="13">
        <v>5.5999999999999999E-3</v>
      </c>
      <c r="E19" s="13">
        <f>0.5/18</f>
        <v>2.7777777777777776E-2</v>
      </c>
      <c r="F19" s="13">
        <f t="shared" si="6"/>
        <v>1.5599999999999999E-2</v>
      </c>
      <c r="G19" s="16">
        <v>1.3560921981529287E-2</v>
      </c>
      <c r="H19" s="13">
        <f t="shared" si="0"/>
        <v>1.35E-2</v>
      </c>
      <c r="I19" s="13">
        <f t="shared" si="1"/>
        <v>1E-4</v>
      </c>
      <c r="J19" s="13">
        <f t="shared" si="2"/>
        <v>1.3599999999999999E-2</v>
      </c>
      <c r="K19" s="13">
        <f t="shared" si="3"/>
        <v>7.4000000000000003E-3</v>
      </c>
      <c r="L19" s="13">
        <f t="shared" si="4"/>
        <v>0.99260000000000004</v>
      </c>
      <c r="M19" s="13">
        <f t="shared" si="5"/>
        <v>1</v>
      </c>
      <c r="N19" s="4"/>
      <c r="O19" s="3"/>
      <c r="P19" s="9"/>
    </row>
    <row r="20" spans="1:16" x14ac:dyDescent="0.2">
      <c r="A20" s="4">
        <v>20</v>
      </c>
      <c r="B20" s="10" t="s">
        <v>63</v>
      </c>
      <c r="C20" s="15">
        <v>2.5260000000000001E-2</v>
      </c>
      <c r="D20" s="13">
        <v>8.5000000000000006E-3</v>
      </c>
      <c r="E20" s="13">
        <f>1/18</f>
        <v>5.5555555555555552E-2</v>
      </c>
      <c r="F20" s="13">
        <f t="shared" si="6"/>
        <v>2.98E-2</v>
      </c>
      <c r="G20" s="16">
        <v>2.5733710537246969E-2</v>
      </c>
      <c r="H20" s="13">
        <f t="shared" si="0"/>
        <v>2.5600000000000001E-2</v>
      </c>
      <c r="I20" s="13">
        <f t="shared" si="1"/>
        <v>2.0000000000000001E-4</v>
      </c>
      <c r="J20" s="13">
        <f t="shared" si="2"/>
        <v>2.58E-2</v>
      </c>
      <c r="K20" s="13">
        <f t="shared" si="3"/>
        <v>7.7999999999999996E-3</v>
      </c>
      <c r="L20" s="13">
        <f t="shared" si="4"/>
        <v>0.99219999999999997</v>
      </c>
      <c r="M20" s="13">
        <f t="shared" si="5"/>
        <v>1</v>
      </c>
      <c r="N20" s="4"/>
      <c r="O20" s="3"/>
      <c r="P20" s="9"/>
    </row>
    <row r="21" spans="1:16" x14ac:dyDescent="0.2">
      <c r="A21" s="4">
        <v>21</v>
      </c>
      <c r="B21" s="10" t="s">
        <v>64</v>
      </c>
      <c r="C21" s="15">
        <v>2.0740000000000001E-2</v>
      </c>
      <c r="D21" s="13">
        <v>7.1999999999999998E-3</v>
      </c>
      <c r="E21" s="13">
        <f>1/18</f>
        <v>5.5555555555555552E-2</v>
      </c>
      <c r="F21" s="13">
        <f t="shared" si="6"/>
        <v>2.7799999999999998E-2</v>
      </c>
      <c r="G21" s="16">
        <v>2.1124186618086793E-2</v>
      </c>
      <c r="H21" s="13">
        <f t="shared" si="0"/>
        <v>2.1000000000000001E-2</v>
      </c>
      <c r="I21" s="13">
        <f t="shared" si="1"/>
        <v>2.0000000000000001E-4</v>
      </c>
      <c r="J21" s="13">
        <f t="shared" si="2"/>
        <v>2.12E-2</v>
      </c>
      <c r="K21" s="13">
        <f t="shared" si="3"/>
        <v>9.4000000000000004E-3</v>
      </c>
      <c r="L21" s="13">
        <f t="shared" si="4"/>
        <v>0.99060000000000004</v>
      </c>
      <c r="M21" s="13">
        <f t="shared" si="5"/>
        <v>1</v>
      </c>
      <c r="N21" s="4"/>
      <c r="O21" s="3"/>
      <c r="P21" s="9"/>
    </row>
    <row r="22" spans="1:16" x14ac:dyDescent="0.2">
      <c r="A22" s="4">
        <v>22</v>
      </c>
      <c r="B22" s="10" t="s">
        <v>65</v>
      </c>
      <c r="C22" s="15">
        <v>5.2679999999999998E-2</v>
      </c>
      <c r="D22" s="13">
        <v>1.4999999999999999E-2</v>
      </c>
      <c r="E22" s="13">
        <f>1.22222/18</f>
        <v>6.790111111111112E-2</v>
      </c>
      <c r="F22" s="13">
        <f t="shared" si="6"/>
        <v>4.5199999999999997E-2</v>
      </c>
      <c r="G22" s="16">
        <v>5.3756354283883361E-2</v>
      </c>
      <c r="H22" s="13">
        <f t="shared" si="0"/>
        <v>5.3400000000000003E-2</v>
      </c>
      <c r="I22" s="13">
        <f t="shared" si="1"/>
        <v>2.9999999999999997E-4</v>
      </c>
      <c r="J22" s="13">
        <f t="shared" si="2"/>
        <v>5.3699999999999998E-2</v>
      </c>
      <c r="K22" s="13">
        <f t="shared" si="3"/>
        <v>5.5999999999999999E-3</v>
      </c>
      <c r="L22" s="13">
        <f t="shared" si="4"/>
        <v>0.99439999999999995</v>
      </c>
      <c r="M22" s="13">
        <f t="shared" si="5"/>
        <v>1</v>
      </c>
      <c r="N22" s="4"/>
      <c r="O22" s="3"/>
      <c r="P22" s="9"/>
    </row>
    <row r="23" spans="1:16" x14ac:dyDescent="0.2">
      <c r="A23" s="4">
        <v>23</v>
      </c>
      <c r="B23" s="10" t="s">
        <v>66</v>
      </c>
      <c r="C23" s="15">
        <v>4.0329999999999998E-2</v>
      </c>
      <c r="D23" s="13">
        <v>4.8999999999999998E-3</v>
      </c>
      <c r="E23" s="13">
        <f>1/18</f>
        <v>5.5555555555555552E-2</v>
      </c>
      <c r="F23" s="13">
        <f t="shared" si="6"/>
        <v>3.3599999999999998E-2</v>
      </c>
      <c r="G23" s="16">
        <v>4.1337020952468662E-2</v>
      </c>
      <c r="H23" s="13">
        <f t="shared" si="0"/>
        <v>4.1099999999999998E-2</v>
      </c>
      <c r="I23" s="13">
        <f t="shared" si="1"/>
        <v>2.0000000000000001E-4</v>
      </c>
      <c r="J23" s="13">
        <f t="shared" si="2"/>
        <v>4.1300000000000003E-2</v>
      </c>
      <c r="K23" s="13">
        <f t="shared" si="3"/>
        <v>4.7999999999999996E-3</v>
      </c>
      <c r="L23" s="13">
        <f t="shared" si="4"/>
        <v>0.99519999999999997</v>
      </c>
      <c r="M23" s="13">
        <f t="shared" si="5"/>
        <v>1</v>
      </c>
      <c r="N23" s="4"/>
      <c r="O23" s="3"/>
      <c r="P23" s="9"/>
    </row>
    <row r="24" spans="1:16" ht="13.5" thickBot="1" x14ac:dyDescent="0.25">
      <c r="A24" s="4">
        <v>24</v>
      </c>
      <c r="B24" s="17" t="s">
        <v>67</v>
      </c>
      <c r="C24" s="18">
        <v>1.1610000000000001E-2</v>
      </c>
      <c r="D24" s="18">
        <v>7.1000000000000004E-3</v>
      </c>
      <c r="E24" s="18">
        <f>0.5/18</f>
        <v>2.7777777777777776E-2</v>
      </c>
      <c r="F24" s="18">
        <f>ROUND(SUM(C24:E24)/3,4)</f>
        <v>1.55E-2</v>
      </c>
      <c r="G24" s="18">
        <v>1.1741095368699557E-2</v>
      </c>
      <c r="H24" s="18">
        <f t="shared" si="0"/>
        <v>1.17E-2</v>
      </c>
      <c r="I24" s="18">
        <f t="shared" si="1"/>
        <v>1E-4</v>
      </c>
      <c r="J24" s="18">
        <f t="shared" si="2"/>
        <v>1.18E-2</v>
      </c>
      <c r="K24" s="18">
        <f t="shared" si="3"/>
        <v>8.5000000000000006E-3</v>
      </c>
      <c r="L24" s="18">
        <f t="shared" si="4"/>
        <v>0.99150000000000005</v>
      </c>
      <c r="M24" s="18">
        <f t="shared" si="5"/>
        <v>1</v>
      </c>
      <c r="N24" s="4"/>
      <c r="O24" s="3"/>
      <c r="P24" s="9"/>
    </row>
    <row r="25" spans="1:16" x14ac:dyDescent="0.2">
      <c r="C25" s="3">
        <f t="shared" ref="C25:J25" si="7">SUM(C7:C24)</f>
        <v>0.99997999999999998</v>
      </c>
      <c r="D25" s="3">
        <f t="shared" si="7"/>
        <v>0.99999999999999989</v>
      </c>
      <c r="E25" s="3">
        <f t="shared" si="7"/>
        <v>0.9999988888888891</v>
      </c>
      <c r="F25" s="3">
        <f t="shared" si="7"/>
        <v>1</v>
      </c>
      <c r="G25" s="3">
        <f t="shared" si="7"/>
        <v>1</v>
      </c>
      <c r="H25" s="3">
        <f t="shared" si="7"/>
        <v>0.99419999999999986</v>
      </c>
      <c r="I25" s="3">
        <f t="shared" si="7"/>
        <v>5.7999999999999987E-3</v>
      </c>
      <c r="J25" s="3">
        <f t="shared" si="7"/>
        <v>0.99999999999999989</v>
      </c>
      <c r="K25" s="3"/>
      <c r="L25" s="3"/>
      <c r="M25" s="3"/>
      <c r="N25" s="4"/>
      <c r="O25" s="9"/>
      <c r="P25" s="9"/>
    </row>
    <row r="26" spans="1:16" x14ac:dyDescent="0.2">
      <c r="I26" s="19"/>
      <c r="K26" s="3"/>
      <c r="N26" s="4"/>
      <c r="O26" s="4"/>
      <c r="P26" s="4"/>
    </row>
    <row r="27" spans="1:16" x14ac:dyDescent="0.2">
      <c r="H27" s="20"/>
      <c r="I27" s="20"/>
      <c r="N27" s="4"/>
      <c r="O27" s="4"/>
      <c r="P27" s="4"/>
    </row>
    <row r="28" spans="1:16" x14ac:dyDescent="0.2">
      <c r="D28" s="3"/>
      <c r="H28" s="3"/>
      <c r="I28" s="21"/>
      <c r="N28" s="4"/>
      <c r="O28" s="4"/>
      <c r="P28" s="4"/>
    </row>
    <row r="29" spans="1:16" x14ac:dyDescent="0.2">
      <c r="H29" s="21"/>
      <c r="I29" s="21"/>
    </row>
  </sheetData>
  <pageMargins left="0.45" right="0.2" top="1" bottom="1" header="0.5" footer="0.5"/>
  <pageSetup scale="96" orientation="landscape" r:id="rId1"/>
  <headerFooter alignWithMargins="0">
    <oddHeader>&amp;CCalWIN GA/GR Cost Sharing</oddHeader>
    <oddFooter>&amp;CEffective July 1, 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4D7D-FEF0-4A09-AF18-296D5250BD3B}">
  <sheetPr>
    <pageSetUpPr fitToPage="1"/>
  </sheetPr>
  <dimension ref="A1:AB38"/>
  <sheetViews>
    <sheetView showGridLines="0" zoomScaleNormal="100" zoomScaleSheetLayoutView="100" workbookViewId="0">
      <pane xSplit="1" ySplit="1" topLeftCell="B2" activePane="bottomRight" state="frozen"/>
      <selection activeCell="J14" sqref="J14"/>
      <selection pane="topRight" activeCell="J14" sqref="J14"/>
      <selection pane="bottomLeft" activeCell="J14" sqref="J14"/>
      <selection pane="bottomRight" activeCell="J14" sqref="J14"/>
    </sheetView>
  </sheetViews>
  <sheetFormatPr defaultRowHeight="12.75" x14ac:dyDescent="0.2"/>
  <cols>
    <col min="1" max="1" width="18.42578125" customWidth="1"/>
    <col min="2" max="13" width="15.85546875" bestFit="1" customWidth="1"/>
    <col min="14" max="14" width="12.85546875" customWidth="1"/>
    <col min="16" max="17" width="13.42578125" bestFit="1" customWidth="1"/>
    <col min="18" max="18" width="10.42578125" customWidth="1"/>
    <col min="19" max="28" width="9.7109375" customWidth="1"/>
    <col min="145" max="145" width="24.28515625" bestFit="1" customWidth="1"/>
    <col min="146" max="190" width="0" hidden="1" customWidth="1"/>
    <col min="191" max="203" width="9.85546875" bestFit="1" customWidth="1"/>
    <col min="204" max="219" width="13" bestFit="1" customWidth="1"/>
    <col min="220" max="223" width="13" customWidth="1"/>
    <col min="224" max="224" width="13.5703125" customWidth="1"/>
    <col min="225" max="238" width="13.42578125" customWidth="1"/>
    <col min="239" max="239" width="13.7109375" bestFit="1" customWidth="1"/>
    <col min="240" max="240" width="13" bestFit="1" customWidth="1"/>
    <col min="241" max="242" width="13.7109375" bestFit="1" customWidth="1"/>
    <col min="243" max="243" width="13" bestFit="1" customWidth="1"/>
    <col min="244" max="244" width="13.7109375" bestFit="1" customWidth="1"/>
    <col min="245" max="245" width="9.85546875" bestFit="1" customWidth="1"/>
    <col min="246" max="246" width="13.7109375" bestFit="1" customWidth="1"/>
    <col min="247" max="269" width="15.85546875" bestFit="1" customWidth="1"/>
    <col min="270" max="270" width="12.85546875" customWidth="1"/>
    <col min="401" max="401" width="24.28515625" bestFit="1" customWidth="1"/>
    <col min="402" max="446" width="0" hidden="1" customWidth="1"/>
    <col min="447" max="459" width="9.85546875" bestFit="1" customWidth="1"/>
    <col min="460" max="475" width="13" bestFit="1" customWidth="1"/>
    <col min="476" max="479" width="13" customWidth="1"/>
    <col min="480" max="480" width="13.5703125" customWidth="1"/>
    <col min="481" max="494" width="13.42578125" customWidth="1"/>
    <col min="495" max="495" width="13.7109375" bestFit="1" customWidth="1"/>
    <col min="496" max="496" width="13" bestFit="1" customWidth="1"/>
    <col min="497" max="498" width="13.7109375" bestFit="1" customWidth="1"/>
    <col min="499" max="499" width="13" bestFit="1" customWidth="1"/>
    <col min="500" max="500" width="13.7109375" bestFit="1" customWidth="1"/>
    <col min="501" max="501" width="9.85546875" bestFit="1" customWidth="1"/>
    <col min="502" max="502" width="13.7109375" bestFit="1" customWidth="1"/>
    <col min="503" max="525" width="15.85546875" bestFit="1" customWidth="1"/>
    <col min="526" max="526" width="12.85546875" customWidth="1"/>
    <col min="657" max="657" width="24.28515625" bestFit="1" customWidth="1"/>
    <col min="658" max="702" width="0" hidden="1" customWidth="1"/>
    <col min="703" max="715" width="9.85546875" bestFit="1" customWidth="1"/>
    <col min="716" max="731" width="13" bestFit="1" customWidth="1"/>
    <col min="732" max="735" width="13" customWidth="1"/>
    <col min="736" max="736" width="13.5703125" customWidth="1"/>
    <col min="737" max="750" width="13.42578125" customWidth="1"/>
    <col min="751" max="751" width="13.7109375" bestFit="1" customWidth="1"/>
    <col min="752" max="752" width="13" bestFit="1" customWidth="1"/>
    <col min="753" max="754" width="13.7109375" bestFit="1" customWidth="1"/>
    <col min="755" max="755" width="13" bestFit="1" customWidth="1"/>
    <col min="756" max="756" width="13.7109375" bestFit="1" customWidth="1"/>
    <col min="757" max="757" width="9.85546875" bestFit="1" customWidth="1"/>
    <col min="758" max="758" width="13.7109375" bestFit="1" customWidth="1"/>
    <col min="759" max="781" width="15.85546875" bestFit="1" customWidth="1"/>
    <col min="782" max="782" width="12.85546875" customWidth="1"/>
    <col min="913" max="913" width="24.28515625" bestFit="1" customWidth="1"/>
    <col min="914" max="958" width="0" hidden="1" customWidth="1"/>
    <col min="959" max="971" width="9.85546875" bestFit="1" customWidth="1"/>
    <col min="972" max="987" width="13" bestFit="1" customWidth="1"/>
    <col min="988" max="991" width="13" customWidth="1"/>
    <col min="992" max="992" width="13.5703125" customWidth="1"/>
    <col min="993" max="1006" width="13.42578125" customWidth="1"/>
    <col min="1007" max="1007" width="13.7109375" bestFit="1" customWidth="1"/>
    <col min="1008" max="1008" width="13" bestFit="1" customWidth="1"/>
    <col min="1009" max="1010" width="13.7109375" bestFit="1" customWidth="1"/>
    <col min="1011" max="1011" width="13" bestFit="1" customWidth="1"/>
    <col min="1012" max="1012" width="13.7109375" bestFit="1" customWidth="1"/>
    <col min="1013" max="1013" width="9.85546875" bestFit="1" customWidth="1"/>
    <col min="1014" max="1014" width="13.7109375" bestFit="1" customWidth="1"/>
    <col min="1015" max="1037" width="15.85546875" bestFit="1" customWidth="1"/>
    <col min="1038" max="1038" width="12.85546875" customWidth="1"/>
    <col min="1169" max="1169" width="24.28515625" bestFit="1" customWidth="1"/>
    <col min="1170" max="1214" width="0" hidden="1" customWidth="1"/>
    <col min="1215" max="1227" width="9.85546875" bestFit="1" customWidth="1"/>
    <col min="1228" max="1243" width="13" bestFit="1" customWidth="1"/>
    <col min="1244" max="1247" width="13" customWidth="1"/>
    <col min="1248" max="1248" width="13.5703125" customWidth="1"/>
    <col min="1249" max="1262" width="13.42578125" customWidth="1"/>
    <col min="1263" max="1263" width="13.7109375" bestFit="1" customWidth="1"/>
    <col min="1264" max="1264" width="13" bestFit="1" customWidth="1"/>
    <col min="1265" max="1266" width="13.7109375" bestFit="1" customWidth="1"/>
    <col min="1267" max="1267" width="13" bestFit="1" customWidth="1"/>
    <col min="1268" max="1268" width="13.7109375" bestFit="1" customWidth="1"/>
    <col min="1269" max="1269" width="9.85546875" bestFit="1" customWidth="1"/>
    <col min="1270" max="1270" width="13.7109375" bestFit="1" customWidth="1"/>
    <col min="1271" max="1293" width="15.85546875" bestFit="1" customWidth="1"/>
    <col min="1294" max="1294" width="12.85546875" customWidth="1"/>
    <col min="1425" max="1425" width="24.28515625" bestFit="1" customWidth="1"/>
    <col min="1426" max="1470" width="0" hidden="1" customWidth="1"/>
    <col min="1471" max="1483" width="9.85546875" bestFit="1" customWidth="1"/>
    <col min="1484" max="1499" width="13" bestFit="1" customWidth="1"/>
    <col min="1500" max="1503" width="13" customWidth="1"/>
    <col min="1504" max="1504" width="13.5703125" customWidth="1"/>
    <col min="1505" max="1518" width="13.42578125" customWidth="1"/>
    <col min="1519" max="1519" width="13.7109375" bestFit="1" customWidth="1"/>
    <col min="1520" max="1520" width="13" bestFit="1" customWidth="1"/>
    <col min="1521" max="1522" width="13.7109375" bestFit="1" customWidth="1"/>
    <col min="1523" max="1523" width="13" bestFit="1" customWidth="1"/>
    <col min="1524" max="1524" width="13.7109375" bestFit="1" customWidth="1"/>
    <col min="1525" max="1525" width="9.85546875" bestFit="1" customWidth="1"/>
    <col min="1526" max="1526" width="13.7109375" bestFit="1" customWidth="1"/>
    <col min="1527" max="1549" width="15.85546875" bestFit="1" customWidth="1"/>
    <col min="1550" max="1550" width="12.85546875" customWidth="1"/>
    <col min="1681" max="1681" width="24.28515625" bestFit="1" customWidth="1"/>
    <col min="1682" max="1726" width="0" hidden="1" customWidth="1"/>
    <col min="1727" max="1739" width="9.85546875" bestFit="1" customWidth="1"/>
    <col min="1740" max="1755" width="13" bestFit="1" customWidth="1"/>
    <col min="1756" max="1759" width="13" customWidth="1"/>
    <col min="1760" max="1760" width="13.5703125" customWidth="1"/>
    <col min="1761" max="1774" width="13.42578125" customWidth="1"/>
    <col min="1775" max="1775" width="13.7109375" bestFit="1" customWidth="1"/>
    <col min="1776" max="1776" width="13" bestFit="1" customWidth="1"/>
    <col min="1777" max="1778" width="13.7109375" bestFit="1" customWidth="1"/>
    <col min="1779" max="1779" width="13" bestFit="1" customWidth="1"/>
    <col min="1780" max="1780" width="13.7109375" bestFit="1" customWidth="1"/>
    <col min="1781" max="1781" width="9.85546875" bestFit="1" customWidth="1"/>
    <col min="1782" max="1782" width="13.7109375" bestFit="1" customWidth="1"/>
    <col min="1783" max="1805" width="15.85546875" bestFit="1" customWidth="1"/>
    <col min="1806" max="1806" width="12.85546875" customWidth="1"/>
    <col min="1937" max="1937" width="24.28515625" bestFit="1" customWidth="1"/>
    <col min="1938" max="1982" width="0" hidden="1" customWidth="1"/>
    <col min="1983" max="1995" width="9.85546875" bestFit="1" customWidth="1"/>
    <col min="1996" max="2011" width="13" bestFit="1" customWidth="1"/>
    <col min="2012" max="2015" width="13" customWidth="1"/>
    <col min="2016" max="2016" width="13.5703125" customWidth="1"/>
    <col min="2017" max="2030" width="13.42578125" customWidth="1"/>
    <col min="2031" max="2031" width="13.7109375" bestFit="1" customWidth="1"/>
    <col min="2032" max="2032" width="13" bestFit="1" customWidth="1"/>
    <col min="2033" max="2034" width="13.7109375" bestFit="1" customWidth="1"/>
    <col min="2035" max="2035" width="13" bestFit="1" customWidth="1"/>
    <col min="2036" max="2036" width="13.7109375" bestFit="1" customWidth="1"/>
    <col min="2037" max="2037" width="9.85546875" bestFit="1" customWidth="1"/>
    <col min="2038" max="2038" width="13.7109375" bestFit="1" customWidth="1"/>
    <col min="2039" max="2061" width="15.85546875" bestFit="1" customWidth="1"/>
    <col min="2062" max="2062" width="12.85546875" customWidth="1"/>
    <col min="2193" max="2193" width="24.28515625" bestFit="1" customWidth="1"/>
    <col min="2194" max="2238" width="0" hidden="1" customWidth="1"/>
    <col min="2239" max="2251" width="9.85546875" bestFit="1" customWidth="1"/>
    <col min="2252" max="2267" width="13" bestFit="1" customWidth="1"/>
    <col min="2268" max="2271" width="13" customWidth="1"/>
    <col min="2272" max="2272" width="13.5703125" customWidth="1"/>
    <col min="2273" max="2286" width="13.42578125" customWidth="1"/>
    <col min="2287" max="2287" width="13.7109375" bestFit="1" customWidth="1"/>
    <col min="2288" max="2288" width="13" bestFit="1" customWidth="1"/>
    <col min="2289" max="2290" width="13.7109375" bestFit="1" customWidth="1"/>
    <col min="2291" max="2291" width="13" bestFit="1" customWidth="1"/>
    <col min="2292" max="2292" width="13.7109375" bestFit="1" customWidth="1"/>
    <col min="2293" max="2293" width="9.85546875" bestFit="1" customWidth="1"/>
    <col min="2294" max="2294" width="13.7109375" bestFit="1" customWidth="1"/>
    <col min="2295" max="2317" width="15.85546875" bestFit="1" customWidth="1"/>
    <col min="2318" max="2318" width="12.85546875" customWidth="1"/>
    <col min="2449" max="2449" width="24.28515625" bestFit="1" customWidth="1"/>
    <col min="2450" max="2494" width="0" hidden="1" customWidth="1"/>
    <col min="2495" max="2507" width="9.85546875" bestFit="1" customWidth="1"/>
    <col min="2508" max="2523" width="13" bestFit="1" customWidth="1"/>
    <col min="2524" max="2527" width="13" customWidth="1"/>
    <col min="2528" max="2528" width="13.5703125" customWidth="1"/>
    <col min="2529" max="2542" width="13.42578125" customWidth="1"/>
    <col min="2543" max="2543" width="13.7109375" bestFit="1" customWidth="1"/>
    <col min="2544" max="2544" width="13" bestFit="1" customWidth="1"/>
    <col min="2545" max="2546" width="13.7109375" bestFit="1" customWidth="1"/>
    <col min="2547" max="2547" width="13" bestFit="1" customWidth="1"/>
    <col min="2548" max="2548" width="13.7109375" bestFit="1" customWidth="1"/>
    <col min="2549" max="2549" width="9.85546875" bestFit="1" customWidth="1"/>
    <col min="2550" max="2550" width="13.7109375" bestFit="1" customWidth="1"/>
    <col min="2551" max="2573" width="15.85546875" bestFit="1" customWidth="1"/>
    <col min="2574" max="2574" width="12.85546875" customWidth="1"/>
    <col min="2705" max="2705" width="24.28515625" bestFit="1" customWidth="1"/>
    <col min="2706" max="2750" width="0" hidden="1" customWidth="1"/>
    <col min="2751" max="2763" width="9.85546875" bestFit="1" customWidth="1"/>
    <col min="2764" max="2779" width="13" bestFit="1" customWidth="1"/>
    <col min="2780" max="2783" width="13" customWidth="1"/>
    <col min="2784" max="2784" width="13.5703125" customWidth="1"/>
    <col min="2785" max="2798" width="13.42578125" customWidth="1"/>
    <col min="2799" max="2799" width="13.7109375" bestFit="1" customWidth="1"/>
    <col min="2800" max="2800" width="13" bestFit="1" customWidth="1"/>
    <col min="2801" max="2802" width="13.7109375" bestFit="1" customWidth="1"/>
    <col min="2803" max="2803" width="13" bestFit="1" customWidth="1"/>
    <col min="2804" max="2804" width="13.7109375" bestFit="1" customWidth="1"/>
    <col min="2805" max="2805" width="9.85546875" bestFit="1" customWidth="1"/>
    <col min="2806" max="2806" width="13.7109375" bestFit="1" customWidth="1"/>
    <col min="2807" max="2829" width="15.85546875" bestFit="1" customWidth="1"/>
    <col min="2830" max="2830" width="12.85546875" customWidth="1"/>
    <col min="2961" max="2961" width="24.28515625" bestFit="1" customWidth="1"/>
    <col min="2962" max="3006" width="0" hidden="1" customWidth="1"/>
    <col min="3007" max="3019" width="9.85546875" bestFit="1" customWidth="1"/>
    <col min="3020" max="3035" width="13" bestFit="1" customWidth="1"/>
    <col min="3036" max="3039" width="13" customWidth="1"/>
    <col min="3040" max="3040" width="13.5703125" customWidth="1"/>
    <col min="3041" max="3054" width="13.42578125" customWidth="1"/>
    <col min="3055" max="3055" width="13.7109375" bestFit="1" customWidth="1"/>
    <col min="3056" max="3056" width="13" bestFit="1" customWidth="1"/>
    <col min="3057" max="3058" width="13.7109375" bestFit="1" customWidth="1"/>
    <col min="3059" max="3059" width="13" bestFit="1" customWidth="1"/>
    <col min="3060" max="3060" width="13.7109375" bestFit="1" customWidth="1"/>
    <col min="3061" max="3061" width="9.85546875" bestFit="1" customWidth="1"/>
    <col min="3062" max="3062" width="13.7109375" bestFit="1" customWidth="1"/>
    <col min="3063" max="3085" width="15.85546875" bestFit="1" customWidth="1"/>
    <col min="3086" max="3086" width="12.85546875" customWidth="1"/>
    <col min="3217" max="3217" width="24.28515625" bestFit="1" customWidth="1"/>
    <col min="3218" max="3262" width="0" hidden="1" customWidth="1"/>
    <col min="3263" max="3275" width="9.85546875" bestFit="1" customWidth="1"/>
    <col min="3276" max="3291" width="13" bestFit="1" customWidth="1"/>
    <col min="3292" max="3295" width="13" customWidth="1"/>
    <col min="3296" max="3296" width="13.5703125" customWidth="1"/>
    <col min="3297" max="3310" width="13.42578125" customWidth="1"/>
    <col min="3311" max="3311" width="13.7109375" bestFit="1" customWidth="1"/>
    <col min="3312" max="3312" width="13" bestFit="1" customWidth="1"/>
    <col min="3313" max="3314" width="13.7109375" bestFit="1" customWidth="1"/>
    <col min="3315" max="3315" width="13" bestFit="1" customWidth="1"/>
    <col min="3316" max="3316" width="13.7109375" bestFit="1" customWidth="1"/>
    <col min="3317" max="3317" width="9.85546875" bestFit="1" customWidth="1"/>
    <col min="3318" max="3318" width="13.7109375" bestFit="1" customWidth="1"/>
    <col min="3319" max="3341" width="15.85546875" bestFit="1" customWidth="1"/>
    <col min="3342" max="3342" width="12.85546875" customWidth="1"/>
    <col min="3473" max="3473" width="24.28515625" bestFit="1" customWidth="1"/>
    <col min="3474" max="3518" width="0" hidden="1" customWidth="1"/>
    <col min="3519" max="3531" width="9.85546875" bestFit="1" customWidth="1"/>
    <col min="3532" max="3547" width="13" bestFit="1" customWidth="1"/>
    <col min="3548" max="3551" width="13" customWidth="1"/>
    <col min="3552" max="3552" width="13.5703125" customWidth="1"/>
    <col min="3553" max="3566" width="13.42578125" customWidth="1"/>
    <col min="3567" max="3567" width="13.7109375" bestFit="1" customWidth="1"/>
    <col min="3568" max="3568" width="13" bestFit="1" customWidth="1"/>
    <col min="3569" max="3570" width="13.7109375" bestFit="1" customWidth="1"/>
    <col min="3571" max="3571" width="13" bestFit="1" customWidth="1"/>
    <col min="3572" max="3572" width="13.7109375" bestFit="1" customWidth="1"/>
    <col min="3573" max="3573" width="9.85546875" bestFit="1" customWidth="1"/>
    <col min="3574" max="3574" width="13.7109375" bestFit="1" customWidth="1"/>
    <col min="3575" max="3597" width="15.85546875" bestFit="1" customWidth="1"/>
    <col min="3598" max="3598" width="12.85546875" customWidth="1"/>
    <col min="3729" max="3729" width="24.28515625" bestFit="1" customWidth="1"/>
    <col min="3730" max="3774" width="0" hidden="1" customWidth="1"/>
    <col min="3775" max="3787" width="9.85546875" bestFit="1" customWidth="1"/>
    <col min="3788" max="3803" width="13" bestFit="1" customWidth="1"/>
    <col min="3804" max="3807" width="13" customWidth="1"/>
    <col min="3808" max="3808" width="13.5703125" customWidth="1"/>
    <col min="3809" max="3822" width="13.42578125" customWidth="1"/>
    <col min="3823" max="3823" width="13.7109375" bestFit="1" customWidth="1"/>
    <col min="3824" max="3824" width="13" bestFit="1" customWidth="1"/>
    <col min="3825" max="3826" width="13.7109375" bestFit="1" customWidth="1"/>
    <col min="3827" max="3827" width="13" bestFit="1" customWidth="1"/>
    <col min="3828" max="3828" width="13.7109375" bestFit="1" customWidth="1"/>
    <col min="3829" max="3829" width="9.85546875" bestFit="1" customWidth="1"/>
    <col min="3830" max="3830" width="13.7109375" bestFit="1" customWidth="1"/>
    <col min="3831" max="3853" width="15.85546875" bestFit="1" customWidth="1"/>
    <col min="3854" max="3854" width="12.85546875" customWidth="1"/>
    <col min="3985" max="3985" width="24.28515625" bestFit="1" customWidth="1"/>
    <col min="3986" max="4030" width="0" hidden="1" customWidth="1"/>
    <col min="4031" max="4043" width="9.85546875" bestFit="1" customWidth="1"/>
    <col min="4044" max="4059" width="13" bestFit="1" customWidth="1"/>
    <col min="4060" max="4063" width="13" customWidth="1"/>
    <col min="4064" max="4064" width="13.5703125" customWidth="1"/>
    <col min="4065" max="4078" width="13.42578125" customWidth="1"/>
    <col min="4079" max="4079" width="13.7109375" bestFit="1" customWidth="1"/>
    <col min="4080" max="4080" width="13" bestFit="1" customWidth="1"/>
    <col min="4081" max="4082" width="13.7109375" bestFit="1" customWidth="1"/>
    <col min="4083" max="4083" width="13" bestFit="1" customWidth="1"/>
    <col min="4084" max="4084" width="13.7109375" bestFit="1" customWidth="1"/>
    <col min="4085" max="4085" width="9.85546875" bestFit="1" customWidth="1"/>
    <col min="4086" max="4086" width="13.7109375" bestFit="1" customWidth="1"/>
    <col min="4087" max="4109" width="15.85546875" bestFit="1" customWidth="1"/>
    <col min="4110" max="4110" width="12.85546875" customWidth="1"/>
    <col min="4241" max="4241" width="24.28515625" bestFit="1" customWidth="1"/>
    <col min="4242" max="4286" width="0" hidden="1" customWidth="1"/>
    <col min="4287" max="4299" width="9.85546875" bestFit="1" customWidth="1"/>
    <col min="4300" max="4315" width="13" bestFit="1" customWidth="1"/>
    <col min="4316" max="4319" width="13" customWidth="1"/>
    <col min="4320" max="4320" width="13.5703125" customWidth="1"/>
    <col min="4321" max="4334" width="13.42578125" customWidth="1"/>
    <col min="4335" max="4335" width="13.7109375" bestFit="1" customWidth="1"/>
    <col min="4336" max="4336" width="13" bestFit="1" customWidth="1"/>
    <col min="4337" max="4338" width="13.7109375" bestFit="1" customWidth="1"/>
    <col min="4339" max="4339" width="13" bestFit="1" customWidth="1"/>
    <col min="4340" max="4340" width="13.7109375" bestFit="1" customWidth="1"/>
    <col min="4341" max="4341" width="9.85546875" bestFit="1" customWidth="1"/>
    <col min="4342" max="4342" width="13.7109375" bestFit="1" customWidth="1"/>
    <col min="4343" max="4365" width="15.85546875" bestFit="1" customWidth="1"/>
    <col min="4366" max="4366" width="12.85546875" customWidth="1"/>
    <col min="4497" max="4497" width="24.28515625" bestFit="1" customWidth="1"/>
    <col min="4498" max="4542" width="0" hidden="1" customWidth="1"/>
    <col min="4543" max="4555" width="9.85546875" bestFit="1" customWidth="1"/>
    <col min="4556" max="4571" width="13" bestFit="1" customWidth="1"/>
    <col min="4572" max="4575" width="13" customWidth="1"/>
    <col min="4576" max="4576" width="13.5703125" customWidth="1"/>
    <col min="4577" max="4590" width="13.42578125" customWidth="1"/>
    <col min="4591" max="4591" width="13.7109375" bestFit="1" customWidth="1"/>
    <col min="4592" max="4592" width="13" bestFit="1" customWidth="1"/>
    <col min="4593" max="4594" width="13.7109375" bestFit="1" customWidth="1"/>
    <col min="4595" max="4595" width="13" bestFit="1" customWidth="1"/>
    <col min="4596" max="4596" width="13.7109375" bestFit="1" customWidth="1"/>
    <col min="4597" max="4597" width="9.85546875" bestFit="1" customWidth="1"/>
    <col min="4598" max="4598" width="13.7109375" bestFit="1" customWidth="1"/>
    <col min="4599" max="4621" width="15.85546875" bestFit="1" customWidth="1"/>
    <col min="4622" max="4622" width="12.85546875" customWidth="1"/>
    <col min="4753" max="4753" width="24.28515625" bestFit="1" customWidth="1"/>
    <col min="4754" max="4798" width="0" hidden="1" customWidth="1"/>
    <col min="4799" max="4811" width="9.85546875" bestFit="1" customWidth="1"/>
    <col min="4812" max="4827" width="13" bestFit="1" customWidth="1"/>
    <col min="4828" max="4831" width="13" customWidth="1"/>
    <col min="4832" max="4832" width="13.5703125" customWidth="1"/>
    <col min="4833" max="4846" width="13.42578125" customWidth="1"/>
    <col min="4847" max="4847" width="13.7109375" bestFit="1" customWidth="1"/>
    <col min="4848" max="4848" width="13" bestFit="1" customWidth="1"/>
    <col min="4849" max="4850" width="13.7109375" bestFit="1" customWidth="1"/>
    <col min="4851" max="4851" width="13" bestFit="1" customWidth="1"/>
    <col min="4852" max="4852" width="13.7109375" bestFit="1" customWidth="1"/>
    <col min="4853" max="4853" width="9.85546875" bestFit="1" customWidth="1"/>
    <col min="4854" max="4854" width="13.7109375" bestFit="1" customWidth="1"/>
    <col min="4855" max="4877" width="15.85546875" bestFit="1" customWidth="1"/>
    <col min="4878" max="4878" width="12.85546875" customWidth="1"/>
    <col min="5009" max="5009" width="24.28515625" bestFit="1" customWidth="1"/>
    <col min="5010" max="5054" width="0" hidden="1" customWidth="1"/>
    <col min="5055" max="5067" width="9.85546875" bestFit="1" customWidth="1"/>
    <col min="5068" max="5083" width="13" bestFit="1" customWidth="1"/>
    <col min="5084" max="5087" width="13" customWidth="1"/>
    <col min="5088" max="5088" width="13.5703125" customWidth="1"/>
    <col min="5089" max="5102" width="13.42578125" customWidth="1"/>
    <col min="5103" max="5103" width="13.7109375" bestFit="1" customWidth="1"/>
    <col min="5104" max="5104" width="13" bestFit="1" customWidth="1"/>
    <col min="5105" max="5106" width="13.7109375" bestFit="1" customWidth="1"/>
    <col min="5107" max="5107" width="13" bestFit="1" customWidth="1"/>
    <col min="5108" max="5108" width="13.7109375" bestFit="1" customWidth="1"/>
    <col min="5109" max="5109" width="9.85546875" bestFit="1" customWidth="1"/>
    <col min="5110" max="5110" width="13.7109375" bestFit="1" customWidth="1"/>
    <col min="5111" max="5133" width="15.85546875" bestFit="1" customWidth="1"/>
    <col min="5134" max="5134" width="12.85546875" customWidth="1"/>
    <col min="5265" max="5265" width="24.28515625" bestFit="1" customWidth="1"/>
    <col min="5266" max="5310" width="0" hidden="1" customWidth="1"/>
    <col min="5311" max="5323" width="9.85546875" bestFit="1" customWidth="1"/>
    <col min="5324" max="5339" width="13" bestFit="1" customWidth="1"/>
    <col min="5340" max="5343" width="13" customWidth="1"/>
    <col min="5344" max="5344" width="13.5703125" customWidth="1"/>
    <col min="5345" max="5358" width="13.42578125" customWidth="1"/>
    <col min="5359" max="5359" width="13.7109375" bestFit="1" customWidth="1"/>
    <col min="5360" max="5360" width="13" bestFit="1" customWidth="1"/>
    <col min="5361" max="5362" width="13.7109375" bestFit="1" customWidth="1"/>
    <col min="5363" max="5363" width="13" bestFit="1" customWidth="1"/>
    <col min="5364" max="5364" width="13.7109375" bestFit="1" customWidth="1"/>
    <col min="5365" max="5365" width="9.85546875" bestFit="1" customWidth="1"/>
    <col min="5366" max="5366" width="13.7109375" bestFit="1" customWidth="1"/>
    <col min="5367" max="5389" width="15.85546875" bestFit="1" customWidth="1"/>
    <col min="5390" max="5390" width="12.85546875" customWidth="1"/>
    <col min="5521" max="5521" width="24.28515625" bestFit="1" customWidth="1"/>
    <col min="5522" max="5566" width="0" hidden="1" customWidth="1"/>
    <col min="5567" max="5579" width="9.85546875" bestFit="1" customWidth="1"/>
    <col min="5580" max="5595" width="13" bestFit="1" customWidth="1"/>
    <col min="5596" max="5599" width="13" customWidth="1"/>
    <col min="5600" max="5600" width="13.5703125" customWidth="1"/>
    <col min="5601" max="5614" width="13.42578125" customWidth="1"/>
    <col min="5615" max="5615" width="13.7109375" bestFit="1" customWidth="1"/>
    <col min="5616" max="5616" width="13" bestFit="1" customWidth="1"/>
    <col min="5617" max="5618" width="13.7109375" bestFit="1" customWidth="1"/>
    <col min="5619" max="5619" width="13" bestFit="1" customWidth="1"/>
    <col min="5620" max="5620" width="13.7109375" bestFit="1" customWidth="1"/>
    <col min="5621" max="5621" width="9.85546875" bestFit="1" customWidth="1"/>
    <col min="5622" max="5622" width="13.7109375" bestFit="1" customWidth="1"/>
    <col min="5623" max="5645" width="15.85546875" bestFit="1" customWidth="1"/>
    <col min="5646" max="5646" width="12.85546875" customWidth="1"/>
    <col min="5777" max="5777" width="24.28515625" bestFit="1" customWidth="1"/>
    <col min="5778" max="5822" width="0" hidden="1" customWidth="1"/>
    <col min="5823" max="5835" width="9.85546875" bestFit="1" customWidth="1"/>
    <col min="5836" max="5851" width="13" bestFit="1" customWidth="1"/>
    <col min="5852" max="5855" width="13" customWidth="1"/>
    <col min="5856" max="5856" width="13.5703125" customWidth="1"/>
    <col min="5857" max="5870" width="13.42578125" customWidth="1"/>
    <col min="5871" max="5871" width="13.7109375" bestFit="1" customWidth="1"/>
    <col min="5872" max="5872" width="13" bestFit="1" customWidth="1"/>
    <col min="5873" max="5874" width="13.7109375" bestFit="1" customWidth="1"/>
    <col min="5875" max="5875" width="13" bestFit="1" customWidth="1"/>
    <col min="5876" max="5876" width="13.7109375" bestFit="1" customWidth="1"/>
    <col min="5877" max="5877" width="9.85546875" bestFit="1" customWidth="1"/>
    <col min="5878" max="5878" width="13.7109375" bestFit="1" customWidth="1"/>
    <col min="5879" max="5901" width="15.85546875" bestFit="1" customWidth="1"/>
    <col min="5902" max="5902" width="12.85546875" customWidth="1"/>
    <col min="6033" max="6033" width="24.28515625" bestFit="1" customWidth="1"/>
    <col min="6034" max="6078" width="0" hidden="1" customWidth="1"/>
    <col min="6079" max="6091" width="9.85546875" bestFit="1" customWidth="1"/>
    <col min="6092" max="6107" width="13" bestFit="1" customWidth="1"/>
    <col min="6108" max="6111" width="13" customWidth="1"/>
    <col min="6112" max="6112" width="13.5703125" customWidth="1"/>
    <col min="6113" max="6126" width="13.42578125" customWidth="1"/>
    <col min="6127" max="6127" width="13.7109375" bestFit="1" customWidth="1"/>
    <col min="6128" max="6128" width="13" bestFit="1" customWidth="1"/>
    <col min="6129" max="6130" width="13.7109375" bestFit="1" customWidth="1"/>
    <col min="6131" max="6131" width="13" bestFit="1" customWidth="1"/>
    <col min="6132" max="6132" width="13.7109375" bestFit="1" customWidth="1"/>
    <col min="6133" max="6133" width="9.85546875" bestFit="1" customWidth="1"/>
    <col min="6134" max="6134" width="13.7109375" bestFit="1" customWidth="1"/>
    <col min="6135" max="6157" width="15.85546875" bestFit="1" customWidth="1"/>
    <col min="6158" max="6158" width="12.85546875" customWidth="1"/>
    <col min="6289" max="6289" width="24.28515625" bestFit="1" customWidth="1"/>
    <col min="6290" max="6334" width="0" hidden="1" customWidth="1"/>
    <col min="6335" max="6347" width="9.85546875" bestFit="1" customWidth="1"/>
    <col min="6348" max="6363" width="13" bestFit="1" customWidth="1"/>
    <col min="6364" max="6367" width="13" customWidth="1"/>
    <col min="6368" max="6368" width="13.5703125" customWidth="1"/>
    <col min="6369" max="6382" width="13.42578125" customWidth="1"/>
    <col min="6383" max="6383" width="13.7109375" bestFit="1" customWidth="1"/>
    <col min="6384" max="6384" width="13" bestFit="1" customWidth="1"/>
    <col min="6385" max="6386" width="13.7109375" bestFit="1" customWidth="1"/>
    <col min="6387" max="6387" width="13" bestFit="1" customWidth="1"/>
    <col min="6388" max="6388" width="13.7109375" bestFit="1" customWidth="1"/>
    <col min="6389" max="6389" width="9.85546875" bestFit="1" customWidth="1"/>
    <col min="6390" max="6390" width="13.7109375" bestFit="1" customWidth="1"/>
    <col min="6391" max="6413" width="15.85546875" bestFit="1" customWidth="1"/>
    <col min="6414" max="6414" width="12.85546875" customWidth="1"/>
    <col min="6545" max="6545" width="24.28515625" bestFit="1" customWidth="1"/>
    <col min="6546" max="6590" width="0" hidden="1" customWidth="1"/>
    <col min="6591" max="6603" width="9.85546875" bestFit="1" customWidth="1"/>
    <col min="6604" max="6619" width="13" bestFit="1" customWidth="1"/>
    <col min="6620" max="6623" width="13" customWidth="1"/>
    <col min="6624" max="6624" width="13.5703125" customWidth="1"/>
    <col min="6625" max="6638" width="13.42578125" customWidth="1"/>
    <col min="6639" max="6639" width="13.7109375" bestFit="1" customWidth="1"/>
    <col min="6640" max="6640" width="13" bestFit="1" customWidth="1"/>
    <col min="6641" max="6642" width="13.7109375" bestFit="1" customWidth="1"/>
    <col min="6643" max="6643" width="13" bestFit="1" customWidth="1"/>
    <col min="6644" max="6644" width="13.7109375" bestFit="1" customWidth="1"/>
    <col min="6645" max="6645" width="9.85546875" bestFit="1" customWidth="1"/>
    <col min="6646" max="6646" width="13.7109375" bestFit="1" customWidth="1"/>
    <col min="6647" max="6669" width="15.85546875" bestFit="1" customWidth="1"/>
    <col min="6670" max="6670" width="12.85546875" customWidth="1"/>
    <col min="6801" max="6801" width="24.28515625" bestFit="1" customWidth="1"/>
    <col min="6802" max="6846" width="0" hidden="1" customWidth="1"/>
    <col min="6847" max="6859" width="9.85546875" bestFit="1" customWidth="1"/>
    <col min="6860" max="6875" width="13" bestFit="1" customWidth="1"/>
    <col min="6876" max="6879" width="13" customWidth="1"/>
    <col min="6880" max="6880" width="13.5703125" customWidth="1"/>
    <col min="6881" max="6894" width="13.42578125" customWidth="1"/>
    <col min="6895" max="6895" width="13.7109375" bestFit="1" customWidth="1"/>
    <col min="6896" max="6896" width="13" bestFit="1" customWidth="1"/>
    <col min="6897" max="6898" width="13.7109375" bestFit="1" customWidth="1"/>
    <col min="6899" max="6899" width="13" bestFit="1" customWidth="1"/>
    <col min="6900" max="6900" width="13.7109375" bestFit="1" customWidth="1"/>
    <col min="6901" max="6901" width="9.85546875" bestFit="1" customWidth="1"/>
    <col min="6902" max="6902" width="13.7109375" bestFit="1" customWidth="1"/>
    <col min="6903" max="6925" width="15.85546875" bestFit="1" customWidth="1"/>
    <col min="6926" max="6926" width="12.85546875" customWidth="1"/>
    <col min="7057" max="7057" width="24.28515625" bestFit="1" customWidth="1"/>
    <col min="7058" max="7102" width="0" hidden="1" customWidth="1"/>
    <col min="7103" max="7115" width="9.85546875" bestFit="1" customWidth="1"/>
    <col min="7116" max="7131" width="13" bestFit="1" customWidth="1"/>
    <col min="7132" max="7135" width="13" customWidth="1"/>
    <col min="7136" max="7136" width="13.5703125" customWidth="1"/>
    <col min="7137" max="7150" width="13.42578125" customWidth="1"/>
    <col min="7151" max="7151" width="13.7109375" bestFit="1" customWidth="1"/>
    <col min="7152" max="7152" width="13" bestFit="1" customWidth="1"/>
    <col min="7153" max="7154" width="13.7109375" bestFit="1" customWidth="1"/>
    <col min="7155" max="7155" width="13" bestFit="1" customWidth="1"/>
    <col min="7156" max="7156" width="13.7109375" bestFit="1" customWidth="1"/>
    <col min="7157" max="7157" width="9.85546875" bestFit="1" customWidth="1"/>
    <col min="7158" max="7158" width="13.7109375" bestFit="1" customWidth="1"/>
    <col min="7159" max="7181" width="15.85546875" bestFit="1" customWidth="1"/>
    <col min="7182" max="7182" width="12.85546875" customWidth="1"/>
    <col min="7313" max="7313" width="24.28515625" bestFit="1" customWidth="1"/>
    <col min="7314" max="7358" width="0" hidden="1" customWidth="1"/>
    <col min="7359" max="7371" width="9.85546875" bestFit="1" customWidth="1"/>
    <col min="7372" max="7387" width="13" bestFit="1" customWidth="1"/>
    <col min="7388" max="7391" width="13" customWidth="1"/>
    <col min="7392" max="7392" width="13.5703125" customWidth="1"/>
    <col min="7393" max="7406" width="13.42578125" customWidth="1"/>
    <col min="7407" max="7407" width="13.7109375" bestFit="1" customWidth="1"/>
    <col min="7408" max="7408" width="13" bestFit="1" customWidth="1"/>
    <col min="7409" max="7410" width="13.7109375" bestFit="1" customWidth="1"/>
    <col min="7411" max="7411" width="13" bestFit="1" customWidth="1"/>
    <col min="7412" max="7412" width="13.7109375" bestFit="1" customWidth="1"/>
    <col min="7413" max="7413" width="9.85546875" bestFit="1" customWidth="1"/>
    <col min="7414" max="7414" width="13.7109375" bestFit="1" customWidth="1"/>
    <col min="7415" max="7437" width="15.85546875" bestFit="1" customWidth="1"/>
    <col min="7438" max="7438" width="12.85546875" customWidth="1"/>
    <col min="7569" max="7569" width="24.28515625" bestFit="1" customWidth="1"/>
    <col min="7570" max="7614" width="0" hidden="1" customWidth="1"/>
    <col min="7615" max="7627" width="9.85546875" bestFit="1" customWidth="1"/>
    <col min="7628" max="7643" width="13" bestFit="1" customWidth="1"/>
    <col min="7644" max="7647" width="13" customWidth="1"/>
    <col min="7648" max="7648" width="13.5703125" customWidth="1"/>
    <col min="7649" max="7662" width="13.42578125" customWidth="1"/>
    <col min="7663" max="7663" width="13.7109375" bestFit="1" customWidth="1"/>
    <col min="7664" max="7664" width="13" bestFit="1" customWidth="1"/>
    <col min="7665" max="7666" width="13.7109375" bestFit="1" customWidth="1"/>
    <col min="7667" max="7667" width="13" bestFit="1" customWidth="1"/>
    <col min="7668" max="7668" width="13.7109375" bestFit="1" customWidth="1"/>
    <col min="7669" max="7669" width="9.85546875" bestFit="1" customWidth="1"/>
    <col min="7670" max="7670" width="13.7109375" bestFit="1" customWidth="1"/>
    <col min="7671" max="7693" width="15.85546875" bestFit="1" customWidth="1"/>
    <col min="7694" max="7694" width="12.85546875" customWidth="1"/>
    <col min="7825" max="7825" width="24.28515625" bestFit="1" customWidth="1"/>
    <col min="7826" max="7870" width="0" hidden="1" customWidth="1"/>
    <col min="7871" max="7883" width="9.85546875" bestFit="1" customWidth="1"/>
    <col min="7884" max="7899" width="13" bestFit="1" customWidth="1"/>
    <col min="7900" max="7903" width="13" customWidth="1"/>
    <col min="7904" max="7904" width="13.5703125" customWidth="1"/>
    <col min="7905" max="7918" width="13.42578125" customWidth="1"/>
    <col min="7919" max="7919" width="13.7109375" bestFit="1" customWidth="1"/>
    <col min="7920" max="7920" width="13" bestFit="1" customWidth="1"/>
    <col min="7921" max="7922" width="13.7109375" bestFit="1" customWidth="1"/>
    <col min="7923" max="7923" width="13" bestFit="1" customWidth="1"/>
    <col min="7924" max="7924" width="13.7109375" bestFit="1" customWidth="1"/>
    <col min="7925" max="7925" width="9.85546875" bestFit="1" customWidth="1"/>
    <col min="7926" max="7926" width="13.7109375" bestFit="1" customWidth="1"/>
    <col min="7927" max="7949" width="15.85546875" bestFit="1" customWidth="1"/>
    <col min="7950" max="7950" width="12.85546875" customWidth="1"/>
    <col min="8081" max="8081" width="24.28515625" bestFit="1" customWidth="1"/>
    <col min="8082" max="8126" width="0" hidden="1" customWidth="1"/>
    <col min="8127" max="8139" width="9.85546875" bestFit="1" customWidth="1"/>
    <col min="8140" max="8155" width="13" bestFit="1" customWidth="1"/>
    <col min="8156" max="8159" width="13" customWidth="1"/>
    <col min="8160" max="8160" width="13.5703125" customWidth="1"/>
    <col min="8161" max="8174" width="13.42578125" customWidth="1"/>
    <col min="8175" max="8175" width="13.7109375" bestFit="1" customWidth="1"/>
    <col min="8176" max="8176" width="13" bestFit="1" customWidth="1"/>
    <col min="8177" max="8178" width="13.7109375" bestFit="1" customWidth="1"/>
    <col min="8179" max="8179" width="13" bestFit="1" customWidth="1"/>
    <col min="8180" max="8180" width="13.7109375" bestFit="1" customWidth="1"/>
    <col min="8181" max="8181" width="9.85546875" bestFit="1" customWidth="1"/>
    <col min="8182" max="8182" width="13.7109375" bestFit="1" customWidth="1"/>
    <col min="8183" max="8205" width="15.85546875" bestFit="1" customWidth="1"/>
    <col min="8206" max="8206" width="12.85546875" customWidth="1"/>
    <col min="8337" max="8337" width="24.28515625" bestFit="1" customWidth="1"/>
    <col min="8338" max="8382" width="0" hidden="1" customWidth="1"/>
    <col min="8383" max="8395" width="9.85546875" bestFit="1" customWidth="1"/>
    <col min="8396" max="8411" width="13" bestFit="1" customWidth="1"/>
    <col min="8412" max="8415" width="13" customWidth="1"/>
    <col min="8416" max="8416" width="13.5703125" customWidth="1"/>
    <col min="8417" max="8430" width="13.42578125" customWidth="1"/>
    <col min="8431" max="8431" width="13.7109375" bestFit="1" customWidth="1"/>
    <col min="8432" max="8432" width="13" bestFit="1" customWidth="1"/>
    <col min="8433" max="8434" width="13.7109375" bestFit="1" customWidth="1"/>
    <col min="8435" max="8435" width="13" bestFit="1" customWidth="1"/>
    <col min="8436" max="8436" width="13.7109375" bestFit="1" customWidth="1"/>
    <col min="8437" max="8437" width="9.85546875" bestFit="1" customWidth="1"/>
    <col min="8438" max="8438" width="13.7109375" bestFit="1" customWidth="1"/>
    <col min="8439" max="8461" width="15.85546875" bestFit="1" customWidth="1"/>
    <col min="8462" max="8462" width="12.85546875" customWidth="1"/>
    <col min="8593" max="8593" width="24.28515625" bestFit="1" customWidth="1"/>
    <col min="8594" max="8638" width="0" hidden="1" customWidth="1"/>
    <col min="8639" max="8651" width="9.85546875" bestFit="1" customWidth="1"/>
    <col min="8652" max="8667" width="13" bestFit="1" customWidth="1"/>
    <col min="8668" max="8671" width="13" customWidth="1"/>
    <col min="8672" max="8672" width="13.5703125" customWidth="1"/>
    <col min="8673" max="8686" width="13.42578125" customWidth="1"/>
    <col min="8687" max="8687" width="13.7109375" bestFit="1" customWidth="1"/>
    <col min="8688" max="8688" width="13" bestFit="1" customWidth="1"/>
    <col min="8689" max="8690" width="13.7109375" bestFit="1" customWidth="1"/>
    <col min="8691" max="8691" width="13" bestFit="1" customWidth="1"/>
    <col min="8692" max="8692" width="13.7109375" bestFit="1" customWidth="1"/>
    <col min="8693" max="8693" width="9.85546875" bestFit="1" customWidth="1"/>
    <col min="8694" max="8694" width="13.7109375" bestFit="1" customWidth="1"/>
    <col min="8695" max="8717" width="15.85546875" bestFit="1" customWidth="1"/>
    <col min="8718" max="8718" width="12.85546875" customWidth="1"/>
    <col min="8849" max="8849" width="24.28515625" bestFit="1" customWidth="1"/>
    <col min="8850" max="8894" width="0" hidden="1" customWidth="1"/>
    <col min="8895" max="8907" width="9.85546875" bestFit="1" customWidth="1"/>
    <col min="8908" max="8923" width="13" bestFit="1" customWidth="1"/>
    <col min="8924" max="8927" width="13" customWidth="1"/>
    <col min="8928" max="8928" width="13.5703125" customWidth="1"/>
    <col min="8929" max="8942" width="13.42578125" customWidth="1"/>
    <col min="8943" max="8943" width="13.7109375" bestFit="1" customWidth="1"/>
    <col min="8944" max="8944" width="13" bestFit="1" customWidth="1"/>
    <col min="8945" max="8946" width="13.7109375" bestFit="1" customWidth="1"/>
    <col min="8947" max="8947" width="13" bestFit="1" customWidth="1"/>
    <col min="8948" max="8948" width="13.7109375" bestFit="1" customWidth="1"/>
    <col min="8949" max="8949" width="9.85546875" bestFit="1" customWidth="1"/>
    <col min="8950" max="8950" width="13.7109375" bestFit="1" customWidth="1"/>
    <col min="8951" max="8973" width="15.85546875" bestFit="1" customWidth="1"/>
    <col min="8974" max="8974" width="12.85546875" customWidth="1"/>
    <col min="9105" max="9105" width="24.28515625" bestFit="1" customWidth="1"/>
    <col min="9106" max="9150" width="0" hidden="1" customWidth="1"/>
    <col min="9151" max="9163" width="9.85546875" bestFit="1" customWidth="1"/>
    <col min="9164" max="9179" width="13" bestFit="1" customWidth="1"/>
    <col min="9180" max="9183" width="13" customWidth="1"/>
    <col min="9184" max="9184" width="13.5703125" customWidth="1"/>
    <col min="9185" max="9198" width="13.42578125" customWidth="1"/>
    <col min="9199" max="9199" width="13.7109375" bestFit="1" customWidth="1"/>
    <col min="9200" max="9200" width="13" bestFit="1" customWidth="1"/>
    <col min="9201" max="9202" width="13.7109375" bestFit="1" customWidth="1"/>
    <col min="9203" max="9203" width="13" bestFit="1" customWidth="1"/>
    <col min="9204" max="9204" width="13.7109375" bestFit="1" customWidth="1"/>
    <col min="9205" max="9205" width="9.85546875" bestFit="1" customWidth="1"/>
    <col min="9206" max="9206" width="13.7109375" bestFit="1" customWidth="1"/>
    <col min="9207" max="9229" width="15.85546875" bestFit="1" customWidth="1"/>
    <col min="9230" max="9230" width="12.85546875" customWidth="1"/>
    <col min="9361" max="9361" width="24.28515625" bestFit="1" customWidth="1"/>
    <col min="9362" max="9406" width="0" hidden="1" customWidth="1"/>
    <col min="9407" max="9419" width="9.85546875" bestFit="1" customWidth="1"/>
    <col min="9420" max="9435" width="13" bestFit="1" customWidth="1"/>
    <col min="9436" max="9439" width="13" customWidth="1"/>
    <col min="9440" max="9440" width="13.5703125" customWidth="1"/>
    <col min="9441" max="9454" width="13.42578125" customWidth="1"/>
    <col min="9455" max="9455" width="13.7109375" bestFit="1" customWidth="1"/>
    <col min="9456" max="9456" width="13" bestFit="1" customWidth="1"/>
    <col min="9457" max="9458" width="13.7109375" bestFit="1" customWidth="1"/>
    <col min="9459" max="9459" width="13" bestFit="1" customWidth="1"/>
    <col min="9460" max="9460" width="13.7109375" bestFit="1" customWidth="1"/>
    <col min="9461" max="9461" width="9.85546875" bestFit="1" customWidth="1"/>
    <col min="9462" max="9462" width="13.7109375" bestFit="1" customWidth="1"/>
    <col min="9463" max="9485" width="15.85546875" bestFit="1" customWidth="1"/>
    <col min="9486" max="9486" width="12.85546875" customWidth="1"/>
    <col min="9617" max="9617" width="24.28515625" bestFit="1" customWidth="1"/>
    <col min="9618" max="9662" width="0" hidden="1" customWidth="1"/>
    <col min="9663" max="9675" width="9.85546875" bestFit="1" customWidth="1"/>
    <col min="9676" max="9691" width="13" bestFit="1" customWidth="1"/>
    <col min="9692" max="9695" width="13" customWidth="1"/>
    <col min="9696" max="9696" width="13.5703125" customWidth="1"/>
    <col min="9697" max="9710" width="13.42578125" customWidth="1"/>
    <col min="9711" max="9711" width="13.7109375" bestFit="1" customWidth="1"/>
    <col min="9712" max="9712" width="13" bestFit="1" customWidth="1"/>
    <col min="9713" max="9714" width="13.7109375" bestFit="1" customWidth="1"/>
    <col min="9715" max="9715" width="13" bestFit="1" customWidth="1"/>
    <col min="9716" max="9716" width="13.7109375" bestFit="1" customWidth="1"/>
    <col min="9717" max="9717" width="9.85546875" bestFit="1" customWidth="1"/>
    <col min="9718" max="9718" width="13.7109375" bestFit="1" customWidth="1"/>
    <col min="9719" max="9741" width="15.85546875" bestFit="1" customWidth="1"/>
    <col min="9742" max="9742" width="12.85546875" customWidth="1"/>
    <col min="9873" max="9873" width="24.28515625" bestFit="1" customWidth="1"/>
    <col min="9874" max="9918" width="0" hidden="1" customWidth="1"/>
    <col min="9919" max="9931" width="9.85546875" bestFit="1" customWidth="1"/>
    <col min="9932" max="9947" width="13" bestFit="1" customWidth="1"/>
    <col min="9948" max="9951" width="13" customWidth="1"/>
    <col min="9952" max="9952" width="13.5703125" customWidth="1"/>
    <col min="9953" max="9966" width="13.42578125" customWidth="1"/>
    <col min="9967" max="9967" width="13.7109375" bestFit="1" customWidth="1"/>
    <col min="9968" max="9968" width="13" bestFit="1" customWidth="1"/>
    <col min="9969" max="9970" width="13.7109375" bestFit="1" customWidth="1"/>
    <col min="9971" max="9971" width="13" bestFit="1" customWidth="1"/>
    <col min="9972" max="9972" width="13.7109375" bestFit="1" customWidth="1"/>
    <col min="9973" max="9973" width="9.85546875" bestFit="1" customWidth="1"/>
    <col min="9974" max="9974" width="13.7109375" bestFit="1" customWidth="1"/>
    <col min="9975" max="9997" width="15.85546875" bestFit="1" customWidth="1"/>
    <col min="9998" max="9998" width="12.85546875" customWidth="1"/>
    <col min="10129" max="10129" width="24.28515625" bestFit="1" customWidth="1"/>
    <col min="10130" max="10174" width="0" hidden="1" customWidth="1"/>
    <col min="10175" max="10187" width="9.85546875" bestFit="1" customWidth="1"/>
    <col min="10188" max="10203" width="13" bestFit="1" customWidth="1"/>
    <col min="10204" max="10207" width="13" customWidth="1"/>
    <col min="10208" max="10208" width="13.5703125" customWidth="1"/>
    <col min="10209" max="10222" width="13.42578125" customWidth="1"/>
    <col min="10223" max="10223" width="13.7109375" bestFit="1" customWidth="1"/>
    <col min="10224" max="10224" width="13" bestFit="1" customWidth="1"/>
    <col min="10225" max="10226" width="13.7109375" bestFit="1" customWidth="1"/>
    <col min="10227" max="10227" width="13" bestFit="1" customWidth="1"/>
    <col min="10228" max="10228" width="13.7109375" bestFit="1" customWidth="1"/>
    <col min="10229" max="10229" width="9.85546875" bestFit="1" customWidth="1"/>
    <col min="10230" max="10230" width="13.7109375" bestFit="1" customWidth="1"/>
    <col min="10231" max="10253" width="15.85546875" bestFit="1" customWidth="1"/>
    <col min="10254" max="10254" width="12.85546875" customWidth="1"/>
    <col min="10385" max="10385" width="24.28515625" bestFit="1" customWidth="1"/>
    <col min="10386" max="10430" width="0" hidden="1" customWidth="1"/>
    <col min="10431" max="10443" width="9.85546875" bestFit="1" customWidth="1"/>
    <col min="10444" max="10459" width="13" bestFit="1" customWidth="1"/>
    <col min="10460" max="10463" width="13" customWidth="1"/>
    <col min="10464" max="10464" width="13.5703125" customWidth="1"/>
    <col min="10465" max="10478" width="13.42578125" customWidth="1"/>
    <col min="10479" max="10479" width="13.7109375" bestFit="1" customWidth="1"/>
    <col min="10480" max="10480" width="13" bestFit="1" customWidth="1"/>
    <col min="10481" max="10482" width="13.7109375" bestFit="1" customWidth="1"/>
    <col min="10483" max="10483" width="13" bestFit="1" customWidth="1"/>
    <col min="10484" max="10484" width="13.7109375" bestFit="1" customWidth="1"/>
    <col min="10485" max="10485" width="9.85546875" bestFit="1" customWidth="1"/>
    <col min="10486" max="10486" width="13.7109375" bestFit="1" customWidth="1"/>
    <col min="10487" max="10509" width="15.85546875" bestFit="1" customWidth="1"/>
    <col min="10510" max="10510" width="12.85546875" customWidth="1"/>
    <col min="10641" max="10641" width="24.28515625" bestFit="1" customWidth="1"/>
    <col min="10642" max="10686" width="0" hidden="1" customWidth="1"/>
    <col min="10687" max="10699" width="9.85546875" bestFit="1" customWidth="1"/>
    <col min="10700" max="10715" width="13" bestFit="1" customWidth="1"/>
    <col min="10716" max="10719" width="13" customWidth="1"/>
    <col min="10720" max="10720" width="13.5703125" customWidth="1"/>
    <col min="10721" max="10734" width="13.42578125" customWidth="1"/>
    <col min="10735" max="10735" width="13.7109375" bestFit="1" customWidth="1"/>
    <col min="10736" max="10736" width="13" bestFit="1" customWidth="1"/>
    <col min="10737" max="10738" width="13.7109375" bestFit="1" customWidth="1"/>
    <col min="10739" max="10739" width="13" bestFit="1" customWidth="1"/>
    <col min="10740" max="10740" width="13.7109375" bestFit="1" customWidth="1"/>
    <col min="10741" max="10741" width="9.85546875" bestFit="1" customWidth="1"/>
    <col min="10742" max="10742" width="13.7109375" bestFit="1" customWidth="1"/>
    <col min="10743" max="10765" width="15.85546875" bestFit="1" customWidth="1"/>
    <col min="10766" max="10766" width="12.85546875" customWidth="1"/>
    <col min="10897" max="10897" width="24.28515625" bestFit="1" customWidth="1"/>
    <col min="10898" max="10942" width="0" hidden="1" customWidth="1"/>
    <col min="10943" max="10955" width="9.85546875" bestFit="1" customWidth="1"/>
    <col min="10956" max="10971" width="13" bestFit="1" customWidth="1"/>
    <col min="10972" max="10975" width="13" customWidth="1"/>
    <col min="10976" max="10976" width="13.5703125" customWidth="1"/>
    <col min="10977" max="10990" width="13.42578125" customWidth="1"/>
    <col min="10991" max="10991" width="13.7109375" bestFit="1" customWidth="1"/>
    <col min="10992" max="10992" width="13" bestFit="1" customWidth="1"/>
    <col min="10993" max="10994" width="13.7109375" bestFit="1" customWidth="1"/>
    <col min="10995" max="10995" width="13" bestFit="1" customWidth="1"/>
    <col min="10996" max="10996" width="13.7109375" bestFit="1" customWidth="1"/>
    <col min="10997" max="10997" width="9.85546875" bestFit="1" customWidth="1"/>
    <col min="10998" max="10998" width="13.7109375" bestFit="1" customWidth="1"/>
    <col min="10999" max="11021" width="15.85546875" bestFit="1" customWidth="1"/>
    <col min="11022" max="11022" width="12.85546875" customWidth="1"/>
    <col min="11153" max="11153" width="24.28515625" bestFit="1" customWidth="1"/>
    <col min="11154" max="11198" width="0" hidden="1" customWidth="1"/>
    <col min="11199" max="11211" width="9.85546875" bestFit="1" customWidth="1"/>
    <col min="11212" max="11227" width="13" bestFit="1" customWidth="1"/>
    <col min="11228" max="11231" width="13" customWidth="1"/>
    <col min="11232" max="11232" width="13.5703125" customWidth="1"/>
    <col min="11233" max="11246" width="13.42578125" customWidth="1"/>
    <col min="11247" max="11247" width="13.7109375" bestFit="1" customWidth="1"/>
    <col min="11248" max="11248" width="13" bestFit="1" customWidth="1"/>
    <col min="11249" max="11250" width="13.7109375" bestFit="1" customWidth="1"/>
    <col min="11251" max="11251" width="13" bestFit="1" customWidth="1"/>
    <col min="11252" max="11252" width="13.7109375" bestFit="1" customWidth="1"/>
    <col min="11253" max="11253" width="9.85546875" bestFit="1" customWidth="1"/>
    <col min="11254" max="11254" width="13.7109375" bestFit="1" customWidth="1"/>
    <col min="11255" max="11277" width="15.85546875" bestFit="1" customWidth="1"/>
    <col min="11278" max="11278" width="12.85546875" customWidth="1"/>
    <col min="11409" max="11409" width="24.28515625" bestFit="1" customWidth="1"/>
    <col min="11410" max="11454" width="0" hidden="1" customWidth="1"/>
    <col min="11455" max="11467" width="9.85546875" bestFit="1" customWidth="1"/>
    <col min="11468" max="11483" width="13" bestFit="1" customWidth="1"/>
    <col min="11484" max="11487" width="13" customWidth="1"/>
    <col min="11488" max="11488" width="13.5703125" customWidth="1"/>
    <col min="11489" max="11502" width="13.42578125" customWidth="1"/>
    <col min="11503" max="11503" width="13.7109375" bestFit="1" customWidth="1"/>
    <col min="11504" max="11504" width="13" bestFit="1" customWidth="1"/>
    <col min="11505" max="11506" width="13.7109375" bestFit="1" customWidth="1"/>
    <col min="11507" max="11507" width="13" bestFit="1" customWidth="1"/>
    <col min="11508" max="11508" width="13.7109375" bestFit="1" customWidth="1"/>
    <col min="11509" max="11509" width="9.85546875" bestFit="1" customWidth="1"/>
    <col min="11510" max="11510" width="13.7109375" bestFit="1" customWidth="1"/>
    <col min="11511" max="11533" width="15.85546875" bestFit="1" customWidth="1"/>
    <col min="11534" max="11534" width="12.85546875" customWidth="1"/>
    <col min="11665" max="11665" width="24.28515625" bestFit="1" customWidth="1"/>
    <col min="11666" max="11710" width="0" hidden="1" customWidth="1"/>
    <col min="11711" max="11723" width="9.85546875" bestFit="1" customWidth="1"/>
    <col min="11724" max="11739" width="13" bestFit="1" customWidth="1"/>
    <col min="11740" max="11743" width="13" customWidth="1"/>
    <col min="11744" max="11744" width="13.5703125" customWidth="1"/>
    <col min="11745" max="11758" width="13.42578125" customWidth="1"/>
    <col min="11759" max="11759" width="13.7109375" bestFit="1" customWidth="1"/>
    <col min="11760" max="11760" width="13" bestFit="1" customWidth="1"/>
    <col min="11761" max="11762" width="13.7109375" bestFit="1" customWidth="1"/>
    <col min="11763" max="11763" width="13" bestFit="1" customWidth="1"/>
    <col min="11764" max="11764" width="13.7109375" bestFit="1" customWidth="1"/>
    <col min="11765" max="11765" width="9.85546875" bestFit="1" customWidth="1"/>
    <col min="11766" max="11766" width="13.7109375" bestFit="1" customWidth="1"/>
    <col min="11767" max="11789" width="15.85546875" bestFit="1" customWidth="1"/>
    <col min="11790" max="11790" width="12.85546875" customWidth="1"/>
    <col min="11921" max="11921" width="24.28515625" bestFit="1" customWidth="1"/>
    <col min="11922" max="11966" width="0" hidden="1" customWidth="1"/>
    <col min="11967" max="11979" width="9.85546875" bestFit="1" customWidth="1"/>
    <col min="11980" max="11995" width="13" bestFit="1" customWidth="1"/>
    <col min="11996" max="11999" width="13" customWidth="1"/>
    <col min="12000" max="12000" width="13.5703125" customWidth="1"/>
    <col min="12001" max="12014" width="13.42578125" customWidth="1"/>
    <col min="12015" max="12015" width="13.7109375" bestFit="1" customWidth="1"/>
    <col min="12016" max="12016" width="13" bestFit="1" customWidth="1"/>
    <col min="12017" max="12018" width="13.7109375" bestFit="1" customWidth="1"/>
    <col min="12019" max="12019" width="13" bestFit="1" customWidth="1"/>
    <col min="12020" max="12020" width="13.7109375" bestFit="1" customWidth="1"/>
    <col min="12021" max="12021" width="9.85546875" bestFit="1" customWidth="1"/>
    <col min="12022" max="12022" width="13.7109375" bestFit="1" customWidth="1"/>
    <col min="12023" max="12045" width="15.85546875" bestFit="1" customWidth="1"/>
    <col min="12046" max="12046" width="12.85546875" customWidth="1"/>
    <col min="12177" max="12177" width="24.28515625" bestFit="1" customWidth="1"/>
    <col min="12178" max="12222" width="0" hidden="1" customWidth="1"/>
    <col min="12223" max="12235" width="9.85546875" bestFit="1" customWidth="1"/>
    <col min="12236" max="12251" width="13" bestFit="1" customWidth="1"/>
    <col min="12252" max="12255" width="13" customWidth="1"/>
    <col min="12256" max="12256" width="13.5703125" customWidth="1"/>
    <col min="12257" max="12270" width="13.42578125" customWidth="1"/>
    <col min="12271" max="12271" width="13.7109375" bestFit="1" customWidth="1"/>
    <col min="12272" max="12272" width="13" bestFit="1" customWidth="1"/>
    <col min="12273" max="12274" width="13.7109375" bestFit="1" customWidth="1"/>
    <col min="12275" max="12275" width="13" bestFit="1" customWidth="1"/>
    <col min="12276" max="12276" width="13.7109375" bestFit="1" customWidth="1"/>
    <col min="12277" max="12277" width="9.85546875" bestFit="1" customWidth="1"/>
    <col min="12278" max="12278" width="13.7109375" bestFit="1" customWidth="1"/>
    <col min="12279" max="12301" width="15.85546875" bestFit="1" customWidth="1"/>
    <col min="12302" max="12302" width="12.85546875" customWidth="1"/>
    <col min="12433" max="12433" width="24.28515625" bestFit="1" customWidth="1"/>
    <col min="12434" max="12478" width="0" hidden="1" customWidth="1"/>
    <col min="12479" max="12491" width="9.85546875" bestFit="1" customWidth="1"/>
    <col min="12492" max="12507" width="13" bestFit="1" customWidth="1"/>
    <col min="12508" max="12511" width="13" customWidth="1"/>
    <col min="12512" max="12512" width="13.5703125" customWidth="1"/>
    <col min="12513" max="12526" width="13.42578125" customWidth="1"/>
    <col min="12527" max="12527" width="13.7109375" bestFit="1" customWidth="1"/>
    <col min="12528" max="12528" width="13" bestFit="1" customWidth="1"/>
    <col min="12529" max="12530" width="13.7109375" bestFit="1" customWidth="1"/>
    <col min="12531" max="12531" width="13" bestFit="1" customWidth="1"/>
    <col min="12532" max="12532" width="13.7109375" bestFit="1" customWidth="1"/>
    <col min="12533" max="12533" width="9.85546875" bestFit="1" customWidth="1"/>
    <col min="12534" max="12534" width="13.7109375" bestFit="1" customWidth="1"/>
    <col min="12535" max="12557" width="15.85546875" bestFit="1" customWidth="1"/>
    <col min="12558" max="12558" width="12.85546875" customWidth="1"/>
    <col min="12689" max="12689" width="24.28515625" bestFit="1" customWidth="1"/>
    <col min="12690" max="12734" width="0" hidden="1" customWidth="1"/>
    <col min="12735" max="12747" width="9.85546875" bestFit="1" customWidth="1"/>
    <col min="12748" max="12763" width="13" bestFit="1" customWidth="1"/>
    <col min="12764" max="12767" width="13" customWidth="1"/>
    <col min="12768" max="12768" width="13.5703125" customWidth="1"/>
    <col min="12769" max="12782" width="13.42578125" customWidth="1"/>
    <col min="12783" max="12783" width="13.7109375" bestFit="1" customWidth="1"/>
    <col min="12784" max="12784" width="13" bestFit="1" customWidth="1"/>
    <col min="12785" max="12786" width="13.7109375" bestFit="1" customWidth="1"/>
    <col min="12787" max="12787" width="13" bestFit="1" customWidth="1"/>
    <col min="12788" max="12788" width="13.7109375" bestFit="1" customWidth="1"/>
    <col min="12789" max="12789" width="9.85546875" bestFit="1" customWidth="1"/>
    <col min="12790" max="12790" width="13.7109375" bestFit="1" customWidth="1"/>
    <col min="12791" max="12813" width="15.85546875" bestFit="1" customWidth="1"/>
    <col min="12814" max="12814" width="12.85546875" customWidth="1"/>
    <col min="12945" max="12945" width="24.28515625" bestFit="1" customWidth="1"/>
    <col min="12946" max="12990" width="0" hidden="1" customWidth="1"/>
    <col min="12991" max="13003" width="9.85546875" bestFit="1" customWidth="1"/>
    <col min="13004" max="13019" width="13" bestFit="1" customWidth="1"/>
    <col min="13020" max="13023" width="13" customWidth="1"/>
    <col min="13024" max="13024" width="13.5703125" customWidth="1"/>
    <col min="13025" max="13038" width="13.42578125" customWidth="1"/>
    <col min="13039" max="13039" width="13.7109375" bestFit="1" customWidth="1"/>
    <col min="13040" max="13040" width="13" bestFit="1" customWidth="1"/>
    <col min="13041" max="13042" width="13.7109375" bestFit="1" customWidth="1"/>
    <col min="13043" max="13043" width="13" bestFit="1" customWidth="1"/>
    <col min="13044" max="13044" width="13.7109375" bestFit="1" customWidth="1"/>
    <col min="13045" max="13045" width="9.85546875" bestFit="1" customWidth="1"/>
    <col min="13046" max="13046" width="13.7109375" bestFit="1" customWidth="1"/>
    <col min="13047" max="13069" width="15.85546875" bestFit="1" customWidth="1"/>
    <col min="13070" max="13070" width="12.85546875" customWidth="1"/>
    <col min="13201" max="13201" width="24.28515625" bestFit="1" customWidth="1"/>
    <col min="13202" max="13246" width="0" hidden="1" customWidth="1"/>
    <col min="13247" max="13259" width="9.85546875" bestFit="1" customWidth="1"/>
    <col min="13260" max="13275" width="13" bestFit="1" customWidth="1"/>
    <col min="13276" max="13279" width="13" customWidth="1"/>
    <col min="13280" max="13280" width="13.5703125" customWidth="1"/>
    <col min="13281" max="13294" width="13.42578125" customWidth="1"/>
    <col min="13295" max="13295" width="13.7109375" bestFit="1" customWidth="1"/>
    <col min="13296" max="13296" width="13" bestFit="1" customWidth="1"/>
    <col min="13297" max="13298" width="13.7109375" bestFit="1" customWidth="1"/>
    <col min="13299" max="13299" width="13" bestFit="1" customWidth="1"/>
    <col min="13300" max="13300" width="13.7109375" bestFit="1" customWidth="1"/>
    <col min="13301" max="13301" width="9.85546875" bestFit="1" customWidth="1"/>
    <col min="13302" max="13302" width="13.7109375" bestFit="1" customWidth="1"/>
    <col min="13303" max="13325" width="15.85546875" bestFit="1" customWidth="1"/>
    <col min="13326" max="13326" width="12.85546875" customWidth="1"/>
    <col min="13457" max="13457" width="24.28515625" bestFit="1" customWidth="1"/>
    <col min="13458" max="13502" width="0" hidden="1" customWidth="1"/>
    <col min="13503" max="13515" width="9.85546875" bestFit="1" customWidth="1"/>
    <col min="13516" max="13531" width="13" bestFit="1" customWidth="1"/>
    <col min="13532" max="13535" width="13" customWidth="1"/>
    <col min="13536" max="13536" width="13.5703125" customWidth="1"/>
    <col min="13537" max="13550" width="13.42578125" customWidth="1"/>
    <col min="13551" max="13551" width="13.7109375" bestFit="1" customWidth="1"/>
    <col min="13552" max="13552" width="13" bestFit="1" customWidth="1"/>
    <col min="13553" max="13554" width="13.7109375" bestFit="1" customWidth="1"/>
    <col min="13555" max="13555" width="13" bestFit="1" customWidth="1"/>
    <col min="13556" max="13556" width="13.7109375" bestFit="1" customWidth="1"/>
    <col min="13557" max="13557" width="9.85546875" bestFit="1" customWidth="1"/>
    <col min="13558" max="13558" width="13.7109375" bestFit="1" customWidth="1"/>
    <col min="13559" max="13581" width="15.85546875" bestFit="1" customWidth="1"/>
    <col min="13582" max="13582" width="12.85546875" customWidth="1"/>
    <col min="13713" max="13713" width="24.28515625" bestFit="1" customWidth="1"/>
    <col min="13714" max="13758" width="0" hidden="1" customWidth="1"/>
    <col min="13759" max="13771" width="9.85546875" bestFit="1" customWidth="1"/>
    <col min="13772" max="13787" width="13" bestFit="1" customWidth="1"/>
    <col min="13788" max="13791" width="13" customWidth="1"/>
    <col min="13792" max="13792" width="13.5703125" customWidth="1"/>
    <col min="13793" max="13806" width="13.42578125" customWidth="1"/>
    <col min="13807" max="13807" width="13.7109375" bestFit="1" customWidth="1"/>
    <col min="13808" max="13808" width="13" bestFit="1" customWidth="1"/>
    <col min="13809" max="13810" width="13.7109375" bestFit="1" customWidth="1"/>
    <col min="13811" max="13811" width="13" bestFit="1" customWidth="1"/>
    <col min="13812" max="13812" width="13.7109375" bestFit="1" customWidth="1"/>
    <col min="13813" max="13813" width="9.85546875" bestFit="1" customWidth="1"/>
    <col min="13814" max="13814" width="13.7109375" bestFit="1" customWidth="1"/>
    <col min="13815" max="13837" width="15.85546875" bestFit="1" customWidth="1"/>
    <col min="13838" max="13838" width="12.85546875" customWidth="1"/>
    <col min="13969" max="13969" width="24.28515625" bestFit="1" customWidth="1"/>
    <col min="13970" max="14014" width="0" hidden="1" customWidth="1"/>
    <col min="14015" max="14027" width="9.85546875" bestFit="1" customWidth="1"/>
    <col min="14028" max="14043" width="13" bestFit="1" customWidth="1"/>
    <col min="14044" max="14047" width="13" customWidth="1"/>
    <col min="14048" max="14048" width="13.5703125" customWidth="1"/>
    <col min="14049" max="14062" width="13.42578125" customWidth="1"/>
    <col min="14063" max="14063" width="13.7109375" bestFit="1" customWidth="1"/>
    <col min="14064" max="14064" width="13" bestFit="1" customWidth="1"/>
    <col min="14065" max="14066" width="13.7109375" bestFit="1" customWidth="1"/>
    <col min="14067" max="14067" width="13" bestFit="1" customWidth="1"/>
    <col min="14068" max="14068" width="13.7109375" bestFit="1" customWidth="1"/>
    <col min="14069" max="14069" width="9.85546875" bestFit="1" customWidth="1"/>
    <col min="14070" max="14070" width="13.7109375" bestFit="1" customWidth="1"/>
    <col min="14071" max="14093" width="15.85546875" bestFit="1" customWidth="1"/>
    <col min="14094" max="14094" width="12.85546875" customWidth="1"/>
    <col min="14225" max="14225" width="24.28515625" bestFit="1" customWidth="1"/>
    <col min="14226" max="14270" width="0" hidden="1" customWidth="1"/>
    <col min="14271" max="14283" width="9.85546875" bestFit="1" customWidth="1"/>
    <col min="14284" max="14299" width="13" bestFit="1" customWidth="1"/>
    <col min="14300" max="14303" width="13" customWidth="1"/>
    <col min="14304" max="14304" width="13.5703125" customWidth="1"/>
    <col min="14305" max="14318" width="13.42578125" customWidth="1"/>
    <col min="14319" max="14319" width="13.7109375" bestFit="1" customWidth="1"/>
    <col min="14320" max="14320" width="13" bestFit="1" customWidth="1"/>
    <col min="14321" max="14322" width="13.7109375" bestFit="1" customWidth="1"/>
    <col min="14323" max="14323" width="13" bestFit="1" customWidth="1"/>
    <col min="14324" max="14324" width="13.7109375" bestFit="1" customWidth="1"/>
    <col min="14325" max="14325" width="9.85546875" bestFit="1" customWidth="1"/>
    <col min="14326" max="14326" width="13.7109375" bestFit="1" customWidth="1"/>
    <col min="14327" max="14349" width="15.85546875" bestFit="1" customWidth="1"/>
    <col min="14350" max="14350" width="12.85546875" customWidth="1"/>
    <col min="14481" max="14481" width="24.28515625" bestFit="1" customWidth="1"/>
    <col min="14482" max="14526" width="0" hidden="1" customWidth="1"/>
    <col min="14527" max="14539" width="9.85546875" bestFit="1" customWidth="1"/>
    <col min="14540" max="14555" width="13" bestFit="1" customWidth="1"/>
    <col min="14556" max="14559" width="13" customWidth="1"/>
    <col min="14560" max="14560" width="13.5703125" customWidth="1"/>
    <col min="14561" max="14574" width="13.42578125" customWidth="1"/>
    <col min="14575" max="14575" width="13.7109375" bestFit="1" customWidth="1"/>
    <col min="14576" max="14576" width="13" bestFit="1" customWidth="1"/>
    <col min="14577" max="14578" width="13.7109375" bestFit="1" customWidth="1"/>
    <col min="14579" max="14579" width="13" bestFit="1" customWidth="1"/>
    <col min="14580" max="14580" width="13.7109375" bestFit="1" customWidth="1"/>
    <col min="14581" max="14581" width="9.85546875" bestFit="1" customWidth="1"/>
    <col min="14582" max="14582" width="13.7109375" bestFit="1" customWidth="1"/>
    <col min="14583" max="14605" width="15.85546875" bestFit="1" customWidth="1"/>
    <col min="14606" max="14606" width="12.85546875" customWidth="1"/>
    <col min="14737" max="14737" width="24.28515625" bestFit="1" customWidth="1"/>
    <col min="14738" max="14782" width="0" hidden="1" customWidth="1"/>
    <col min="14783" max="14795" width="9.85546875" bestFit="1" customWidth="1"/>
    <col min="14796" max="14811" width="13" bestFit="1" customWidth="1"/>
    <col min="14812" max="14815" width="13" customWidth="1"/>
    <col min="14816" max="14816" width="13.5703125" customWidth="1"/>
    <col min="14817" max="14830" width="13.42578125" customWidth="1"/>
    <col min="14831" max="14831" width="13.7109375" bestFit="1" customWidth="1"/>
    <col min="14832" max="14832" width="13" bestFit="1" customWidth="1"/>
    <col min="14833" max="14834" width="13.7109375" bestFit="1" customWidth="1"/>
    <col min="14835" max="14835" width="13" bestFit="1" customWidth="1"/>
    <col min="14836" max="14836" width="13.7109375" bestFit="1" customWidth="1"/>
    <col min="14837" max="14837" width="9.85546875" bestFit="1" customWidth="1"/>
    <col min="14838" max="14838" width="13.7109375" bestFit="1" customWidth="1"/>
    <col min="14839" max="14861" width="15.85546875" bestFit="1" customWidth="1"/>
    <col min="14862" max="14862" width="12.85546875" customWidth="1"/>
    <col min="14993" max="14993" width="24.28515625" bestFit="1" customWidth="1"/>
    <col min="14994" max="15038" width="0" hidden="1" customWidth="1"/>
    <col min="15039" max="15051" width="9.85546875" bestFit="1" customWidth="1"/>
    <col min="15052" max="15067" width="13" bestFit="1" customWidth="1"/>
    <col min="15068" max="15071" width="13" customWidth="1"/>
    <col min="15072" max="15072" width="13.5703125" customWidth="1"/>
    <col min="15073" max="15086" width="13.42578125" customWidth="1"/>
    <col min="15087" max="15087" width="13.7109375" bestFit="1" customWidth="1"/>
    <col min="15088" max="15088" width="13" bestFit="1" customWidth="1"/>
    <col min="15089" max="15090" width="13.7109375" bestFit="1" customWidth="1"/>
    <col min="15091" max="15091" width="13" bestFit="1" customWidth="1"/>
    <col min="15092" max="15092" width="13.7109375" bestFit="1" customWidth="1"/>
    <col min="15093" max="15093" width="9.85546875" bestFit="1" customWidth="1"/>
    <col min="15094" max="15094" width="13.7109375" bestFit="1" customWidth="1"/>
    <col min="15095" max="15117" width="15.85546875" bestFit="1" customWidth="1"/>
    <col min="15118" max="15118" width="12.85546875" customWidth="1"/>
    <col min="15249" max="15249" width="24.28515625" bestFit="1" customWidth="1"/>
    <col min="15250" max="15294" width="0" hidden="1" customWidth="1"/>
    <col min="15295" max="15307" width="9.85546875" bestFit="1" customWidth="1"/>
    <col min="15308" max="15323" width="13" bestFit="1" customWidth="1"/>
    <col min="15324" max="15327" width="13" customWidth="1"/>
    <col min="15328" max="15328" width="13.5703125" customWidth="1"/>
    <col min="15329" max="15342" width="13.42578125" customWidth="1"/>
    <col min="15343" max="15343" width="13.7109375" bestFit="1" customWidth="1"/>
    <col min="15344" max="15344" width="13" bestFit="1" customWidth="1"/>
    <col min="15345" max="15346" width="13.7109375" bestFit="1" customWidth="1"/>
    <col min="15347" max="15347" width="13" bestFit="1" customWidth="1"/>
    <col min="15348" max="15348" width="13.7109375" bestFit="1" customWidth="1"/>
    <col min="15349" max="15349" width="9.85546875" bestFit="1" customWidth="1"/>
    <col min="15350" max="15350" width="13.7109375" bestFit="1" customWidth="1"/>
    <col min="15351" max="15373" width="15.85546875" bestFit="1" customWidth="1"/>
    <col min="15374" max="15374" width="12.85546875" customWidth="1"/>
    <col min="15505" max="15505" width="24.28515625" bestFit="1" customWidth="1"/>
    <col min="15506" max="15550" width="0" hidden="1" customWidth="1"/>
    <col min="15551" max="15563" width="9.85546875" bestFit="1" customWidth="1"/>
    <col min="15564" max="15579" width="13" bestFit="1" customWidth="1"/>
    <col min="15580" max="15583" width="13" customWidth="1"/>
    <col min="15584" max="15584" width="13.5703125" customWidth="1"/>
    <col min="15585" max="15598" width="13.42578125" customWidth="1"/>
    <col min="15599" max="15599" width="13.7109375" bestFit="1" customWidth="1"/>
    <col min="15600" max="15600" width="13" bestFit="1" customWidth="1"/>
    <col min="15601" max="15602" width="13.7109375" bestFit="1" customWidth="1"/>
    <col min="15603" max="15603" width="13" bestFit="1" customWidth="1"/>
    <col min="15604" max="15604" width="13.7109375" bestFit="1" customWidth="1"/>
    <col min="15605" max="15605" width="9.85546875" bestFit="1" customWidth="1"/>
    <col min="15606" max="15606" width="13.7109375" bestFit="1" customWidth="1"/>
    <col min="15607" max="15629" width="15.85546875" bestFit="1" customWidth="1"/>
    <col min="15630" max="15630" width="12.85546875" customWidth="1"/>
    <col min="15761" max="15761" width="24.28515625" bestFit="1" customWidth="1"/>
    <col min="15762" max="15806" width="0" hidden="1" customWidth="1"/>
    <col min="15807" max="15819" width="9.85546875" bestFit="1" customWidth="1"/>
    <col min="15820" max="15835" width="13" bestFit="1" customWidth="1"/>
    <col min="15836" max="15839" width="13" customWidth="1"/>
    <col min="15840" max="15840" width="13.5703125" customWidth="1"/>
    <col min="15841" max="15854" width="13.42578125" customWidth="1"/>
    <col min="15855" max="15855" width="13.7109375" bestFit="1" customWidth="1"/>
    <col min="15856" max="15856" width="13" bestFit="1" customWidth="1"/>
    <col min="15857" max="15858" width="13.7109375" bestFit="1" customWidth="1"/>
    <col min="15859" max="15859" width="13" bestFit="1" customWidth="1"/>
    <col min="15860" max="15860" width="13.7109375" bestFit="1" customWidth="1"/>
    <col min="15861" max="15861" width="9.85546875" bestFit="1" customWidth="1"/>
    <col min="15862" max="15862" width="13.7109375" bestFit="1" customWidth="1"/>
    <col min="15863" max="15885" width="15.85546875" bestFit="1" customWidth="1"/>
    <col min="15886" max="15886" width="12.85546875" customWidth="1"/>
    <col min="16017" max="16017" width="24.28515625" bestFit="1" customWidth="1"/>
    <col min="16018" max="16062" width="0" hidden="1" customWidth="1"/>
    <col min="16063" max="16075" width="9.85546875" bestFit="1" customWidth="1"/>
    <col min="16076" max="16091" width="13" bestFit="1" customWidth="1"/>
    <col min="16092" max="16095" width="13" customWidth="1"/>
    <col min="16096" max="16096" width="13.5703125" customWidth="1"/>
    <col min="16097" max="16110" width="13.42578125" customWidth="1"/>
    <col min="16111" max="16111" width="13.7109375" bestFit="1" customWidth="1"/>
    <col min="16112" max="16112" width="13" bestFit="1" customWidth="1"/>
    <col min="16113" max="16114" width="13.7109375" bestFit="1" customWidth="1"/>
    <col min="16115" max="16115" width="13" bestFit="1" customWidth="1"/>
    <col min="16116" max="16116" width="13.7109375" bestFit="1" customWidth="1"/>
    <col min="16117" max="16117" width="9.85546875" bestFit="1" customWidth="1"/>
    <col min="16118" max="16118" width="13.7109375" bestFit="1" customWidth="1"/>
    <col min="16119" max="16141" width="15.85546875" bestFit="1" customWidth="1"/>
    <col min="16142" max="16142" width="12.85546875" customWidth="1"/>
  </cols>
  <sheetData>
    <row r="1" spans="1:28" s="23" customFormat="1" ht="23.25" customHeight="1" thickBot="1" x14ac:dyDescent="0.3">
      <c r="A1" s="22" t="s">
        <v>69</v>
      </c>
      <c r="B1" s="23" t="s">
        <v>70</v>
      </c>
      <c r="C1" s="23" t="s">
        <v>70</v>
      </c>
      <c r="D1" s="23" t="s">
        <v>70</v>
      </c>
      <c r="E1" s="23" t="s">
        <v>70</v>
      </c>
      <c r="F1" s="23" t="s">
        <v>70</v>
      </c>
      <c r="G1" s="23" t="s">
        <v>70</v>
      </c>
      <c r="H1" s="23" t="s">
        <v>70</v>
      </c>
      <c r="I1" s="23" t="s">
        <v>70</v>
      </c>
      <c r="J1" s="23" t="s">
        <v>70</v>
      </c>
      <c r="K1" s="23" t="s">
        <v>70</v>
      </c>
      <c r="L1" s="23" t="s">
        <v>70</v>
      </c>
      <c r="M1" s="23" t="s">
        <v>70</v>
      </c>
    </row>
    <row r="2" spans="1:28" s="29" customFormat="1" ht="13.5" thickBot="1" x14ac:dyDescent="0.25">
      <c r="A2" s="24" t="s">
        <v>9</v>
      </c>
      <c r="B2" s="25">
        <v>43252</v>
      </c>
      <c r="C2" s="25">
        <v>43299</v>
      </c>
      <c r="D2" s="25">
        <v>43313</v>
      </c>
      <c r="E2" s="25">
        <v>43344</v>
      </c>
      <c r="F2" s="25">
        <v>43374</v>
      </c>
      <c r="G2" s="25">
        <v>43405</v>
      </c>
      <c r="H2" s="25">
        <v>43435</v>
      </c>
      <c r="I2" s="25">
        <v>43466</v>
      </c>
      <c r="J2" s="25">
        <v>43497</v>
      </c>
      <c r="K2" s="25">
        <v>43525</v>
      </c>
      <c r="L2" s="25">
        <v>43556</v>
      </c>
      <c r="M2" s="25">
        <v>43586</v>
      </c>
      <c r="N2" s="26" t="s">
        <v>10</v>
      </c>
      <c r="O2" s="27" t="s">
        <v>71</v>
      </c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</row>
    <row r="3" spans="1:28" ht="13.5" thickBot="1" x14ac:dyDescent="0.25">
      <c r="A3" s="30" t="s">
        <v>72</v>
      </c>
      <c r="B3" s="31">
        <v>62113</v>
      </c>
      <c r="C3" s="31">
        <v>61908</v>
      </c>
      <c r="D3" s="31">
        <v>61849</v>
      </c>
      <c r="E3" s="31">
        <v>61512</v>
      </c>
      <c r="F3" s="31">
        <v>61444</v>
      </c>
      <c r="G3" s="31">
        <v>60599</v>
      </c>
      <c r="H3" s="31">
        <v>60392</v>
      </c>
      <c r="I3" s="31">
        <v>60121</v>
      </c>
      <c r="J3" s="31">
        <v>60093</v>
      </c>
      <c r="K3" s="31">
        <v>59823</v>
      </c>
      <c r="L3" s="31">
        <v>59542</v>
      </c>
      <c r="M3" s="31">
        <v>59710</v>
      </c>
      <c r="N3" s="32">
        <f>SUM(B3:M3)</f>
        <v>729106</v>
      </c>
      <c r="O3" s="33">
        <f>$N3/$N$21</f>
        <v>1.1459862926644152E-2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</row>
    <row r="4" spans="1:28" ht="13.5" thickBot="1" x14ac:dyDescent="0.25">
      <c r="A4" s="36" t="s">
        <v>73</v>
      </c>
      <c r="B4" s="37">
        <v>521302</v>
      </c>
      <c r="C4" s="37">
        <v>520809</v>
      </c>
      <c r="D4" s="37">
        <v>521644</v>
      </c>
      <c r="E4" s="37">
        <v>520888</v>
      </c>
      <c r="F4" s="37">
        <v>522692</v>
      </c>
      <c r="G4" s="37">
        <v>521172</v>
      </c>
      <c r="H4" s="37">
        <v>521826</v>
      </c>
      <c r="I4" s="37">
        <v>520217</v>
      </c>
      <c r="J4" s="37">
        <v>520192</v>
      </c>
      <c r="K4" s="37">
        <v>521130</v>
      </c>
      <c r="L4" s="37">
        <v>520458</v>
      </c>
      <c r="M4" s="37">
        <v>521931</v>
      </c>
      <c r="N4" s="38">
        <f t="shared" ref="N4:N20" si="0">SUM(B4:M4)</f>
        <v>6254261</v>
      </c>
      <c r="O4" s="39">
        <f t="shared" ref="O4:O20" si="1">$N4/$N$21</f>
        <v>9.8302542795500769E-2</v>
      </c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</row>
    <row r="5" spans="1:28" ht="13.5" thickBot="1" x14ac:dyDescent="0.25">
      <c r="A5" s="30" t="s">
        <v>74</v>
      </c>
      <c r="B5" s="31">
        <v>59464</v>
      </c>
      <c r="C5" s="31">
        <v>59092</v>
      </c>
      <c r="D5" s="31">
        <v>59027</v>
      </c>
      <c r="E5" s="31">
        <v>59077</v>
      </c>
      <c r="F5" s="31">
        <v>59488</v>
      </c>
      <c r="G5" s="31">
        <v>59185</v>
      </c>
      <c r="H5" s="31">
        <v>58887</v>
      </c>
      <c r="I5" s="31">
        <v>59091</v>
      </c>
      <c r="J5" s="31">
        <v>58220</v>
      </c>
      <c r="K5" s="31">
        <v>58057</v>
      </c>
      <c r="L5" s="31">
        <v>58011</v>
      </c>
      <c r="M5" s="31">
        <v>58149</v>
      </c>
      <c r="N5" s="32">
        <f t="shared" si="0"/>
        <v>705748</v>
      </c>
      <c r="O5" s="33">
        <f t="shared" si="1"/>
        <v>1.109272909666531E-2</v>
      </c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</row>
    <row r="6" spans="1:28" ht="13.5" thickBot="1" x14ac:dyDescent="0.25">
      <c r="A6" s="36" t="s">
        <v>75</v>
      </c>
      <c r="B6" s="37">
        <v>81537</v>
      </c>
      <c r="C6" s="37">
        <v>81274</v>
      </c>
      <c r="D6" s="37">
        <v>80928</v>
      </c>
      <c r="E6" s="37">
        <v>80418</v>
      </c>
      <c r="F6" s="37">
        <v>80362</v>
      </c>
      <c r="G6" s="37">
        <v>79834</v>
      </c>
      <c r="H6" s="37">
        <v>79583</v>
      </c>
      <c r="I6" s="37">
        <v>79414</v>
      </c>
      <c r="J6" s="37">
        <v>79268</v>
      </c>
      <c r="K6" s="37">
        <v>79309</v>
      </c>
      <c r="L6" s="37">
        <v>78896</v>
      </c>
      <c r="M6" s="37">
        <v>79131</v>
      </c>
      <c r="N6" s="38">
        <f t="shared" si="0"/>
        <v>959954</v>
      </c>
      <c r="O6" s="39">
        <f t="shared" si="1"/>
        <v>1.5088260494199417E-2</v>
      </c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</row>
    <row r="7" spans="1:28" ht="13.5" thickBot="1" x14ac:dyDescent="0.25">
      <c r="A7" s="30" t="s">
        <v>76</v>
      </c>
      <c r="B7" s="40">
        <v>419337</v>
      </c>
      <c r="C7" s="40">
        <v>418039</v>
      </c>
      <c r="D7" s="40">
        <v>416373</v>
      </c>
      <c r="E7" s="40">
        <v>414954</v>
      </c>
      <c r="F7" s="40">
        <v>414058</v>
      </c>
      <c r="G7" s="40">
        <v>411297</v>
      </c>
      <c r="H7" s="40">
        <v>409497</v>
      </c>
      <c r="I7" s="40">
        <v>407744</v>
      </c>
      <c r="J7" s="40">
        <v>406438</v>
      </c>
      <c r="K7" s="40">
        <v>405657</v>
      </c>
      <c r="L7" s="40">
        <v>403645</v>
      </c>
      <c r="M7" s="40">
        <v>402001</v>
      </c>
      <c r="N7" s="32">
        <f t="shared" si="0"/>
        <v>4929040</v>
      </c>
      <c r="O7" s="33">
        <f t="shared" si="1"/>
        <v>7.7473128406495201E-2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</row>
    <row r="8" spans="1:28" ht="13.5" thickBot="1" x14ac:dyDescent="0.25">
      <c r="A8" s="36" t="s">
        <v>77</v>
      </c>
      <c r="B8" s="37">
        <v>111607</v>
      </c>
      <c r="C8" s="37">
        <v>111355</v>
      </c>
      <c r="D8" s="37">
        <v>111374</v>
      </c>
      <c r="E8" s="37">
        <v>111184</v>
      </c>
      <c r="F8" s="37">
        <v>111178</v>
      </c>
      <c r="G8" s="37">
        <v>110259</v>
      </c>
      <c r="H8" s="37">
        <v>109586</v>
      </c>
      <c r="I8" s="37">
        <v>109048</v>
      </c>
      <c r="J8" s="37">
        <v>108751</v>
      </c>
      <c r="K8" s="37">
        <v>108795</v>
      </c>
      <c r="L8" s="37">
        <v>108346</v>
      </c>
      <c r="M8" s="37">
        <v>108725</v>
      </c>
      <c r="N8" s="38">
        <f t="shared" si="0"/>
        <v>1320208</v>
      </c>
      <c r="O8" s="39">
        <f t="shared" si="1"/>
        <v>2.0750621603249763E-2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</row>
    <row r="9" spans="1:28" ht="13.5" thickBot="1" x14ac:dyDescent="0.25">
      <c r="A9" s="30" t="s">
        <v>78</v>
      </c>
      <c r="B9" s="31">
        <v>271383</v>
      </c>
      <c r="C9" s="31">
        <v>270532</v>
      </c>
      <c r="D9" s="31">
        <v>270316</v>
      </c>
      <c r="E9" s="31">
        <v>269745</v>
      </c>
      <c r="F9" s="31">
        <v>269958</v>
      </c>
      <c r="G9" s="31">
        <v>267816</v>
      </c>
      <c r="H9" s="31">
        <v>266584</v>
      </c>
      <c r="I9" s="31">
        <v>265397</v>
      </c>
      <c r="J9" s="31">
        <v>265227</v>
      </c>
      <c r="K9" s="31">
        <v>265030</v>
      </c>
      <c r="L9" s="31">
        <v>264729</v>
      </c>
      <c r="M9" s="31">
        <v>265039</v>
      </c>
      <c r="N9" s="32">
        <f t="shared" si="0"/>
        <v>3211756</v>
      </c>
      <c r="O9" s="33">
        <f t="shared" si="1"/>
        <v>5.0481388870516654E-2</v>
      </c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28" ht="13.5" thickBot="1" x14ac:dyDescent="0.25">
      <c r="A10" s="36" t="s">
        <v>79</v>
      </c>
      <c r="B10" s="37">
        <v>117766</v>
      </c>
      <c r="C10" s="37">
        <v>117363</v>
      </c>
      <c r="D10" s="37">
        <v>117161</v>
      </c>
      <c r="E10" s="37">
        <v>116882</v>
      </c>
      <c r="F10" s="37">
        <v>116653</v>
      </c>
      <c r="G10" s="37">
        <v>115612</v>
      </c>
      <c r="H10" s="37">
        <v>114781</v>
      </c>
      <c r="I10" s="37">
        <v>114451</v>
      </c>
      <c r="J10" s="37">
        <v>113847</v>
      </c>
      <c r="K10" s="37">
        <v>113013</v>
      </c>
      <c r="L10" s="37">
        <v>112951</v>
      </c>
      <c r="M10" s="37">
        <v>113090</v>
      </c>
      <c r="N10" s="38">
        <f t="shared" si="0"/>
        <v>1383570</v>
      </c>
      <c r="O10" s="39">
        <f t="shared" si="1"/>
        <v>2.1746525950159579E-2</v>
      </c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</row>
    <row r="11" spans="1:28" ht="13.5" thickBot="1" x14ac:dyDescent="0.25">
      <c r="A11" s="30" t="s">
        <v>80</v>
      </c>
      <c r="B11" s="31">
        <v>151013</v>
      </c>
      <c r="C11" s="31">
        <v>149509</v>
      </c>
      <c r="D11" s="31">
        <v>149125</v>
      </c>
      <c r="E11" s="31">
        <v>148172</v>
      </c>
      <c r="F11" s="31">
        <v>147067</v>
      </c>
      <c r="G11" s="31">
        <v>145703</v>
      </c>
      <c r="H11" s="31">
        <v>144408</v>
      </c>
      <c r="I11" s="31">
        <v>144035</v>
      </c>
      <c r="J11" s="31">
        <v>144211</v>
      </c>
      <c r="K11" s="31">
        <v>143442</v>
      </c>
      <c r="L11" s="31">
        <v>143230</v>
      </c>
      <c r="M11" s="31">
        <v>143429</v>
      </c>
      <c r="N11" s="32">
        <f t="shared" si="0"/>
        <v>1753344</v>
      </c>
      <c r="O11" s="33">
        <f t="shared" si="1"/>
        <v>2.7558519478997519E-2</v>
      </c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</row>
    <row r="12" spans="1:28" ht="13.5" thickBot="1" x14ac:dyDescent="0.25">
      <c r="A12" s="36" t="s">
        <v>81</v>
      </c>
      <c r="B12" s="37">
        <v>211591</v>
      </c>
      <c r="C12" s="37">
        <v>211479</v>
      </c>
      <c r="D12" s="37">
        <v>211324</v>
      </c>
      <c r="E12" s="37">
        <v>211058</v>
      </c>
      <c r="F12" s="37">
        <v>211034</v>
      </c>
      <c r="G12" s="37">
        <v>209896</v>
      </c>
      <c r="H12" s="37">
        <v>209770</v>
      </c>
      <c r="I12" s="37">
        <v>208848</v>
      </c>
      <c r="J12" s="37">
        <v>207457</v>
      </c>
      <c r="K12" s="37">
        <v>206578</v>
      </c>
      <c r="L12" s="37">
        <v>206386</v>
      </c>
      <c r="M12" s="37">
        <v>208148</v>
      </c>
      <c r="N12" s="38">
        <f t="shared" si="0"/>
        <v>2513569</v>
      </c>
      <c r="O12" s="39">
        <f t="shared" si="1"/>
        <v>3.9507501236667943E-2</v>
      </c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</row>
    <row r="13" spans="1:28" ht="13.5" thickBot="1" x14ac:dyDescent="0.25">
      <c r="A13" s="30" t="s">
        <v>82</v>
      </c>
      <c r="B13" s="31">
        <v>417440</v>
      </c>
      <c r="C13" s="31">
        <v>414844</v>
      </c>
      <c r="D13" s="31">
        <v>416325</v>
      </c>
      <c r="E13" s="31">
        <v>412420</v>
      </c>
      <c r="F13" s="31">
        <v>413067</v>
      </c>
      <c r="G13" s="31">
        <v>409760</v>
      </c>
      <c r="H13" s="31">
        <v>408132</v>
      </c>
      <c r="I13" s="31">
        <v>405176</v>
      </c>
      <c r="J13" s="31">
        <v>404222</v>
      </c>
      <c r="K13" s="31">
        <v>403872</v>
      </c>
      <c r="L13" s="31">
        <v>402425</v>
      </c>
      <c r="M13" s="31">
        <v>402621</v>
      </c>
      <c r="N13" s="32">
        <f t="shared" si="0"/>
        <v>4910304</v>
      </c>
      <c r="O13" s="33">
        <f t="shared" si="1"/>
        <v>7.7178641745030876E-2</v>
      </c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</row>
    <row r="14" spans="1:28" ht="13.5" thickBot="1" x14ac:dyDescent="0.25">
      <c r="A14" s="36" t="s">
        <v>83</v>
      </c>
      <c r="B14" s="37">
        <v>258362</v>
      </c>
      <c r="C14" s="37">
        <v>257656</v>
      </c>
      <c r="D14" s="37">
        <v>257924</v>
      </c>
      <c r="E14" s="37">
        <v>257460</v>
      </c>
      <c r="F14" s="37">
        <v>257230</v>
      </c>
      <c r="G14" s="37">
        <v>254883</v>
      </c>
      <c r="H14" s="37">
        <v>254175</v>
      </c>
      <c r="I14" s="37">
        <v>254189</v>
      </c>
      <c r="J14" s="37">
        <v>254403</v>
      </c>
      <c r="K14" s="37">
        <v>255610</v>
      </c>
      <c r="L14" s="37">
        <v>254393</v>
      </c>
      <c r="M14" s="37">
        <v>254111</v>
      </c>
      <c r="N14" s="38">
        <f t="shared" si="0"/>
        <v>3070396</v>
      </c>
      <c r="O14" s="39">
        <f t="shared" si="1"/>
        <v>4.8259536048964755E-2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ht="13.5" thickBot="1" x14ac:dyDescent="0.25">
      <c r="A15" s="30" t="s">
        <v>84</v>
      </c>
      <c r="B15" s="31">
        <v>891359</v>
      </c>
      <c r="C15" s="31">
        <v>886976</v>
      </c>
      <c r="D15" s="31">
        <v>886202</v>
      </c>
      <c r="E15" s="31">
        <v>883974</v>
      </c>
      <c r="F15" s="31">
        <v>881993</v>
      </c>
      <c r="G15" s="31">
        <v>876844</v>
      </c>
      <c r="H15" s="31">
        <v>871641</v>
      </c>
      <c r="I15" s="31">
        <v>868756</v>
      </c>
      <c r="J15" s="31">
        <v>866770</v>
      </c>
      <c r="K15" s="31">
        <v>865922</v>
      </c>
      <c r="L15" s="31">
        <v>858513</v>
      </c>
      <c r="M15" s="31">
        <v>857835</v>
      </c>
      <c r="N15" s="32">
        <f t="shared" si="0"/>
        <v>10496785</v>
      </c>
      <c r="O15" s="33">
        <f t="shared" si="1"/>
        <v>0.16498522474160746</v>
      </c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</row>
    <row r="16" spans="1:28" ht="13.5" thickBot="1" x14ac:dyDescent="0.25">
      <c r="A16" s="36" t="s">
        <v>85</v>
      </c>
      <c r="B16" s="37">
        <v>155883</v>
      </c>
      <c r="C16" s="37">
        <v>155474</v>
      </c>
      <c r="D16" s="37">
        <v>155583</v>
      </c>
      <c r="E16" s="37">
        <v>155418</v>
      </c>
      <c r="F16" s="37">
        <v>155587</v>
      </c>
      <c r="G16" s="37">
        <v>154924</v>
      </c>
      <c r="H16" s="37">
        <v>155524</v>
      </c>
      <c r="I16" s="37">
        <v>156645</v>
      </c>
      <c r="J16" s="37">
        <v>157517</v>
      </c>
      <c r="K16" s="37">
        <v>158073</v>
      </c>
      <c r="L16" s="37">
        <v>157208</v>
      </c>
      <c r="M16" s="37">
        <v>157221</v>
      </c>
      <c r="N16" s="38">
        <f t="shared" si="0"/>
        <v>1875057</v>
      </c>
      <c r="O16" s="39">
        <f t="shared" si="1"/>
        <v>2.9471566822443656E-2</v>
      </c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</row>
    <row r="17" spans="1:28" ht="13.5" thickBot="1" x14ac:dyDescent="0.25">
      <c r="A17" s="30" t="s">
        <v>86</v>
      </c>
      <c r="B17" s="31">
        <v>263075</v>
      </c>
      <c r="C17" s="31">
        <v>262616</v>
      </c>
      <c r="D17" s="31">
        <v>262816</v>
      </c>
      <c r="E17" s="31">
        <v>262229</v>
      </c>
      <c r="F17" s="31">
        <v>262926</v>
      </c>
      <c r="G17" s="31">
        <v>262032</v>
      </c>
      <c r="H17" s="31">
        <v>261611</v>
      </c>
      <c r="I17" s="31">
        <v>261387</v>
      </c>
      <c r="J17" s="31">
        <v>261375</v>
      </c>
      <c r="K17" s="31">
        <v>261581</v>
      </c>
      <c r="L17" s="31">
        <v>260634</v>
      </c>
      <c r="M17" s="31">
        <v>260507</v>
      </c>
      <c r="N17" s="32">
        <f t="shared" si="0"/>
        <v>3142789</v>
      </c>
      <c r="O17" s="33">
        <f t="shared" si="1"/>
        <v>4.9397386864687781E-2</v>
      </c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</row>
    <row r="18" spans="1:28" ht="13.5" thickBot="1" x14ac:dyDescent="0.25">
      <c r="A18" s="36" t="s">
        <v>87</v>
      </c>
      <c r="B18" s="37">
        <v>62216</v>
      </c>
      <c r="C18" s="37">
        <v>61922</v>
      </c>
      <c r="D18" s="37">
        <v>61623</v>
      </c>
      <c r="E18" s="37">
        <v>61210</v>
      </c>
      <c r="F18" s="37">
        <v>61223</v>
      </c>
      <c r="G18" s="37">
        <v>60781</v>
      </c>
      <c r="H18" s="37">
        <v>60726</v>
      </c>
      <c r="I18" s="37">
        <v>60767</v>
      </c>
      <c r="J18" s="37">
        <v>61015</v>
      </c>
      <c r="K18" s="37">
        <v>60937</v>
      </c>
      <c r="L18" s="37">
        <v>60701</v>
      </c>
      <c r="M18" s="37">
        <v>60687</v>
      </c>
      <c r="N18" s="38">
        <f t="shared" si="0"/>
        <v>733808</v>
      </c>
      <c r="O18" s="39">
        <f t="shared" si="1"/>
        <v>1.1533767510451006E-2</v>
      </c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</row>
    <row r="19" spans="1:28" ht="13.5" thickBot="1" x14ac:dyDescent="0.25">
      <c r="A19" s="30" t="s">
        <v>88</v>
      </c>
      <c r="B19" s="31">
        <v>820399</v>
      </c>
      <c r="C19" s="31">
        <v>821540</v>
      </c>
      <c r="D19" s="31">
        <v>822913</v>
      </c>
      <c r="E19" s="31">
        <v>823950</v>
      </c>
      <c r="F19" s="31">
        <v>827462</v>
      </c>
      <c r="G19" s="31">
        <v>824262</v>
      </c>
      <c r="H19" s="31">
        <v>823749</v>
      </c>
      <c r="I19" s="31">
        <v>824054</v>
      </c>
      <c r="J19" s="31">
        <v>824054</v>
      </c>
      <c r="K19" s="31">
        <v>828966</v>
      </c>
      <c r="L19" s="31">
        <v>824308</v>
      </c>
      <c r="M19" s="31">
        <v>821875</v>
      </c>
      <c r="N19" s="32">
        <f t="shared" si="0"/>
        <v>9887532</v>
      </c>
      <c r="O19" s="33">
        <f t="shared" si="1"/>
        <v>0.15540917425286269</v>
      </c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</row>
    <row r="20" spans="1:28" ht="13.5" thickBot="1" x14ac:dyDescent="0.25">
      <c r="A20" s="36" t="s">
        <v>89</v>
      </c>
      <c r="B20" s="37">
        <v>483549</v>
      </c>
      <c r="C20" s="37">
        <v>482757</v>
      </c>
      <c r="D20" s="37">
        <v>482840</v>
      </c>
      <c r="E20" s="37">
        <v>481703</v>
      </c>
      <c r="F20" s="37">
        <v>481235</v>
      </c>
      <c r="G20" s="37">
        <v>478587</v>
      </c>
      <c r="H20" s="37">
        <v>478037</v>
      </c>
      <c r="I20" s="37">
        <v>476214</v>
      </c>
      <c r="J20" s="37">
        <v>476919</v>
      </c>
      <c r="K20" s="37">
        <v>476126</v>
      </c>
      <c r="L20" s="37">
        <v>473691</v>
      </c>
      <c r="M20" s="37">
        <v>473691</v>
      </c>
      <c r="N20" s="38">
        <f t="shared" si="0"/>
        <v>5745349</v>
      </c>
      <c r="O20" s="39">
        <f t="shared" si="1"/>
        <v>9.0303621154855476E-2</v>
      </c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23" customFormat="1" ht="13.5" thickBot="1" x14ac:dyDescent="0.25">
      <c r="A21" s="30"/>
      <c r="B2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2">
        <f>SUM(N3:N20)</f>
        <v>63622576</v>
      </c>
      <c r="O21" s="33">
        <f>SUM(O3:O20)</f>
        <v>1</v>
      </c>
      <c r="P21" s="34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</row>
    <row r="22" spans="1:28" ht="15" x14ac:dyDescent="0.25">
      <c r="A22" s="3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23"/>
      <c r="O22" s="23"/>
      <c r="P22" s="34"/>
      <c r="Q22" s="34"/>
      <c r="R22" s="34"/>
      <c r="S22" s="34"/>
      <c r="T22" s="35"/>
      <c r="U22" s="35"/>
      <c r="V22" s="35"/>
      <c r="W22" s="35"/>
      <c r="X22" s="35"/>
      <c r="Y22" s="35"/>
      <c r="Z22" s="35"/>
      <c r="AA22" s="35"/>
      <c r="AB22" s="35"/>
    </row>
    <row r="24" spans="1:28" ht="15" x14ac:dyDescent="0.25">
      <c r="A24" s="4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35"/>
      <c r="T24" s="35"/>
      <c r="U24" s="35"/>
      <c r="V24" s="35"/>
      <c r="W24" s="35"/>
      <c r="X24" s="35"/>
      <c r="Y24" s="35"/>
      <c r="Z24" s="35"/>
      <c r="AA24" s="35"/>
      <c r="AB24" s="35"/>
    </row>
    <row r="26" spans="1:28" ht="15" x14ac:dyDescent="0.25">
      <c r="A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23"/>
      <c r="O26" s="44"/>
      <c r="P26" s="23"/>
      <c r="Q26" s="23"/>
      <c r="R26" s="23"/>
      <c r="S26" s="35"/>
      <c r="T26" s="35"/>
      <c r="U26" s="35"/>
      <c r="V26" s="35"/>
      <c r="W26" s="35"/>
      <c r="X26" s="35"/>
      <c r="Y26" s="35"/>
      <c r="Z26" s="35"/>
      <c r="AA26" s="35"/>
      <c r="AB26" s="35"/>
    </row>
    <row r="28" spans="1:28" ht="15" x14ac:dyDescent="0.25">
      <c r="A28" s="42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23"/>
      <c r="O28" s="23"/>
      <c r="P28" s="23"/>
      <c r="Q28" s="23"/>
      <c r="R28" s="23"/>
      <c r="S28" s="35"/>
      <c r="T28" s="35"/>
      <c r="U28" s="35"/>
      <c r="V28" s="35"/>
      <c r="W28" s="35"/>
      <c r="X28" s="35"/>
      <c r="Y28" s="35"/>
      <c r="Z28" s="35"/>
      <c r="AA28" s="35"/>
      <c r="AB28" s="35"/>
    </row>
    <row r="30" spans="1:28" ht="15" x14ac:dyDescent="0.25">
      <c r="A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23"/>
      <c r="O30" s="23"/>
      <c r="P30" s="23"/>
      <c r="Q30" s="23"/>
      <c r="R30" s="23"/>
      <c r="S30" s="35"/>
      <c r="T30" s="35"/>
      <c r="U30" s="35"/>
      <c r="V30" s="35"/>
      <c r="W30" s="35"/>
      <c r="X30" s="35"/>
      <c r="Y30" s="35"/>
      <c r="Z30" s="35"/>
      <c r="AA30" s="35"/>
      <c r="AB30" s="35"/>
    </row>
    <row r="34" hidden="1" x14ac:dyDescent="0.2"/>
    <row r="35" hidden="1" x14ac:dyDescent="0.2"/>
    <row r="36" hidden="1" x14ac:dyDescent="0.2"/>
    <row r="37" hidden="1" x14ac:dyDescent="0.2"/>
    <row r="38" hidden="1" x14ac:dyDescent="0.2"/>
  </sheetData>
  <printOptions horizontalCentered="1"/>
  <pageMargins left="0.75" right="0.75" top="0.75" bottom="0.05" header="0.17" footer="0.2"/>
  <pageSetup scale="89" fitToWidth="2" orientation="landscape" r:id="rId1"/>
  <headerFooter alignWithMargins="0">
    <oddHeader>&amp;C&amp;F</oddHeader>
  </headerFooter>
  <colBreaks count="1" manualBreakCount="1">
    <brk id="9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D99DB-4CBB-4CAD-BB22-F99FA6A54AC5}">
  <sheetPr>
    <pageSetUpPr fitToPage="1"/>
  </sheetPr>
  <dimension ref="A1:BP42"/>
  <sheetViews>
    <sheetView zoomScaleNormal="100" workbookViewId="0">
      <pane xSplit="2" ySplit="3" topLeftCell="C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125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667369</v>
      </c>
      <c r="C6" s="145">
        <f>SUM(B6:B6)</f>
        <v>667369</v>
      </c>
      <c r="D6" s="142"/>
      <c r="E6" s="145">
        <v>667369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175084</v>
      </c>
      <c r="C10" s="145">
        <f>SUM(B10:B10)</f>
        <v>175084</v>
      </c>
      <c r="D10" s="142"/>
      <c r="E10" s="145">
        <v>175084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88</v>
      </c>
      <c r="C14" s="145">
        <f>SUM(B14:B14)</f>
        <v>88</v>
      </c>
      <c r="D14" s="142"/>
      <c r="E14" s="145">
        <v>88</v>
      </c>
      <c r="F14" s="145">
        <f t="shared" ref="F14:F15" si="2">C14-E14</f>
        <v>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470852</v>
      </c>
      <c r="C17" s="145">
        <f>SUM(B17:B17)</f>
        <v>470852</v>
      </c>
      <c r="D17" s="142"/>
      <c r="E17" s="145">
        <v>470852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738298</v>
      </c>
      <c r="C18" s="145">
        <f>SUM(B18:B18)</f>
        <v>738298</v>
      </c>
      <c r="D18" s="142"/>
      <c r="E18" s="145">
        <v>738298</v>
      </c>
      <c r="F18" s="145">
        <f t="shared" si="3"/>
        <v>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23035</v>
      </c>
      <c r="C20" s="145">
        <f>SUM(B20:B20)</f>
        <v>23035</v>
      </c>
      <c r="D20" s="142"/>
      <c r="E20" s="145">
        <v>23035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99437</v>
      </c>
      <c r="C21" s="145">
        <f>SUM(B21:B21)</f>
        <v>99437</v>
      </c>
      <c r="D21" s="142"/>
      <c r="E21" s="145">
        <v>99437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75552</v>
      </c>
      <c r="C23" s="145">
        <f>SUM(B23:B23)</f>
        <v>75552</v>
      </c>
      <c r="D23" s="142"/>
      <c r="E23" s="145">
        <v>75552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36260</v>
      </c>
      <c r="C26" s="145">
        <f>SUM(B26:B26)</f>
        <v>36260</v>
      </c>
      <c r="D26" s="142"/>
      <c r="E26" s="145">
        <v>36260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408366</v>
      </c>
      <c r="C27" s="145">
        <f>SUM(B27:B27)</f>
        <v>408366</v>
      </c>
      <c r="D27" s="142"/>
      <c r="E27" s="145">
        <v>408366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26466</v>
      </c>
      <c r="C30" s="145">
        <f>SUM(B30:B30)</f>
        <v>26466</v>
      </c>
      <c r="D30" s="142"/>
      <c r="E30" s="145">
        <v>26466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65800</v>
      </c>
      <c r="C32" s="145">
        <f>SUM(B32:B32)</f>
        <v>65800</v>
      </c>
      <c r="D32" s="142"/>
      <c r="E32" s="145">
        <v>65800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15708</v>
      </c>
      <c r="C37" s="145">
        <f t="shared" si="8"/>
        <v>15708</v>
      </c>
      <c r="D37" s="142"/>
      <c r="E37" s="145">
        <v>15708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3556</v>
      </c>
      <c r="C39" s="145">
        <f t="shared" si="8"/>
        <v>3556</v>
      </c>
      <c r="D39" s="142"/>
      <c r="E39" s="145">
        <v>3556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>SUM(B5:B39)</f>
        <v>2852690</v>
      </c>
      <c r="C40" s="157">
        <f t="shared" ref="C40" si="10">SUM(C5:C39)</f>
        <v>2852690</v>
      </c>
      <c r="D40" s="152"/>
      <c r="E40" s="157">
        <f t="shared" ref="E40:F40" si="11">SUM(E5:E39)</f>
        <v>2852690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E0F13-D6AD-4757-B493-FD2F54C83971}">
  <sheetPr>
    <pageSetUpPr fitToPage="1"/>
  </sheetPr>
  <dimension ref="A1:BP42"/>
  <sheetViews>
    <sheetView zoomScaleNormal="100" workbookViewId="0">
      <pane xSplit="2" ySplit="3" topLeftCell="C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89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1115529</v>
      </c>
      <c r="C6" s="145">
        <f>SUM(B6:B6)</f>
        <v>1115529</v>
      </c>
      <c r="D6" s="142"/>
      <c r="E6" s="145">
        <v>1053505</v>
      </c>
      <c r="F6" s="145">
        <f>C6-E6</f>
        <v>62024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336846</v>
      </c>
      <c r="C10" s="145">
        <f>SUM(B10:B10)</f>
        <v>336846</v>
      </c>
      <c r="D10" s="142"/>
      <c r="E10" s="145">
        <v>336846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6958</v>
      </c>
      <c r="C14" s="145">
        <f>SUM(B14:B14)</f>
        <v>6958</v>
      </c>
      <c r="D14" s="142"/>
      <c r="E14" s="145">
        <v>11000</v>
      </c>
      <c r="F14" s="145">
        <f t="shared" ref="F14:F15" si="2">C14-E14</f>
        <v>-4042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905878</v>
      </c>
      <c r="C17" s="145">
        <f>SUM(B17:B17)</f>
        <v>905878</v>
      </c>
      <c r="D17" s="142"/>
      <c r="E17" s="145">
        <v>905878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1272804</v>
      </c>
      <c r="C18" s="145">
        <f>SUM(B18:B18)</f>
        <v>1272804</v>
      </c>
      <c r="D18" s="142"/>
      <c r="E18" s="145">
        <v>1049492</v>
      </c>
      <c r="F18" s="145">
        <f t="shared" si="3"/>
        <v>223312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44319</v>
      </c>
      <c r="C20" s="145">
        <f>SUM(B20:B20)</f>
        <v>44319</v>
      </c>
      <c r="D20" s="142"/>
      <c r="E20" s="145">
        <v>44319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399144</v>
      </c>
      <c r="C21" s="145">
        <f>SUM(B21:B21)</f>
        <v>399144</v>
      </c>
      <c r="D21" s="142"/>
      <c r="E21" s="145">
        <v>399144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145356</v>
      </c>
      <c r="C23" s="145">
        <f>SUM(B23:B23)</f>
        <v>145356</v>
      </c>
      <c r="D23" s="142"/>
      <c r="E23" s="145">
        <v>145356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56672</v>
      </c>
      <c r="C26" s="145">
        <f>SUM(B26:B26)</f>
        <v>56672</v>
      </c>
      <c r="D26" s="142"/>
      <c r="E26" s="145">
        <v>56672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325128</v>
      </c>
      <c r="C27" s="145">
        <f>SUM(B27:B27)</f>
        <v>325128</v>
      </c>
      <c r="D27" s="142"/>
      <c r="E27" s="145">
        <v>325128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50918</v>
      </c>
      <c r="C30" s="145">
        <f>SUM(B30:B30)</f>
        <v>50918</v>
      </c>
      <c r="D30" s="142"/>
      <c r="E30" s="145">
        <v>50918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126592</v>
      </c>
      <c r="C32" s="145">
        <f>SUM(B32:B32)</f>
        <v>126592</v>
      </c>
      <c r="D32" s="142"/>
      <c r="E32" s="145">
        <v>126592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30220</v>
      </c>
      <c r="C37" s="145">
        <f t="shared" si="8"/>
        <v>30220</v>
      </c>
      <c r="D37" s="142"/>
      <c r="E37" s="145">
        <v>30220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6844</v>
      </c>
      <c r="C39" s="145">
        <f t="shared" si="8"/>
        <v>6844</v>
      </c>
      <c r="D39" s="142"/>
      <c r="E39" s="145">
        <v>6844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>SUM(B5:B39)</f>
        <v>4870027</v>
      </c>
      <c r="C40" s="157">
        <f t="shared" ref="C40" si="10">SUM(C5:C39)</f>
        <v>4870027</v>
      </c>
      <c r="D40" s="152"/>
      <c r="E40" s="157">
        <f t="shared" ref="E40:F40" si="11">SUM(E5:E39)</f>
        <v>4588733</v>
      </c>
      <c r="F40" s="157">
        <f t="shared" si="11"/>
        <v>281294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2B084-BEE7-45C6-BAE8-35F1BEC26B34}">
  <sheetPr>
    <pageSetUpPr fitToPage="1"/>
  </sheetPr>
  <dimension ref="A1:BP42"/>
  <sheetViews>
    <sheetView zoomScaleNormal="100" workbookViewId="0">
      <pane xSplit="1" ySplit="3" topLeftCell="B16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84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1503725</v>
      </c>
      <c r="C6" s="145">
        <f>SUM(B6:B6)</f>
        <v>1503725</v>
      </c>
      <c r="D6" s="142"/>
      <c r="E6" s="145">
        <v>1503997</v>
      </c>
      <c r="F6" s="145">
        <f>C6-E6</f>
        <v>-272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109282</v>
      </c>
      <c r="C7" s="145">
        <f>SUM(B7:B7)</f>
        <v>109282</v>
      </c>
      <c r="D7" s="142"/>
      <c r="E7" s="145">
        <v>122280</v>
      </c>
      <c r="F7" s="145">
        <f t="shared" ref="F7:F8" si="0">C7-E7</f>
        <v>-12998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479957</v>
      </c>
      <c r="C10" s="145">
        <f>SUM(B10:B10)</f>
        <v>479957</v>
      </c>
      <c r="D10" s="142"/>
      <c r="E10" s="145">
        <v>479957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12589</v>
      </c>
      <c r="C14" s="145">
        <f>SUM(B14:B14)</f>
        <v>12589</v>
      </c>
      <c r="D14" s="142"/>
      <c r="E14" s="145">
        <v>20000</v>
      </c>
      <c r="F14" s="145">
        <f t="shared" ref="F14:F15" si="2">C14-E14</f>
        <v>-7411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40779</v>
      </c>
      <c r="C15" s="145">
        <f>SUM(B15:B15)</f>
        <v>40779</v>
      </c>
      <c r="D15" s="142"/>
      <c r="E15" s="145">
        <v>44000</v>
      </c>
      <c r="F15" s="145">
        <f t="shared" si="2"/>
        <v>-3221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1290747</v>
      </c>
      <c r="C17" s="145">
        <f>SUM(B17:B17)</f>
        <v>1290747</v>
      </c>
      <c r="D17" s="142"/>
      <c r="E17" s="145">
        <v>1290747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1328947</v>
      </c>
      <c r="C18" s="145">
        <f>SUM(B18:B18)</f>
        <v>1328947</v>
      </c>
      <c r="D18" s="142"/>
      <c r="E18" s="145">
        <v>1328947</v>
      </c>
      <c r="F18" s="145">
        <f t="shared" si="3"/>
        <v>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63150</v>
      </c>
      <c r="C20" s="145">
        <f>SUM(B20:B20)</f>
        <v>63150</v>
      </c>
      <c r="D20" s="142"/>
      <c r="E20" s="145">
        <v>63150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1589856</v>
      </c>
      <c r="C21" s="145">
        <f>SUM(B21:B21)</f>
        <v>1589856</v>
      </c>
      <c r="D21" s="142"/>
      <c r="E21" s="145">
        <v>1589856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207112</v>
      </c>
      <c r="C23" s="145">
        <f>SUM(B23:B23)</f>
        <v>207112</v>
      </c>
      <c r="D23" s="142"/>
      <c r="E23" s="145">
        <v>207112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12336</v>
      </c>
      <c r="F24" s="145">
        <f t="shared" si="5"/>
        <v>-12336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80748</v>
      </c>
      <c r="C26" s="145">
        <f>SUM(B26:B26)</f>
        <v>80748</v>
      </c>
      <c r="D26" s="142"/>
      <c r="E26" s="145">
        <v>80748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8083</v>
      </c>
      <c r="C27" s="145">
        <f>SUM(B27:B27)</f>
        <v>8083</v>
      </c>
      <c r="D27" s="142"/>
      <c r="E27" s="145">
        <v>16056</v>
      </c>
      <c r="F27" s="145">
        <f t="shared" si="6"/>
        <v>-7973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72550</v>
      </c>
      <c r="C30" s="145">
        <f>SUM(B30:B30)</f>
        <v>72550</v>
      </c>
      <c r="D30" s="142"/>
      <c r="E30" s="145">
        <v>72550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180380</v>
      </c>
      <c r="C32" s="145">
        <f>SUM(B32:B32)</f>
        <v>180380</v>
      </c>
      <c r="D32" s="142"/>
      <c r="E32" s="145">
        <v>180380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43060</v>
      </c>
      <c r="C37" s="145">
        <f t="shared" si="8"/>
        <v>43060</v>
      </c>
      <c r="D37" s="142"/>
      <c r="E37" s="145">
        <v>43060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9752</v>
      </c>
      <c r="C39" s="145">
        <f t="shared" si="8"/>
        <v>9752</v>
      </c>
      <c r="D39" s="142"/>
      <c r="E39" s="145">
        <v>9752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>SUM(B5:B39)</f>
        <v>7067536</v>
      </c>
      <c r="C40" s="157">
        <f t="shared" ref="C40" si="10">SUM(C5:C39)</f>
        <v>7067536</v>
      </c>
      <c r="D40" s="152"/>
      <c r="E40" s="157">
        <f t="shared" ref="E40:F40" si="11">SUM(E5:E39)</f>
        <v>7111747</v>
      </c>
      <c r="F40" s="157">
        <f t="shared" si="11"/>
        <v>-44211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EB2E3-7F1C-4CFC-8D8C-F244D0DCCB51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72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544872</v>
      </c>
      <c r="C6" s="145">
        <f>SUM(B6:B6)</f>
        <v>544872</v>
      </c>
      <c r="D6" s="142"/>
      <c r="E6" s="145">
        <v>544872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17431</v>
      </c>
      <c r="C8" s="145">
        <f>SUM(B8:B8)</f>
        <v>17431</v>
      </c>
      <c r="D8" s="142"/>
      <c r="E8" s="145">
        <v>17431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34636</v>
      </c>
      <c r="C10" s="145">
        <f>SUM(B10:B10)</f>
        <v>34636</v>
      </c>
      <c r="D10" s="142"/>
      <c r="E10" s="145">
        <v>34636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56</v>
      </c>
      <c r="C14" s="145">
        <f>SUM(B14:B14)</f>
        <v>56</v>
      </c>
      <c r="D14" s="142"/>
      <c r="E14" s="145">
        <v>6000</v>
      </c>
      <c r="F14" s="145">
        <f t="shared" ref="F14:F15" si="2">C14-E14</f>
        <v>-5944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93147</v>
      </c>
      <c r="C17" s="145">
        <f>SUM(B17:B17)</f>
        <v>93147</v>
      </c>
      <c r="D17" s="142"/>
      <c r="E17" s="145">
        <v>93147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54478</v>
      </c>
      <c r="C18" s="145">
        <f>SUM(B18:B18)</f>
        <v>54478</v>
      </c>
      <c r="D18" s="142"/>
      <c r="E18" s="145">
        <v>102728</v>
      </c>
      <c r="F18" s="145">
        <f t="shared" si="3"/>
        <v>-48250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4556</v>
      </c>
      <c r="C20" s="145">
        <f>SUM(B20:B20)</f>
        <v>4556</v>
      </c>
      <c r="D20" s="142"/>
      <c r="E20" s="145">
        <v>4556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0</v>
      </c>
      <c r="C21" s="145">
        <f>SUM(B21:B21)</f>
        <v>0</v>
      </c>
      <c r="D21" s="142"/>
      <c r="E21" s="145">
        <v>24596</v>
      </c>
      <c r="F21" s="145">
        <f t="shared" si="4"/>
        <v>-24596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14948</v>
      </c>
      <c r="C23" s="145">
        <f>SUM(B23:B23)</f>
        <v>14948</v>
      </c>
      <c r="D23" s="142"/>
      <c r="E23" s="145">
        <v>14948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1476</v>
      </c>
      <c r="F24" s="145">
        <f t="shared" si="5"/>
        <v>-1476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5828</v>
      </c>
      <c r="C26" s="145">
        <f>SUM(B26:B26)</f>
        <v>5828</v>
      </c>
      <c r="D26" s="142"/>
      <c r="E26" s="145">
        <v>5828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249269</v>
      </c>
      <c r="C27" s="145">
        <f>SUM(B27:B27)</f>
        <v>249269</v>
      </c>
      <c r="D27" s="142"/>
      <c r="E27" s="145">
        <v>256756</v>
      </c>
      <c r="F27" s="145">
        <f t="shared" si="6"/>
        <v>-7487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1168</v>
      </c>
      <c r="C29" s="145">
        <f>SUM(B29:B29)</f>
        <v>1168</v>
      </c>
      <c r="D29" s="142"/>
      <c r="E29" s="145">
        <v>1168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5236</v>
      </c>
      <c r="C30" s="145">
        <f>SUM(B30:B30)</f>
        <v>5236</v>
      </c>
      <c r="D30" s="142"/>
      <c r="E30" s="145">
        <v>5236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13016</v>
      </c>
      <c r="C32" s="145">
        <f>SUM(B32:B32)</f>
        <v>13016</v>
      </c>
      <c r="D32" s="142"/>
      <c r="E32" s="145">
        <v>13016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554</v>
      </c>
      <c r="C34" s="145">
        <f t="shared" ref="C34:C39" si="8">SUM(B34:B34)</f>
        <v>554</v>
      </c>
      <c r="D34" s="142"/>
      <c r="E34" s="145">
        <v>554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3108</v>
      </c>
      <c r="C37" s="145">
        <f t="shared" si="8"/>
        <v>3108</v>
      </c>
      <c r="D37" s="142"/>
      <c r="E37" s="145">
        <v>3108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704</v>
      </c>
      <c r="C39" s="145">
        <f t="shared" si="8"/>
        <v>704</v>
      </c>
      <c r="D39" s="142"/>
      <c r="E39" s="145">
        <v>704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>SUM(B5:B39)</f>
        <v>1043007</v>
      </c>
      <c r="C40" s="157">
        <f t="shared" ref="C40" si="10">SUM(C5:C39)</f>
        <v>1043007</v>
      </c>
      <c r="D40" s="152"/>
      <c r="E40" s="157">
        <f t="shared" ref="E40:F40" si="11">SUM(E5:E39)</f>
        <v>1130760</v>
      </c>
      <c r="F40" s="157">
        <f t="shared" si="11"/>
        <v>-87753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C19BF-24AF-4E39-891A-9EC56D1B169B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73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1117861</v>
      </c>
      <c r="C6" s="145">
        <f>SUM(B6:B6)</f>
        <v>1117861</v>
      </c>
      <c r="D6" s="142"/>
      <c r="E6" s="145">
        <v>1117861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417156</v>
      </c>
      <c r="C10" s="145">
        <f>SUM(B10:B10)</f>
        <v>417156</v>
      </c>
      <c r="D10" s="142"/>
      <c r="E10" s="145">
        <v>417156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341</v>
      </c>
      <c r="C14" s="145">
        <f>SUM(B14:B14)</f>
        <v>341</v>
      </c>
      <c r="D14" s="142"/>
      <c r="E14" s="145">
        <v>341</v>
      </c>
      <c r="F14" s="145">
        <f t="shared" ref="F14:F15" si="2">C14-E14</f>
        <v>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1148437</v>
      </c>
      <c r="C17" s="145">
        <f>SUM(B17:B17)</f>
        <v>1148437</v>
      </c>
      <c r="D17" s="142"/>
      <c r="E17" s="145">
        <v>1148437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709954</v>
      </c>
      <c r="C18" s="145">
        <f>SUM(B18:B18)</f>
        <v>709954</v>
      </c>
      <c r="D18" s="142"/>
      <c r="E18" s="145">
        <v>753876</v>
      </c>
      <c r="F18" s="145">
        <f t="shared" si="3"/>
        <v>-43922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54884</v>
      </c>
      <c r="C20" s="145">
        <f>SUM(B20:B20)</f>
        <v>54884</v>
      </c>
      <c r="D20" s="142"/>
      <c r="E20" s="145">
        <v>54884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998074</v>
      </c>
      <c r="C21" s="145">
        <f>SUM(B21:B21)</f>
        <v>998074</v>
      </c>
      <c r="D21" s="142"/>
      <c r="E21" s="145">
        <v>998074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180012</v>
      </c>
      <c r="C23" s="145">
        <f>SUM(B23:B23)</f>
        <v>180012</v>
      </c>
      <c r="D23" s="142"/>
      <c r="E23" s="145">
        <v>180012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57781</v>
      </c>
      <c r="C24" s="145">
        <f>SUM(B24:B24)</f>
        <v>57781</v>
      </c>
      <c r="D24" s="142"/>
      <c r="E24" s="145">
        <v>57781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70184</v>
      </c>
      <c r="C26" s="145">
        <f>SUM(B26:B26)</f>
        <v>70184</v>
      </c>
      <c r="D26" s="142"/>
      <c r="E26" s="145">
        <v>70184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666910</v>
      </c>
      <c r="C27" s="145">
        <f>SUM(B27:B27)</f>
        <v>666910</v>
      </c>
      <c r="D27" s="142"/>
      <c r="E27" s="145">
        <v>622988</v>
      </c>
      <c r="F27" s="145">
        <f t="shared" si="6"/>
        <v>43922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63057</v>
      </c>
      <c r="C30" s="145">
        <f>SUM(B30:B30)</f>
        <v>63057</v>
      </c>
      <c r="D30" s="142"/>
      <c r="E30" s="145">
        <v>63057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156776</v>
      </c>
      <c r="C32" s="145">
        <f>SUM(B32:B32)</f>
        <v>156776</v>
      </c>
      <c r="D32" s="142"/>
      <c r="E32" s="145">
        <v>156776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37428</v>
      </c>
      <c r="C37" s="145">
        <f t="shared" si="8"/>
        <v>37428</v>
      </c>
      <c r="D37" s="142"/>
      <c r="E37" s="145">
        <v>37428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8476</v>
      </c>
      <c r="C39" s="145">
        <f t="shared" si="8"/>
        <v>8476</v>
      </c>
      <c r="D39" s="142"/>
      <c r="E39" s="145">
        <v>8476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5734150</v>
      </c>
      <c r="C40" s="157">
        <f t="shared" si="10"/>
        <v>5734150</v>
      </c>
      <c r="D40" s="152"/>
      <c r="E40" s="157">
        <f t="shared" ref="E40:F40" si="11">SUM(E5:E39)</f>
        <v>5734150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A482-25E2-4DAE-9718-57C496330E03}">
  <sheetPr>
    <tabColor rgb="FFFF0000"/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126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0</v>
      </c>
      <c r="C6" s="145">
        <f>SUM(B6:B6)</f>
        <v>0</v>
      </c>
      <c r="D6" s="142"/>
      <c r="E6" s="145">
        <v>0</v>
      </c>
      <c r="F6" s="145">
        <f>C6-E6</f>
        <v>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2585750</v>
      </c>
      <c r="C8" s="145">
        <f>SUM(B8:B8)</f>
        <v>2585750</v>
      </c>
      <c r="D8" s="142"/>
      <c r="E8" s="145">
        <v>2585750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11070252</v>
      </c>
      <c r="C10" s="145">
        <f>SUM(B10:B10)</f>
        <v>11070252</v>
      </c>
      <c r="D10" s="142"/>
      <c r="E10" s="145">
        <v>11070252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1656429</v>
      </c>
      <c r="C11" s="145">
        <f>SUM(B11:B11)</f>
        <v>1656429</v>
      </c>
      <c r="D11" s="142"/>
      <c r="E11" s="145">
        <v>1656429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0</v>
      </c>
      <c r="C14" s="145">
        <f>SUM(B14:B14)</f>
        <v>0</v>
      </c>
      <c r="D14" s="142"/>
      <c r="E14" s="145">
        <v>0</v>
      </c>
      <c r="F14" s="145">
        <f t="shared" ref="F14:F15" si="2">C14-E14</f>
        <v>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19344542</v>
      </c>
      <c r="C17" s="145">
        <f>SUM(B17:B17)</f>
        <v>19344542</v>
      </c>
      <c r="D17" s="142"/>
      <c r="E17" s="145">
        <v>19344542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0</v>
      </c>
      <c r="C18" s="145">
        <f>SUM(B18:B18)</f>
        <v>0</v>
      </c>
      <c r="D18" s="142"/>
      <c r="E18" s="145">
        <v>0</v>
      </c>
      <c r="F18" s="145">
        <f t="shared" si="3"/>
        <v>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1186005</v>
      </c>
      <c r="C20" s="145">
        <f>SUM(B20:B20)</f>
        <v>1186005</v>
      </c>
      <c r="D20" s="142"/>
      <c r="E20" s="145">
        <v>1186005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0</v>
      </c>
      <c r="C21" s="145">
        <f>SUM(B21:B21)</f>
        <v>0</v>
      </c>
      <c r="D21" s="142"/>
      <c r="E21" s="145">
        <v>0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3557932</v>
      </c>
      <c r="C23" s="145">
        <f>SUM(B23:B23)</f>
        <v>3557932</v>
      </c>
      <c r="D23" s="142"/>
      <c r="E23" s="145">
        <v>3557932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0</v>
      </c>
      <c r="C24" s="145">
        <f>SUM(B24:B24)</f>
        <v>0</v>
      </c>
      <c r="D24" s="142"/>
      <c r="E24" s="145">
        <v>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1321866</v>
      </c>
      <c r="C26" s="145">
        <f>SUM(B26:B26)</f>
        <v>1321866</v>
      </c>
      <c r="D26" s="142"/>
      <c r="E26" s="145">
        <v>1321866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0</v>
      </c>
      <c r="C27" s="145">
        <f>SUM(B27:B27)</f>
        <v>0</v>
      </c>
      <c r="D27" s="142"/>
      <c r="E27" s="145">
        <v>0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97930</v>
      </c>
      <c r="C29" s="145">
        <f>SUM(B29:B29)</f>
        <v>97930</v>
      </c>
      <c r="D29" s="142"/>
      <c r="E29" s="145">
        <v>97930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7708177</v>
      </c>
      <c r="C30" s="145">
        <f>SUM(B30:B30)</f>
        <v>7708177</v>
      </c>
      <c r="D30" s="142"/>
      <c r="E30" s="145">
        <v>7708177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499268</v>
      </c>
      <c r="C31" s="145">
        <f>SUM(B31:B31)</f>
        <v>499268</v>
      </c>
      <c r="D31" s="142"/>
      <c r="E31" s="145">
        <v>499268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2860880</v>
      </c>
      <c r="C32" s="145">
        <f>SUM(B32:B32)</f>
        <v>2860880</v>
      </c>
      <c r="D32" s="142"/>
      <c r="E32" s="145">
        <v>2860880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120071</v>
      </c>
      <c r="C34" s="145">
        <f t="shared" ref="C34:C39" si="8">SUM(B34:B34)</f>
        <v>120071</v>
      </c>
      <c r="D34" s="142"/>
      <c r="E34" s="145">
        <v>120071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170000</v>
      </c>
      <c r="C35" s="145">
        <f t="shared" si="8"/>
        <v>170000</v>
      </c>
      <c r="D35" s="142"/>
      <c r="E35" s="145">
        <v>170000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250008</v>
      </c>
      <c r="C36" s="145">
        <f t="shared" si="8"/>
        <v>250008</v>
      </c>
      <c r="D36" s="142"/>
      <c r="E36" s="145">
        <v>250008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682977</v>
      </c>
      <c r="C37" s="145">
        <f t="shared" si="8"/>
        <v>682977</v>
      </c>
      <c r="D37" s="142"/>
      <c r="E37" s="145">
        <v>682977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154673</v>
      </c>
      <c r="C39" s="145">
        <f t="shared" si="8"/>
        <v>154673</v>
      </c>
      <c r="D39" s="142"/>
      <c r="E39" s="145">
        <v>154673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53266760</v>
      </c>
      <c r="C40" s="157">
        <f t="shared" si="10"/>
        <v>53266760</v>
      </c>
      <c r="D40" s="152"/>
      <c r="E40" s="157">
        <f t="shared" ref="E40:F40" si="11">SUM(E5:E39)</f>
        <v>53266760</v>
      </c>
      <c r="F40" s="157">
        <f t="shared" si="11"/>
        <v>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8ADB4-292F-406C-ACFB-EF8FF4280A3A}">
  <sheetPr>
    <pageSetUpPr fitToPage="1"/>
  </sheetPr>
  <dimension ref="A1:BP42"/>
  <sheetViews>
    <sheetView zoomScaleNormal="100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4.45" customHeight="1" x14ac:dyDescent="0.2"/>
  <cols>
    <col min="1" max="1" width="42.85546875" style="126" customWidth="1"/>
    <col min="2" max="3" width="15.7109375" style="126" customWidth="1"/>
    <col min="4" max="4" width="9.140625" style="126"/>
    <col min="5" max="6" width="15.7109375" style="126" customWidth="1"/>
    <col min="7" max="7" width="9.140625" style="126"/>
    <col min="8" max="9" width="11.7109375" style="126" customWidth="1"/>
    <col min="10" max="10" width="6.28515625" style="126" customWidth="1"/>
    <col min="11" max="11" width="9.28515625" style="126" customWidth="1"/>
    <col min="12" max="24" width="9.140625" style="126"/>
    <col min="25" max="25" width="9.140625" style="132"/>
    <col min="26" max="16384" width="9.140625" style="126"/>
  </cols>
  <sheetData>
    <row r="1" spans="1:68" s="124" customFormat="1" ht="23.25" x14ac:dyDescent="0.35">
      <c r="A1" s="123" t="s">
        <v>135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38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</row>
    <row r="2" spans="1:68" s="124" customFormat="1" ht="14.25" customHeight="1" x14ac:dyDescent="0.35">
      <c r="A2" s="133"/>
      <c r="B2" s="134"/>
      <c r="C2" s="135"/>
      <c r="D2" s="125"/>
      <c r="E2" s="135"/>
      <c r="F2" s="13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38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</row>
    <row r="3" spans="1:68" s="143" customFormat="1" ht="39.950000000000003" customHeight="1" x14ac:dyDescent="0.2">
      <c r="A3" s="140" t="s">
        <v>129</v>
      </c>
      <c r="B3" s="149" t="s">
        <v>88</v>
      </c>
      <c r="C3" s="149" t="s">
        <v>127</v>
      </c>
      <c r="D3" s="142"/>
      <c r="E3" s="149" t="s">
        <v>136</v>
      </c>
      <c r="F3" s="149" t="s">
        <v>128</v>
      </c>
      <c r="H3" s="127"/>
      <c r="I3" s="128"/>
      <c r="Y3" s="142"/>
    </row>
    <row r="4" spans="1:68" s="143" customFormat="1" ht="15" customHeight="1" x14ac:dyDescent="0.2">
      <c r="A4" s="151" t="s">
        <v>130</v>
      </c>
      <c r="B4" s="150"/>
      <c r="C4" s="150"/>
      <c r="D4" s="142"/>
      <c r="E4" s="150"/>
      <c r="F4" s="150"/>
      <c r="Y4" s="142"/>
    </row>
    <row r="5" spans="1:68" s="153" customFormat="1" ht="15" customHeight="1" x14ac:dyDescent="0.2">
      <c r="A5" s="154" t="s">
        <v>12</v>
      </c>
      <c r="B5" s="155"/>
      <c r="C5" s="155"/>
      <c r="D5" s="152"/>
      <c r="E5" s="155"/>
      <c r="F5" s="155"/>
      <c r="Y5" s="152"/>
    </row>
    <row r="6" spans="1:68" s="143" customFormat="1" ht="15" customHeight="1" x14ac:dyDescent="0.2">
      <c r="A6" s="144" t="s">
        <v>14</v>
      </c>
      <c r="B6" s="145">
        <f>SUMIF('SFY 1920'!$B$3:$T$3,$B$3,'SFY 1920'!$B6:$T6)</f>
        <v>1122217</v>
      </c>
      <c r="C6" s="145">
        <f>SUM(B6:B6)</f>
        <v>1122217</v>
      </c>
      <c r="D6" s="142"/>
      <c r="E6" s="145">
        <v>1182217</v>
      </c>
      <c r="F6" s="145">
        <f>C6-E6</f>
        <v>-60000</v>
      </c>
      <c r="H6" s="147"/>
      <c r="I6" s="147"/>
      <c r="J6" s="147"/>
      <c r="K6" s="147"/>
      <c r="L6" s="147"/>
      <c r="M6" s="147"/>
      <c r="N6" s="147"/>
      <c r="Y6" s="142"/>
    </row>
    <row r="7" spans="1:68" s="143" customFormat="1" ht="15" customHeight="1" x14ac:dyDescent="0.2">
      <c r="A7" s="144" t="s">
        <v>13</v>
      </c>
      <c r="B7" s="145">
        <f>SUMIF('SFY 1920'!$B$3:$T$3,$B$3,'SFY 1920'!$B7:$T7)</f>
        <v>0</v>
      </c>
      <c r="C7" s="145">
        <f>SUM(B7:B7)</f>
        <v>0</v>
      </c>
      <c r="D7" s="142"/>
      <c r="E7" s="145">
        <v>0</v>
      </c>
      <c r="F7" s="145">
        <f t="shared" ref="F7:F8" si="0">C7-E7</f>
        <v>0</v>
      </c>
      <c r="H7" s="147"/>
      <c r="I7" s="147"/>
      <c r="J7" s="147"/>
      <c r="K7" s="147"/>
      <c r="L7" s="147"/>
      <c r="M7" s="147"/>
      <c r="N7" s="147"/>
      <c r="Y7" s="142"/>
    </row>
    <row r="8" spans="1:68" s="143" customFormat="1" ht="15" customHeight="1" x14ac:dyDescent="0.2">
      <c r="A8" s="144" t="s">
        <v>15</v>
      </c>
      <c r="B8" s="145">
        <f>SUMIF('SFY 1920'!$B$3:$T$3,$B$3,'SFY 1920'!$B8:$T8)</f>
        <v>42610</v>
      </c>
      <c r="C8" s="145">
        <f>SUM(B8:B8)</f>
        <v>42610</v>
      </c>
      <c r="D8" s="142"/>
      <c r="E8" s="145">
        <v>42610</v>
      </c>
      <c r="F8" s="145">
        <f t="shared" si="0"/>
        <v>0</v>
      </c>
      <c r="H8" s="147"/>
      <c r="I8" s="147"/>
      <c r="J8" s="147"/>
      <c r="K8" s="147"/>
      <c r="L8" s="147"/>
      <c r="M8" s="147"/>
      <c r="N8" s="147"/>
      <c r="Y8" s="142"/>
    </row>
    <row r="9" spans="1:68" s="143" customFormat="1" ht="15" customHeight="1" x14ac:dyDescent="0.2">
      <c r="A9" s="154" t="s">
        <v>16</v>
      </c>
      <c r="B9" s="155"/>
      <c r="C9" s="155"/>
      <c r="D9" s="152"/>
      <c r="E9" s="155"/>
      <c r="F9" s="155"/>
      <c r="H9" s="147"/>
      <c r="I9" s="147"/>
      <c r="J9" s="147"/>
      <c r="K9" s="147"/>
      <c r="L9" s="147"/>
      <c r="M9" s="147"/>
      <c r="N9" s="147"/>
      <c r="Y9" s="142"/>
    </row>
    <row r="10" spans="1:68" s="143" customFormat="1" ht="15" customHeight="1" x14ac:dyDescent="0.2">
      <c r="A10" s="144" t="s">
        <v>17</v>
      </c>
      <c r="B10" s="145">
        <f>SUMIF('SFY 1920'!$B$3:$T$3,$B$3,'SFY 1920'!$B10:$T10)</f>
        <v>609748</v>
      </c>
      <c r="C10" s="145">
        <f>SUM(B10:B10)</f>
        <v>609748</v>
      </c>
      <c r="D10" s="142"/>
      <c r="E10" s="145">
        <v>609748</v>
      </c>
      <c r="F10" s="145">
        <f t="shared" ref="F10:F12" si="1">C10-E10</f>
        <v>0</v>
      </c>
      <c r="H10" s="147"/>
      <c r="I10" s="147"/>
      <c r="J10" s="147"/>
      <c r="K10" s="147"/>
      <c r="L10" s="147"/>
      <c r="M10" s="147"/>
      <c r="N10" s="147"/>
      <c r="Y10" s="142"/>
    </row>
    <row r="11" spans="1:68" s="143" customFormat="1" ht="15" customHeight="1" x14ac:dyDescent="0.2">
      <c r="A11" s="144" t="s">
        <v>0</v>
      </c>
      <c r="B11" s="145">
        <f>SUMIF('SFY 1920'!$B$3:$T$3,$B$3,'SFY 1920'!$B11:$T11)</f>
        <v>0</v>
      </c>
      <c r="C11" s="145">
        <f>SUM(B11:B11)</f>
        <v>0</v>
      </c>
      <c r="D11" s="142"/>
      <c r="E11" s="145">
        <v>0</v>
      </c>
      <c r="F11" s="145">
        <f t="shared" si="1"/>
        <v>0</v>
      </c>
      <c r="H11" s="147"/>
      <c r="I11" s="147"/>
      <c r="J11" s="147"/>
      <c r="K11" s="147"/>
      <c r="L11" s="147"/>
      <c r="M11" s="147"/>
      <c r="N11" s="147"/>
      <c r="Y11" s="142"/>
    </row>
    <row r="12" spans="1:68" s="143" customFormat="1" ht="15" customHeight="1" x14ac:dyDescent="0.2">
      <c r="A12" s="144" t="s">
        <v>21</v>
      </c>
      <c r="B12" s="145">
        <f>SUMIF('SFY 1920'!$B$3:$T$3,$B$3,'SFY 1920'!$B12:$T12)</f>
        <v>0</v>
      </c>
      <c r="C12" s="145">
        <f>SUM(B12:B12)</f>
        <v>0</v>
      </c>
      <c r="D12" s="142"/>
      <c r="E12" s="145">
        <v>0</v>
      </c>
      <c r="F12" s="145">
        <f t="shared" si="1"/>
        <v>0</v>
      </c>
      <c r="H12" s="147"/>
      <c r="I12" s="147"/>
      <c r="J12" s="147"/>
      <c r="K12" s="147"/>
      <c r="L12" s="147"/>
      <c r="M12" s="147"/>
      <c r="N12" s="147"/>
      <c r="Y12" s="142"/>
    </row>
    <row r="13" spans="1:68" s="143" customFormat="1" ht="15" customHeight="1" x14ac:dyDescent="0.2">
      <c r="A13" s="154" t="s">
        <v>1</v>
      </c>
      <c r="B13" s="155"/>
      <c r="C13" s="155"/>
      <c r="D13" s="152"/>
      <c r="E13" s="155"/>
      <c r="F13" s="155"/>
      <c r="H13" s="147"/>
      <c r="I13" s="147"/>
      <c r="J13" s="147"/>
      <c r="K13" s="147"/>
      <c r="L13" s="147"/>
      <c r="M13" s="147"/>
      <c r="N13" s="147"/>
      <c r="Y13" s="142"/>
    </row>
    <row r="14" spans="1:68" s="143" customFormat="1" ht="15" customHeight="1" x14ac:dyDescent="0.2">
      <c r="A14" s="144" t="s">
        <v>14</v>
      </c>
      <c r="B14" s="145">
        <f>SUMIF('SFY 1920'!$B$3:$T$3,$B$3,'SFY 1920'!$B14:$T14)</f>
        <v>0</v>
      </c>
      <c r="C14" s="145">
        <f>SUM(B14:B14)</f>
        <v>0</v>
      </c>
      <c r="D14" s="142"/>
      <c r="E14" s="145">
        <v>0</v>
      </c>
      <c r="F14" s="145">
        <f t="shared" ref="F14:F15" si="2">C14-E14</f>
        <v>0</v>
      </c>
      <c r="H14" s="147"/>
      <c r="I14" s="147"/>
      <c r="J14" s="147"/>
      <c r="K14" s="147"/>
      <c r="L14" s="147"/>
      <c r="M14" s="147"/>
      <c r="N14" s="147"/>
      <c r="Y14" s="142"/>
    </row>
    <row r="15" spans="1:68" s="143" customFormat="1" ht="15" customHeight="1" x14ac:dyDescent="0.2">
      <c r="A15" s="144" t="s">
        <v>13</v>
      </c>
      <c r="B15" s="145">
        <f>SUMIF('SFY 1920'!$B$3:$T$3,$B$3,'SFY 1920'!$B15:$T15)</f>
        <v>0</v>
      </c>
      <c r="C15" s="145">
        <f>SUM(B15:B15)</f>
        <v>0</v>
      </c>
      <c r="D15" s="142"/>
      <c r="E15" s="145">
        <v>0</v>
      </c>
      <c r="F15" s="145">
        <f t="shared" si="2"/>
        <v>0</v>
      </c>
      <c r="H15" s="147"/>
      <c r="I15" s="147"/>
      <c r="J15" s="147"/>
      <c r="K15" s="147"/>
      <c r="L15" s="147"/>
      <c r="M15" s="147"/>
      <c r="N15" s="147"/>
      <c r="Y15" s="142"/>
    </row>
    <row r="16" spans="1:68" s="143" customFormat="1" ht="15" customHeight="1" x14ac:dyDescent="0.2">
      <c r="A16" s="154" t="s">
        <v>2</v>
      </c>
      <c r="B16" s="155"/>
      <c r="C16" s="155"/>
      <c r="D16" s="152"/>
      <c r="E16" s="155"/>
      <c r="F16" s="155"/>
      <c r="H16" s="147"/>
      <c r="I16" s="147"/>
      <c r="J16" s="147"/>
      <c r="K16" s="147"/>
      <c r="L16" s="147"/>
      <c r="M16" s="147"/>
      <c r="N16" s="147"/>
      <c r="Y16" s="142"/>
    </row>
    <row r="17" spans="1:25" s="143" customFormat="1" ht="15" customHeight="1" x14ac:dyDescent="0.2">
      <c r="A17" s="144" t="s">
        <v>25</v>
      </c>
      <c r="B17" s="145">
        <f>SUMIF('SFY 1920'!$B$3:$T$3,$B$3,'SFY 1920'!$B17:$T17)</f>
        <v>1639796</v>
      </c>
      <c r="C17" s="145">
        <f>SUM(B17:B17)</f>
        <v>1639796</v>
      </c>
      <c r="D17" s="142"/>
      <c r="E17" s="145">
        <v>1639796</v>
      </c>
      <c r="F17" s="145">
        <f t="shared" ref="F17:F18" si="3">C17-E17</f>
        <v>0</v>
      </c>
      <c r="H17" s="147"/>
      <c r="I17" s="147"/>
      <c r="J17" s="147"/>
      <c r="K17" s="147"/>
      <c r="L17" s="147"/>
      <c r="M17" s="147"/>
      <c r="N17" s="147"/>
      <c r="Y17" s="142"/>
    </row>
    <row r="18" spans="1:25" s="143" customFormat="1" ht="15" customHeight="1" x14ac:dyDescent="0.2">
      <c r="A18" s="144" t="s">
        <v>20</v>
      </c>
      <c r="B18" s="145">
        <f>SUMIF('SFY 1920'!$B$3:$T$3,$B$3,'SFY 1920'!$B18:$T18)</f>
        <v>1091400</v>
      </c>
      <c r="C18" s="145">
        <f>SUM(B18:B18)</f>
        <v>1091400</v>
      </c>
      <c r="D18" s="142"/>
      <c r="E18" s="145">
        <v>1100000</v>
      </c>
      <c r="F18" s="145">
        <f t="shared" si="3"/>
        <v>-8600</v>
      </c>
      <c r="H18" s="147"/>
      <c r="I18" s="147"/>
      <c r="J18" s="147"/>
      <c r="K18" s="147"/>
      <c r="L18" s="147"/>
      <c r="M18" s="147"/>
      <c r="N18" s="147"/>
      <c r="Y18" s="142"/>
    </row>
    <row r="19" spans="1:25" s="143" customFormat="1" ht="15" customHeight="1" x14ac:dyDescent="0.2">
      <c r="A19" s="154" t="s">
        <v>3</v>
      </c>
      <c r="B19" s="155"/>
      <c r="C19" s="155"/>
      <c r="D19" s="152"/>
      <c r="E19" s="155"/>
      <c r="F19" s="155"/>
      <c r="H19" s="147"/>
      <c r="I19" s="147"/>
      <c r="J19" s="147"/>
      <c r="K19" s="147"/>
      <c r="L19" s="147"/>
      <c r="M19" s="147"/>
      <c r="N19" s="147"/>
      <c r="Y19" s="142"/>
    </row>
    <row r="20" spans="1:25" s="143" customFormat="1" ht="15" customHeight="1" x14ac:dyDescent="0.2">
      <c r="A20" s="144" t="s">
        <v>4</v>
      </c>
      <c r="B20" s="145">
        <f>SUMIF('SFY 1920'!$B$3:$T$3,$B$3,'SFY 1920'!$B20:$T20)</f>
        <v>80227</v>
      </c>
      <c r="C20" s="145">
        <f>SUM(B20:B20)</f>
        <v>80227</v>
      </c>
      <c r="D20" s="142"/>
      <c r="E20" s="145">
        <v>80227</v>
      </c>
      <c r="F20" s="145">
        <f t="shared" ref="F20:F21" si="4">C20-E20</f>
        <v>0</v>
      </c>
      <c r="H20" s="147"/>
      <c r="I20" s="147"/>
      <c r="J20" s="147"/>
      <c r="K20" s="147"/>
      <c r="L20" s="147"/>
      <c r="M20" s="147"/>
      <c r="N20" s="147"/>
      <c r="Y20" s="142"/>
    </row>
    <row r="21" spans="1:25" s="143" customFormat="1" ht="15" customHeight="1" x14ac:dyDescent="0.2">
      <c r="A21" s="144" t="s">
        <v>5</v>
      </c>
      <c r="B21" s="145">
        <f>SUMIF('SFY 1920'!$B$3:$T$3,$B$3,'SFY 1920'!$B21:$T21)</f>
        <v>571164</v>
      </c>
      <c r="C21" s="145">
        <f>SUM(B21:B21)</f>
        <v>571164</v>
      </c>
      <c r="D21" s="142"/>
      <c r="E21" s="145">
        <v>571164</v>
      </c>
      <c r="F21" s="145">
        <f t="shared" si="4"/>
        <v>0</v>
      </c>
      <c r="H21" s="147"/>
      <c r="I21" s="147"/>
      <c r="J21" s="147"/>
      <c r="K21" s="147"/>
      <c r="L21" s="147"/>
      <c r="M21" s="147"/>
      <c r="N21" s="147"/>
      <c r="Y21" s="142"/>
    </row>
    <row r="22" spans="1:25" s="143" customFormat="1" ht="15" customHeight="1" x14ac:dyDescent="0.2">
      <c r="A22" s="154" t="s">
        <v>6</v>
      </c>
      <c r="B22" s="155"/>
      <c r="C22" s="155"/>
      <c r="D22" s="152"/>
      <c r="E22" s="155"/>
      <c r="F22" s="155"/>
      <c r="H22" s="147"/>
      <c r="I22" s="147"/>
      <c r="J22" s="147"/>
      <c r="K22" s="147"/>
      <c r="L22" s="147"/>
      <c r="M22" s="147"/>
      <c r="N22" s="147"/>
      <c r="Y22" s="142"/>
    </row>
    <row r="23" spans="1:25" s="143" customFormat="1" ht="15" customHeight="1" x14ac:dyDescent="0.2">
      <c r="A23" s="144" t="s">
        <v>4</v>
      </c>
      <c r="B23" s="145">
        <f>SUMIF('SFY 1920'!$B$3:$T$3,$B$3,'SFY 1920'!$B23:$T23)</f>
        <v>263116</v>
      </c>
      <c r="C23" s="145">
        <f>SUM(B23:B23)</f>
        <v>263116</v>
      </c>
      <c r="D23" s="142"/>
      <c r="E23" s="145">
        <v>263116</v>
      </c>
      <c r="F23" s="145">
        <f t="shared" ref="F23:F24" si="5">C23-E23</f>
        <v>0</v>
      </c>
      <c r="H23" s="147"/>
      <c r="I23" s="147"/>
      <c r="J23" s="147"/>
      <c r="K23" s="147"/>
      <c r="L23" s="147"/>
      <c r="M23" s="147"/>
      <c r="N23" s="147"/>
      <c r="Y23" s="142"/>
    </row>
    <row r="24" spans="1:25" s="143" customFormat="1" ht="15" customHeight="1" x14ac:dyDescent="0.2">
      <c r="A24" s="144" t="s">
        <v>5</v>
      </c>
      <c r="B24" s="145">
        <f>SUMIF('SFY 1920'!$B$3:$T$3,$B$3,'SFY 1920'!$B24:$T24)</f>
        <v>6200</v>
      </c>
      <c r="C24" s="145">
        <f>SUM(B24:B24)</f>
        <v>6200</v>
      </c>
      <c r="D24" s="142"/>
      <c r="E24" s="145">
        <v>6200</v>
      </c>
      <c r="F24" s="145">
        <f t="shared" si="5"/>
        <v>0</v>
      </c>
      <c r="H24" s="147"/>
      <c r="I24" s="147"/>
      <c r="J24" s="147"/>
      <c r="K24" s="147"/>
      <c r="L24" s="147"/>
      <c r="M24" s="147"/>
      <c r="N24" s="147"/>
      <c r="Y24" s="142"/>
    </row>
    <row r="25" spans="1:25" s="143" customFormat="1" ht="15" customHeight="1" x14ac:dyDescent="0.2">
      <c r="A25" s="154" t="s">
        <v>7</v>
      </c>
      <c r="B25" s="155"/>
      <c r="C25" s="155"/>
      <c r="D25" s="152"/>
      <c r="E25" s="155"/>
      <c r="F25" s="155"/>
      <c r="H25" s="147"/>
      <c r="I25" s="147"/>
      <c r="J25" s="147"/>
      <c r="K25" s="147"/>
      <c r="L25" s="147"/>
      <c r="M25" s="147"/>
      <c r="N25" s="147"/>
      <c r="Y25" s="142"/>
    </row>
    <row r="26" spans="1:25" s="143" customFormat="1" ht="15" customHeight="1" x14ac:dyDescent="0.2">
      <c r="A26" s="144" t="s">
        <v>8</v>
      </c>
      <c r="B26" s="145">
        <f>SUMIF('SFY 1920'!$B$3:$T$3,$B$3,'SFY 1920'!$B26:$T26)</f>
        <v>102588</v>
      </c>
      <c r="C26" s="145">
        <f>SUM(B26:B26)</f>
        <v>102588</v>
      </c>
      <c r="D26" s="142"/>
      <c r="E26" s="145">
        <v>102588</v>
      </c>
      <c r="F26" s="145">
        <f t="shared" ref="F26:F27" si="6">C26-E26</f>
        <v>0</v>
      </c>
      <c r="H26" s="147"/>
      <c r="I26" s="147"/>
      <c r="J26" s="147"/>
      <c r="K26" s="147"/>
      <c r="L26" s="147"/>
      <c r="M26" s="147"/>
      <c r="N26" s="147"/>
      <c r="Y26" s="142"/>
    </row>
    <row r="27" spans="1:25" s="143" customFormat="1" ht="15" customHeight="1" x14ac:dyDescent="0.2">
      <c r="A27" s="144" t="s">
        <v>18</v>
      </c>
      <c r="B27" s="145">
        <f>SUMIF('SFY 1920'!$B$3:$T$3,$B$3,'SFY 1920'!$B27:$T27)</f>
        <v>732834</v>
      </c>
      <c r="C27" s="145">
        <f>SUM(B27:B27)</f>
        <v>732834</v>
      </c>
      <c r="D27" s="142"/>
      <c r="E27" s="145">
        <v>732834</v>
      </c>
      <c r="F27" s="145">
        <f t="shared" si="6"/>
        <v>0</v>
      </c>
      <c r="H27" s="147"/>
      <c r="I27" s="147"/>
      <c r="J27" s="147"/>
      <c r="K27" s="147"/>
      <c r="L27" s="147"/>
      <c r="M27" s="147"/>
      <c r="N27" s="147"/>
      <c r="Y27" s="142"/>
    </row>
    <row r="28" spans="1:25" s="143" customFormat="1" ht="15" customHeight="1" x14ac:dyDescent="0.2">
      <c r="A28" s="154" t="s">
        <v>23</v>
      </c>
      <c r="B28" s="155"/>
      <c r="C28" s="155"/>
      <c r="D28" s="152"/>
      <c r="E28" s="155"/>
      <c r="F28" s="155"/>
      <c r="H28" s="147"/>
      <c r="I28" s="147"/>
      <c r="J28" s="147"/>
      <c r="K28" s="147"/>
      <c r="L28" s="147"/>
      <c r="M28" s="147"/>
      <c r="N28" s="147"/>
      <c r="Y28" s="142"/>
    </row>
    <row r="29" spans="1:25" s="143" customFormat="1" ht="15" customHeight="1" x14ac:dyDescent="0.2">
      <c r="A29" s="144" t="s">
        <v>12</v>
      </c>
      <c r="B29" s="145">
        <f>SUMIF('SFY 1920'!$B$3:$T$3,$B$3,'SFY 1920'!$B29:$T29)</f>
        <v>2856</v>
      </c>
      <c r="C29" s="145">
        <f>SUM(B29:B29)</f>
        <v>2856</v>
      </c>
      <c r="D29" s="142"/>
      <c r="E29" s="145">
        <v>2856</v>
      </c>
      <c r="F29" s="145">
        <f t="shared" ref="F29:F32" si="7">C29-E29</f>
        <v>0</v>
      </c>
      <c r="H29" s="147"/>
      <c r="I29" s="147"/>
      <c r="J29" s="147"/>
      <c r="K29" s="147"/>
      <c r="L29" s="147"/>
      <c r="M29" s="147"/>
      <c r="N29" s="147"/>
      <c r="Y29" s="142"/>
    </row>
    <row r="30" spans="1:25" s="143" customFormat="1" ht="15" customHeight="1" x14ac:dyDescent="0.2">
      <c r="A30" s="144" t="s">
        <v>17</v>
      </c>
      <c r="B30" s="145">
        <f>SUMIF('SFY 1920'!$B$3:$T$3,$B$3,'SFY 1920'!$B30:$T30)</f>
        <v>92169</v>
      </c>
      <c r="C30" s="145">
        <f>SUM(B30:B30)</f>
        <v>92169</v>
      </c>
      <c r="D30" s="142"/>
      <c r="E30" s="145">
        <v>92169</v>
      </c>
      <c r="F30" s="145">
        <f t="shared" si="7"/>
        <v>0</v>
      </c>
      <c r="H30" s="147"/>
      <c r="I30" s="147"/>
      <c r="J30" s="147"/>
      <c r="K30" s="147"/>
      <c r="L30" s="147"/>
      <c r="M30" s="147"/>
      <c r="N30" s="147"/>
      <c r="Y30" s="142"/>
    </row>
    <row r="31" spans="1:25" s="143" customFormat="1" ht="15" customHeight="1" x14ac:dyDescent="0.2">
      <c r="A31" s="144" t="s">
        <v>0</v>
      </c>
      <c r="B31" s="145">
        <f>SUMIF('SFY 1920'!$B$3:$T$3,$B$3,'SFY 1920'!$B31:$T31)</f>
        <v>0</v>
      </c>
      <c r="C31" s="145">
        <f>SUM(B31:B31)</f>
        <v>0</v>
      </c>
      <c r="D31" s="142"/>
      <c r="E31" s="145">
        <v>0</v>
      </c>
      <c r="F31" s="145">
        <f t="shared" si="7"/>
        <v>0</v>
      </c>
      <c r="H31" s="147"/>
      <c r="I31" s="147"/>
      <c r="J31" s="147"/>
      <c r="K31" s="147"/>
      <c r="L31" s="147"/>
      <c r="M31" s="147"/>
      <c r="N31" s="147"/>
      <c r="Y31" s="142"/>
    </row>
    <row r="32" spans="1:25" s="143" customFormat="1" ht="15" customHeight="1" x14ac:dyDescent="0.2">
      <c r="A32" s="144" t="s">
        <v>25</v>
      </c>
      <c r="B32" s="145">
        <f>SUMIF('SFY 1920'!$B$3:$T$3,$B$3,'SFY 1920'!$B32:$T32)</f>
        <v>229156</v>
      </c>
      <c r="C32" s="145">
        <f>SUM(B32:B32)</f>
        <v>229156</v>
      </c>
      <c r="D32" s="142"/>
      <c r="E32" s="145">
        <v>229156</v>
      </c>
      <c r="F32" s="145">
        <f t="shared" si="7"/>
        <v>0</v>
      </c>
      <c r="H32" s="147"/>
      <c r="I32" s="147"/>
      <c r="J32" s="147"/>
      <c r="K32" s="147"/>
      <c r="L32" s="147"/>
      <c r="M32" s="147"/>
      <c r="N32" s="147"/>
      <c r="Y32" s="142"/>
    </row>
    <row r="33" spans="1:25" s="143" customFormat="1" ht="15" customHeight="1" x14ac:dyDescent="0.2">
      <c r="A33" s="154" t="s">
        <v>24</v>
      </c>
      <c r="B33" s="155"/>
      <c r="C33" s="155"/>
      <c r="D33" s="152"/>
      <c r="E33" s="155"/>
      <c r="F33" s="155"/>
      <c r="H33" s="148"/>
      <c r="I33" s="147"/>
      <c r="J33" s="147"/>
      <c r="K33" s="147"/>
      <c r="L33" s="147"/>
      <c r="M33" s="147"/>
      <c r="N33" s="147"/>
      <c r="Y33" s="142"/>
    </row>
    <row r="34" spans="1:25" s="143" customFormat="1" ht="15" customHeight="1" x14ac:dyDescent="0.2">
      <c r="A34" s="144" t="s">
        <v>12</v>
      </c>
      <c r="B34" s="145">
        <f>SUMIF('SFY 1920'!$B$3:$T$3,$B$3,'SFY 1920'!$B34:$T34)</f>
        <v>1353</v>
      </c>
      <c r="C34" s="145">
        <f t="shared" ref="C34:C39" si="8">SUM(B34:B34)</f>
        <v>1353</v>
      </c>
      <c r="D34" s="142"/>
      <c r="E34" s="145">
        <v>1353</v>
      </c>
      <c r="F34" s="145">
        <f t="shared" ref="F34:F39" si="9">C34-E34</f>
        <v>0</v>
      </c>
      <c r="H34" s="147"/>
      <c r="I34" s="147"/>
      <c r="J34" s="147"/>
      <c r="K34" s="147"/>
      <c r="L34" s="147"/>
      <c r="M34" s="147"/>
      <c r="N34" s="147"/>
      <c r="Y34" s="142"/>
    </row>
    <row r="35" spans="1:25" s="143" customFormat="1" ht="15" customHeight="1" x14ac:dyDescent="0.2">
      <c r="A35" s="144" t="s">
        <v>0</v>
      </c>
      <c r="B35" s="145">
        <f>SUMIF('SFY 1920'!$B$3:$T$3,$B$3,'SFY 1920'!$B35:$T35)</f>
        <v>0</v>
      </c>
      <c r="C35" s="145">
        <f t="shared" si="8"/>
        <v>0</v>
      </c>
      <c r="D35" s="142"/>
      <c r="E35" s="145">
        <v>0</v>
      </c>
      <c r="F35" s="145">
        <f t="shared" si="9"/>
        <v>0</v>
      </c>
      <c r="H35" s="147"/>
      <c r="I35" s="147"/>
      <c r="J35" s="147"/>
      <c r="K35" s="147"/>
      <c r="L35" s="147"/>
      <c r="M35" s="147"/>
      <c r="N35" s="147"/>
      <c r="Y35" s="142"/>
    </row>
    <row r="36" spans="1:25" s="143" customFormat="1" ht="15" customHeight="1" x14ac:dyDescent="0.2">
      <c r="A36" s="144" t="s">
        <v>17</v>
      </c>
      <c r="B36" s="145">
        <f>SUMIF('SFY 1920'!$B$3:$T$3,$B$3,'SFY 1920'!$B36:$T36)</f>
        <v>0</v>
      </c>
      <c r="C36" s="145">
        <f t="shared" si="8"/>
        <v>0</v>
      </c>
      <c r="D36" s="142"/>
      <c r="E36" s="145">
        <v>0</v>
      </c>
      <c r="F36" s="145">
        <f t="shared" si="9"/>
        <v>0</v>
      </c>
      <c r="H36" s="147"/>
      <c r="I36" s="147"/>
      <c r="J36" s="147"/>
      <c r="K36" s="147"/>
      <c r="L36" s="147"/>
      <c r="M36" s="147"/>
      <c r="N36" s="147"/>
      <c r="Y36" s="142"/>
    </row>
    <row r="37" spans="1:25" s="143" customFormat="1" ht="15" customHeight="1" x14ac:dyDescent="0.2">
      <c r="A37" s="144" t="s">
        <v>2</v>
      </c>
      <c r="B37" s="145">
        <f>SUMIF('SFY 1920'!$B$3:$T$3,$B$3,'SFY 1920'!$B37:$T37)</f>
        <v>54708</v>
      </c>
      <c r="C37" s="145">
        <f t="shared" si="8"/>
        <v>54708</v>
      </c>
      <c r="D37" s="142"/>
      <c r="E37" s="145">
        <v>54708</v>
      </c>
      <c r="F37" s="145">
        <f t="shared" si="9"/>
        <v>0</v>
      </c>
      <c r="H37" s="147"/>
      <c r="I37" s="147"/>
      <c r="J37" s="147"/>
      <c r="K37" s="147"/>
      <c r="L37" s="147"/>
      <c r="M37" s="147"/>
      <c r="N37" s="147"/>
      <c r="Y37" s="142"/>
    </row>
    <row r="38" spans="1:25" s="143" customFormat="1" ht="15" customHeight="1" x14ac:dyDescent="0.2">
      <c r="A38" s="144" t="s">
        <v>6</v>
      </c>
      <c r="B38" s="145">
        <f>SUMIF('SFY 1920'!$B$3:$T$3,$B$3,'SFY 1920'!$B38:$T38)</f>
        <v>0</v>
      </c>
      <c r="C38" s="145">
        <f t="shared" si="8"/>
        <v>0</v>
      </c>
      <c r="D38" s="142"/>
      <c r="E38" s="145">
        <v>0</v>
      </c>
      <c r="F38" s="145">
        <f t="shared" si="9"/>
        <v>0</v>
      </c>
      <c r="H38" s="147"/>
      <c r="I38" s="147"/>
      <c r="J38" s="147"/>
      <c r="K38" s="147"/>
      <c r="L38" s="147"/>
      <c r="M38" s="147"/>
      <c r="N38" s="147"/>
      <c r="Y38" s="142"/>
    </row>
    <row r="39" spans="1:25" s="143" customFormat="1" ht="15" customHeight="1" x14ac:dyDescent="0.2">
      <c r="A39" s="144" t="s">
        <v>7</v>
      </c>
      <c r="B39" s="145">
        <f>SUMIF('SFY 1920'!$B$3:$T$3,$B$3,'SFY 1920'!$B39:$T39)</f>
        <v>12392</v>
      </c>
      <c r="C39" s="145">
        <f t="shared" si="8"/>
        <v>12392</v>
      </c>
      <c r="D39" s="142"/>
      <c r="E39" s="145">
        <v>12392</v>
      </c>
      <c r="F39" s="145">
        <f t="shared" si="9"/>
        <v>0</v>
      </c>
      <c r="H39" s="147"/>
      <c r="I39" s="147"/>
      <c r="J39" s="147"/>
      <c r="K39" s="147"/>
      <c r="L39" s="147"/>
      <c r="M39" s="147"/>
      <c r="N39" s="147"/>
      <c r="Y39" s="142"/>
    </row>
    <row r="40" spans="1:25" s="143" customFormat="1" ht="15" customHeight="1" x14ac:dyDescent="0.2">
      <c r="A40" s="154" t="s">
        <v>19</v>
      </c>
      <c r="B40" s="157">
        <f t="shared" ref="B40:C40" si="10">SUM(B5:B39)</f>
        <v>6654534</v>
      </c>
      <c r="C40" s="157">
        <f t="shared" si="10"/>
        <v>6654534</v>
      </c>
      <c r="D40" s="152"/>
      <c r="E40" s="157">
        <f t="shared" ref="E40:F40" si="11">SUM(E5:E39)</f>
        <v>6723134</v>
      </c>
      <c r="F40" s="157">
        <f t="shared" si="11"/>
        <v>-68600</v>
      </c>
      <c r="H40" s="147"/>
      <c r="I40" s="147"/>
      <c r="J40" s="147"/>
      <c r="K40" s="147"/>
      <c r="L40" s="147"/>
      <c r="M40" s="147"/>
      <c r="N40" s="147"/>
      <c r="Y40" s="142"/>
    </row>
    <row r="41" spans="1:25" s="131" customFormat="1" ht="14.45" customHeight="1" x14ac:dyDescent="0.2">
      <c r="A41" s="136"/>
      <c r="B41" s="137"/>
      <c r="C41" s="137"/>
      <c r="E41" s="137"/>
      <c r="F41" s="137"/>
      <c r="H41" s="129"/>
      <c r="Y41" s="139"/>
    </row>
    <row r="42" spans="1:25" s="131" customFormat="1" ht="14.45" customHeight="1" x14ac:dyDescent="0.2">
      <c r="B42" s="129"/>
      <c r="C42" s="129"/>
      <c r="Y42" s="139"/>
    </row>
  </sheetData>
  <printOptions horizontalCentered="1"/>
  <pageMargins left="0.25" right="0.25" top="1" bottom="1" header="0.5" footer="0.5"/>
  <pageSetup paperSize="5" fitToWidth="2" fitToHeight="2" orientation="landscape" r:id="rId1"/>
  <headerFooter alignWithMargins="0">
    <oddHeader>&amp;C&amp;F
&amp;A</oddHeader>
    <oddFooter>&amp;L8/20/2020&amp;RPage &amp;P of &amp;N</oddFooter>
  </headerFooter>
  <rowBreaks count="2" manualBreakCount="2">
    <brk id="86" max="6" man="1"/>
    <brk id="1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25</vt:i4>
      </vt:variant>
    </vt:vector>
  </HeadingPairs>
  <TitlesOfParts>
    <vt:vector size="48" baseType="lpstr">
      <vt:lpstr>SFY 1920</vt:lpstr>
      <vt:lpstr>ALA</vt:lpstr>
      <vt:lpstr>CCC</vt:lpstr>
      <vt:lpstr>FRS</vt:lpstr>
      <vt:lpstr>ORG</vt:lpstr>
      <vt:lpstr>PLA</vt:lpstr>
      <vt:lpstr>SAC</vt:lpstr>
      <vt:lpstr>SBO</vt:lpstr>
      <vt:lpstr>SDG</vt:lpstr>
      <vt:lpstr>SFO</vt:lpstr>
      <vt:lpstr>SLO</vt:lpstr>
      <vt:lpstr>SMT</vt:lpstr>
      <vt:lpstr>SBR</vt:lpstr>
      <vt:lpstr>SCL</vt:lpstr>
      <vt:lpstr>SCZ</vt:lpstr>
      <vt:lpstr>SOL</vt:lpstr>
      <vt:lpstr>SON</vt:lpstr>
      <vt:lpstr>TUL</vt:lpstr>
      <vt:lpstr>VEN</vt:lpstr>
      <vt:lpstr>YOL</vt:lpstr>
      <vt:lpstr>CalWIN M&amp;O CAP</vt:lpstr>
      <vt:lpstr>Sharing Tables</vt:lpstr>
      <vt:lpstr>Case Count Totals</vt:lpstr>
      <vt:lpstr>ALA!Print_Area</vt:lpstr>
      <vt:lpstr>'CalWIN M&amp;O CAP'!Print_Area</vt:lpstr>
      <vt:lpstr>'Case Count Totals'!Print_Area</vt:lpstr>
      <vt:lpstr>CCC!Print_Area</vt:lpstr>
      <vt:lpstr>FRS!Print_Area</vt:lpstr>
      <vt:lpstr>ORG!Print_Area</vt:lpstr>
      <vt:lpstr>PLA!Print_Area</vt:lpstr>
      <vt:lpstr>SAC!Print_Area</vt:lpstr>
      <vt:lpstr>SBO!Print_Area</vt:lpstr>
      <vt:lpstr>SBR!Print_Area</vt:lpstr>
      <vt:lpstr>SCL!Print_Area</vt:lpstr>
      <vt:lpstr>SCZ!Print_Area</vt:lpstr>
      <vt:lpstr>SDG!Print_Area</vt:lpstr>
      <vt:lpstr>SFO!Print_Area</vt:lpstr>
      <vt:lpstr>'SFY 1920'!Print_Area</vt:lpstr>
      <vt:lpstr>'Sharing Tables'!Print_Area</vt:lpstr>
      <vt:lpstr>SLO!Print_Area</vt:lpstr>
      <vt:lpstr>SMT!Print_Area</vt:lpstr>
      <vt:lpstr>SOL!Print_Area</vt:lpstr>
      <vt:lpstr>SON!Print_Area</vt:lpstr>
      <vt:lpstr>TUL!Print_Area</vt:lpstr>
      <vt:lpstr>VEN!Print_Area</vt:lpstr>
      <vt:lpstr>YOL!Print_Area</vt:lpstr>
      <vt:lpstr>'Case Count Totals'!Print_Titles</vt:lpstr>
      <vt:lpstr>'SFY 1920'!Print_Titles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Murphy</dc:creator>
  <cp:lastModifiedBy>Tracy Berhel</cp:lastModifiedBy>
  <cp:lastPrinted>2020-09-01T21:13:28Z</cp:lastPrinted>
  <dcterms:created xsi:type="dcterms:W3CDTF">2004-04-16T17:37:00Z</dcterms:created>
  <dcterms:modified xsi:type="dcterms:W3CDTF">2020-09-08T20:34:20Z</dcterms:modified>
</cp:coreProperties>
</file>