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filterPrivacy="1"/>
  <xr:revisionPtr revIDLastSave="0" documentId="13_ncr:1_{1C7F6F0B-AF7F-4D12-A5F1-93F8F29F8CA3}" xr6:coauthVersionLast="47" xr6:coauthVersionMax="47" xr10:uidLastSave="{00000000-0000-0000-0000-000000000000}"/>
  <bookViews>
    <workbookView xWindow="705" yWindow="630" windowWidth="24375" windowHeight="14460" tabRatio="857" activeTab="3" xr2:uid="{00000000-000D-0000-FFFF-FFFF00000000}"/>
  </bookViews>
  <sheets>
    <sheet name=" Master" sheetId="8" r:id="rId1"/>
    <sheet name="Directions" sheetId="21" state="hidden" r:id="rId2"/>
    <sheet name="Summary Total" sheetId="1" r:id="rId3"/>
    <sheet name="Overall Proposal Scores" sheetId="11" r:id="rId4"/>
    <sheet name="Price Score" sheetId="2" r:id="rId5"/>
    <sheet name="Price Details" sheetId="24" r:id="rId6"/>
    <sheet name="Price Summary" sheetId="22" r:id="rId7"/>
    <sheet name="Price Metrics" sheetId="20" r:id="rId8"/>
    <sheet name="BAFO Variances" sheetId="13" state="hidden" r:id="rId9"/>
    <sheet name="Business Score" sheetId="3" r:id="rId10"/>
    <sheet name="Staff Quals-Exp" sheetId="4" state="hidden" r:id="rId11"/>
    <sheet name="Business Score Before v After " sheetId="27" r:id="rId12"/>
    <sheet name="Staff Quals &amp; Exp Vertical" sheetId="25" r:id="rId13"/>
    <sheet name="Oral Presentations" sheetId="5" r:id="rId14"/>
    <sheet name="Key Staff Interviews" sheetId="7" state="hidden" r:id="rId15"/>
    <sheet name="KSI and Orals Vertical" sheetId="26" r:id="rId16"/>
    <sheet name="Understanding &amp; Approach" sheetId="18" r:id="rId17"/>
    <sheet name="U&amp;A Requirement Detail" sheetId="23" r:id="rId18"/>
    <sheet name="Requirements Summary" sheetId="19" state="hidden" r:id="rId19"/>
  </sheets>
  <externalReferences>
    <externalReference r:id="rId20"/>
    <externalReference r:id="rId21"/>
    <externalReference r:id="rId22"/>
  </externalReferences>
  <definedNames>
    <definedName name="BusinessSub">[1]Lookup!$E$2:$E$51</definedName>
    <definedName name="DR">[2]Lookup!$G$2:$G$56</definedName>
    <definedName name="keystaff">[3]Lookup!$J$2:$J$15</definedName>
    <definedName name="_xlnm.Print_Area" localSheetId="0">' Master'!$A$1:$D$13</definedName>
    <definedName name="_xlnm.Print_Area" localSheetId="9">'Business Score'!$A$1:$J$8</definedName>
    <definedName name="_xlnm.Print_Area" localSheetId="11">'Business Score Before v After '!$A$1:$L$9</definedName>
    <definedName name="_xlnm.Print_Area" localSheetId="15">'KSI and Orals Vertical'!$A$1:$F$17</definedName>
    <definedName name="_xlnm.Print_Area" localSheetId="13">'Oral Presentations'!$A$1:$F$7</definedName>
    <definedName name="_xlnm.Print_Area" localSheetId="3">'Overall Proposal Scores'!$A$1:$K$14</definedName>
    <definedName name="_xlnm.Print_Area" localSheetId="5">'Price Details'!$A$1:$F$23</definedName>
    <definedName name="_xlnm.Print_Area" localSheetId="7">'Price Metrics'!$A$2:$G$8</definedName>
    <definedName name="_xlnm.Print_Area" localSheetId="4">'Price Score'!$A$1:$G$7</definedName>
    <definedName name="_xlnm.Print_Area" localSheetId="6">'Price Summary'!$A$1:$F$7</definedName>
    <definedName name="_xlnm.Print_Area" localSheetId="12">'Staff Quals &amp; Exp Vertical'!$A$1:$F$19</definedName>
    <definedName name="_xlnm.Print_Area" localSheetId="2">'Summary Total'!$A$2:$E$7</definedName>
    <definedName name="_xlnm.Print_Area" localSheetId="17">'U&amp;A Requirement Detail'!$A$1:$W$8</definedName>
    <definedName name="_xlnm.Print_Area" localSheetId="16">'Understanding &amp; Approach'!$A$1:$M$8</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6" i="27" l="1"/>
  <c r="J7" i="27"/>
  <c r="J8" i="27"/>
  <c r="J9" i="27"/>
  <c r="J5" i="27"/>
  <c r="H9" i="27"/>
  <c r="F9" i="27"/>
  <c r="D9" i="27"/>
  <c r="C9" i="27"/>
  <c r="A9" i="27"/>
  <c r="H8" i="27"/>
  <c r="F8" i="27"/>
  <c r="D8" i="27"/>
  <c r="C8" i="27"/>
  <c r="A8" i="27"/>
  <c r="H7" i="27"/>
  <c r="F7" i="27"/>
  <c r="D7" i="27"/>
  <c r="C7" i="27"/>
  <c r="A7" i="27"/>
  <c r="H6" i="27"/>
  <c r="F6" i="27"/>
  <c r="D6" i="27"/>
  <c r="C6" i="27"/>
  <c r="A6" i="27"/>
  <c r="H5" i="27"/>
  <c r="F5" i="27"/>
  <c r="D5" i="27"/>
  <c r="C5" i="27"/>
  <c r="A5" i="27"/>
  <c r="G3" i="27"/>
  <c r="E3" i="27"/>
  <c r="D3" i="27"/>
  <c r="B3" i="27"/>
  <c r="G2" i="27"/>
  <c r="E2" i="27"/>
  <c r="D2" i="27"/>
  <c r="B2" i="27"/>
  <c r="A4" i="23"/>
  <c r="C12" i="26"/>
  <c r="D12" i="26"/>
  <c r="E12" i="26"/>
  <c r="F12" i="26"/>
  <c r="B12" i="26"/>
  <c r="C13" i="25"/>
  <c r="C17" i="25" s="1"/>
  <c r="D13" i="25"/>
  <c r="D17" i="25" s="1"/>
  <c r="E13" i="25"/>
  <c r="E17" i="25" s="1"/>
  <c r="F13" i="25"/>
  <c r="F17" i="25" s="1"/>
  <c r="B13" i="25"/>
  <c r="B17" i="25" s="1"/>
  <c r="T7" i="26"/>
  <c r="I7" i="26" s="1"/>
  <c r="T6" i="26"/>
  <c r="I6" i="26" s="1"/>
  <c r="T5" i="26"/>
  <c r="I5" i="26" s="1"/>
  <c r="T4" i="26"/>
  <c r="I4" i="26" s="1"/>
  <c r="T3" i="26"/>
  <c r="I3" i="26" s="1"/>
  <c r="A10" i="26"/>
  <c r="A9" i="26"/>
  <c r="A8" i="26"/>
  <c r="A7" i="26"/>
  <c r="A6" i="26"/>
  <c r="A5" i="26"/>
  <c r="A4" i="26"/>
  <c r="A3" i="26"/>
  <c r="F1" i="26"/>
  <c r="D14" i="26" s="1"/>
  <c r="A1" i="26"/>
  <c r="T8" i="25"/>
  <c r="I8" i="25" s="1"/>
  <c r="T7" i="25"/>
  <c r="I7" i="25" s="1"/>
  <c r="T6" i="25"/>
  <c r="I6" i="25" s="1"/>
  <c r="T5" i="25"/>
  <c r="I5" i="25" s="1"/>
  <c r="T4" i="25"/>
  <c r="I4" i="25" s="1"/>
  <c r="F1" i="25"/>
  <c r="E19" i="25" s="1"/>
  <c r="A1" i="25"/>
  <c r="J3" i="26" l="1"/>
  <c r="E14" i="26"/>
  <c r="J6" i="26"/>
  <c r="D19" i="25"/>
  <c r="B14" i="26"/>
  <c r="C14" i="26"/>
  <c r="B19" i="25"/>
  <c r="C19" i="25"/>
  <c r="F14" i="26"/>
  <c r="J4" i="25"/>
  <c r="J5" i="26"/>
  <c r="F19" i="25"/>
  <c r="J4" i="26"/>
  <c r="J7" i="26"/>
  <c r="J5" i="25"/>
  <c r="J7" i="25"/>
  <c r="J6" i="25"/>
  <c r="J8" i="25"/>
  <c r="J13" i="27" l="1"/>
  <c r="J12" i="27"/>
  <c r="L9" i="27" s="1"/>
  <c r="H3" i="26"/>
  <c r="H7" i="26"/>
  <c r="H4" i="26"/>
  <c r="H5" i="26"/>
  <c r="H6" i="26"/>
  <c r="L5" i="27" l="1"/>
  <c r="L8" i="27"/>
  <c r="L6" i="27"/>
  <c r="L7" i="27"/>
  <c r="E5" i="22"/>
  <c r="E6" i="22"/>
  <c r="E3" i="22"/>
  <c r="E4" i="22"/>
  <c r="E7" i="22"/>
  <c r="B5" i="2" l="1"/>
  <c r="B6" i="20" l="1"/>
  <c r="C5" i="22"/>
  <c r="F5" i="2"/>
  <c r="G5" i="2"/>
  <c r="B6" i="2"/>
  <c r="C9" i="13" l="1"/>
  <c r="C6" i="22"/>
  <c r="G6" i="2"/>
  <c r="F6" i="2"/>
  <c r="B3" i="2"/>
  <c r="C6" i="13" l="1"/>
  <c r="B4" i="20"/>
  <c r="C3" i="22"/>
  <c r="G3" i="2"/>
  <c r="F3" i="2"/>
  <c r="B4" i="2"/>
  <c r="C4" i="22" l="1"/>
  <c r="F4" i="2"/>
  <c r="G4" i="2"/>
  <c r="C11" i="24"/>
  <c r="C19" i="24" s="1"/>
  <c r="B11" i="24"/>
  <c r="B19" i="24" s="1"/>
  <c r="E11" i="24"/>
  <c r="E19" i="24" s="1"/>
  <c r="D11" i="24"/>
  <c r="D19" i="24" s="1"/>
  <c r="B7" i="2"/>
  <c r="B10" i="2" l="1"/>
  <c r="B11" i="2"/>
  <c r="B8" i="20"/>
  <c r="C7" i="22"/>
  <c r="F7" i="2"/>
  <c r="G7" i="2"/>
  <c r="D15" i="24"/>
  <c r="D5" i="22" s="1"/>
  <c r="F5" i="22" s="1"/>
  <c r="E15" i="24"/>
  <c r="D6" i="22" s="1"/>
  <c r="F6" i="22" s="1"/>
  <c r="B15" i="24"/>
  <c r="D3" i="22" s="1"/>
  <c r="F3" i="22" s="1"/>
  <c r="C15" i="24"/>
  <c r="D4" i="22" s="1"/>
  <c r="F4" i="22" s="1"/>
  <c r="F11" i="24" l="1"/>
  <c r="F19" i="24" l="1"/>
  <c r="F15" i="24"/>
  <c r="D7" i="22" s="1"/>
  <c r="F7" i="22" s="1"/>
  <c r="R6" i="23" l="1"/>
  <c r="R5" i="23"/>
  <c r="R4" i="23"/>
  <c r="R7" i="23"/>
  <c r="R8" i="23"/>
  <c r="V6" i="23"/>
  <c r="V7" i="23"/>
  <c r="V4" i="23"/>
  <c r="V5" i="23"/>
  <c r="V8" i="23"/>
  <c r="M6" i="23"/>
  <c r="M7" i="23"/>
  <c r="M4" i="23"/>
  <c r="M5" i="23"/>
  <c r="M8" i="23"/>
  <c r="I6" i="23"/>
  <c r="I7" i="23"/>
  <c r="I4" i="23"/>
  <c r="I5" i="23"/>
  <c r="I8" i="23"/>
  <c r="E5" i="23"/>
  <c r="W5" i="23" s="1"/>
  <c r="E4" i="23"/>
  <c r="W4" i="23" s="1"/>
  <c r="E7" i="23"/>
  <c r="W7" i="23" s="1"/>
  <c r="E6" i="23"/>
  <c r="W6" i="23" s="1"/>
  <c r="E8" i="23"/>
  <c r="W8" i="23" s="1"/>
  <c r="A6" i="23"/>
  <c r="A7" i="23"/>
  <c r="A5" i="23"/>
  <c r="A8" i="23"/>
  <c r="C8" i="18" l="1"/>
  <c r="B6" i="19"/>
  <c r="C6" i="18"/>
  <c r="B4" i="19"/>
  <c r="C7" i="18"/>
  <c r="B5" i="19"/>
  <c r="C4" i="18"/>
  <c r="B2" i="19"/>
  <c r="C5" i="18"/>
  <c r="B3" i="19"/>
  <c r="E8" i="18"/>
  <c r="C6" i="19"/>
  <c r="E5" i="18"/>
  <c r="C3" i="19"/>
  <c r="E4" i="18"/>
  <c r="C2" i="19"/>
  <c r="E7" i="18"/>
  <c r="C5" i="19"/>
  <c r="E6" i="18"/>
  <c r="C4" i="19"/>
  <c r="G8" i="18"/>
  <c r="D6" i="19"/>
  <c r="G5" i="18"/>
  <c r="D3" i="19"/>
  <c r="G4" i="18"/>
  <c r="D2" i="19"/>
  <c r="G7" i="18"/>
  <c r="D5" i="19"/>
  <c r="G6" i="18"/>
  <c r="D4" i="19"/>
  <c r="K8" i="18"/>
  <c r="F6" i="19"/>
  <c r="K5" i="18"/>
  <c r="F3" i="19"/>
  <c r="K4" i="18"/>
  <c r="F2" i="19"/>
  <c r="K7" i="18"/>
  <c r="F5" i="19"/>
  <c r="K6" i="18"/>
  <c r="F4" i="19"/>
  <c r="I8" i="18"/>
  <c r="E6" i="19"/>
  <c r="I7" i="18"/>
  <c r="E5" i="19"/>
  <c r="I4" i="18"/>
  <c r="E2" i="19"/>
  <c r="I5" i="18"/>
  <c r="E3" i="19"/>
  <c r="I6" i="18"/>
  <c r="E4" i="19"/>
  <c r="C3" i="5"/>
  <c r="B16" i="26" s="1"/>
  <c r="G1" i="11"/>
  <c r="B9" i="20"/>
  <c r="A4" i="2" l="1"/>
  <c r="C2" i="24" s="1"/>
  <c r="A3" i="2"/>
  <c r="B2" i="24" s="1"/>
  <c r="A6" i="2"/>
  <c r="E2" i="24" s="1"/>
  <c r="A5" i="2"/>
  <c r="D2" i="24" s="1"/>
  <c r="A7" i="2"/>
  <c r="F2" i="24" s="1"/>
  <c r="A4" i="1"/>
  <c r="A3" i="1"/>
  <c r="A6" i="1"/>
  <c r="A5" i="1"/>
  <c r="A7" i="1"/>
  <c r="A3" i="19"/>
  <c r="A2" i="19"/>
  <c r="A5" i="19"/>
  <c r="A4" i="19"/>
  <c r="A6" i="19"/>
  <c r="B7" i="20"/>
  <c r="G2" i="7"/>
  <c r="H2" i="7"/>
  <c r="I2" i="7"/>
  <c r="J2" i="7"/>
  <c r="K2" i="7"/>
  <c r="L2" i="7"/>
  <c r="M2" i="7"/>
  <c r="F2" i="7"/>
  <c r="C5" i="5"/>
  <c r="D16" i="26" s="1"/>
  <c r="C6" i="5"/>
  <c r="E16" i="26" s="1"/>
  <c r="C4" i="5"/>
  <c r="C16" i="26" s="1"/>
  <c r="C7" i="5"/>
  <c r="F16" i="26" s="1"/>
  <c r="F2" i="26" l="1"/>
  <c r="H4" i="25"/>
  <c r="A8" i="20"/>
  <c r="C2" i="26"/>
  <c r="H5" i="25"/>
  <c r="E2" i="26"/>
  <c r="H7" i="25"/>
  <c r="B2" i="26"/>
  <c r="H6" i="25"/>
  <c r="A4" i="20"/>
  <c r="A6" i="13"/>
  <c r="D2" i="26"/>
  <c r="H8" i="25"/>
  <c r="A6" i="20"/>
  <c r="C7" i="20"/>
  <c r="G7" i="20" s="1"/>
  <c r="A9" i="20"/>
  <c r="A8" i="5"/>
  <c r="N7" i="7"/>
  <c r="N4" i="7"/>
  <c r="C4" i="7" s="1"/>
  <c r="N3" i="7"/>
  <c r="C3" i="7" s="1"/>
  <c r="N6" i="7"/>
  <c r="C6" i="7" s="1"/>
  <c r="N5" i="7"/>
  <c r="C5" i="7" s="1"/>
  <c r="N3" i="4"/>
  <c r="C3" i="4" s="1"/>
  <c r="N7" i="4"/>
  <c r="C7" i="4" s="1"/>
  <c r="N4" i="4"/>
  <c r="C4" i="4" s="1"/>
  <c r="N5" i="4"/>
  <c r="C5" i="4" s="1"/>
  <c r="N6" i="4"/>
  <c r="C6" i="4" s="1"/>
  <c r="C7" i="7" l="1"/>
  <c r="F8" i="18"/>
  <c r="H8" i="18"/>
  <c r="J8" i="18"/>
  <c r="L8" i="18"/>
  <c r="F5" i="18"/>
  <c r="H5" i="18"/>
  <c r="J5" i="18"/>
  <c r="L5" i="18"/>
  <c r="F4" i="18"/>
  <c r="H4" i="18"/>
  <c r="J4" i="18"/>
  <c r="L4" i="18"/>
  <c r="F7" i="18"/>
  <c r="H7" i="18"/>
  <c r="J7" i="18"/>
  <c r="L7" i="18"/>
  <c r="F6" i="18"/>
  <c r="H6" i="18"/>
  <c r="J6" i="18"/>
  <c r="L6" i="18"/>
  <c r="E3" i="3"/>
  <c r="D3" i="3"/>
  <c r="C3" i="3"/>
  <c r="B3" i="3"/>
  <c r="B4" i="11"/>
  <c r="C4" i="11"/>
  <c r="B5" i="11"/>
  <c r="C5" i="11"/>
  <c r="B6" i="11"/>
  <c r="C6" i="11"/>
  <c r="C3" i="11"/>
  <c r="B3" i="11"/>
  <c r="A4" i="18"/>
  <c r="A3" i="7"/>
  <c r="A3" i="5"/>
  <c r="A3" i="4"/>
  <c r="A4" i="3"/>
  <c r="D6" i="18" l="1"/>
  <c r="M6" i="18" s="1"/>
  <c r="D7" i="18"/>
  <c r="M7" i="18" s="1"/>
  <c r="D4" i="18"/>
  <c r="M4" i="18" s="1"/>
  <c r="D8" i="18"/>
  <c r="D5" i="18"/>
  <c r="M5" i="18" s="1"/>
  <c r="M8" i="18" l="1"/>
  <c r="B8" i="18" s="1"/>
  <c r="E4" i="3"/>
  <c r="K3" i="1" s="1"/>
  <c r="E6" i="3"/>
  <c r="K5" i="1" s="1"/>
  <c r="E7" i="3"/>
  <c r="K6" i="1" s="1"/>
  <c r="E5" i="3"/>
  <c r="K4" i="1" s="1"/>
  <c r="B7" i="18" l="1"/>
  <c r="B6" i="18"/>
  <c r="B5" i="18"/>
  <c r="B4" i="18"/>
  <c r="E8" i="3"/>
  <c r="K7" i="1" l="1"/>
  <c r="M6" i="1" s="1"/>
  <c r="M4" i="1"/>
  <c r="L3" i="1"/>
  <c r="L6" i="1"/>
  <c r="L7" i="1"/>
  <c r="L4" i="1"/>
  <c r="L5" i="1"/>
  <c r="M5" i="1" l="1"/>
  <c r="M3" i="1"/>
  <c r="M7" i="1"/>
  <c r="C8" i="20"/>
  <c r="G8" i="20" s="1"/>
  <c r="B5" i="20"/>
  <c r="C6" i="20" l="1"/>
  <c r="G6" i="20" s="1"/>
  <c r="C5" i="20"/>
  <c r="G5" i="20" s="1"/>
  <c r="K6" i="13"/>
  <c r="G6" i="13"/>
  <c r="E6" i="13"/>
  <c r="D6" i="13"/>
  <c r="C4" i="20" l="1"/>
  <c r="G4" i="20" s="1"/>
  <c r="I1" i="11"/>
  <c r="J1" i="11"/>
  <c r="H1" i="11"/>
  <c r="K1" i="11"/>
  <c r="G6" i="11" l="1"/>
  <c r="C10" i="13"/>
  <c r="C8" i="13" l="1"/>
  <c r="C7" i="13"/>
  <c r="A6" i="18" l="1"/>
  <c r="A7" i="18"/>
  <c r="A7" i="20"/>
  <c r="E13" i="11"/>
  <c r="D11" i="11"/>
  <c r="D2" i="11" l="1"/>
  <c r="K7" i="13" l="1"/>
  <c r="K9" i="13"/>
  <c r="K8" i="13"/>
  <c r="K10" i="13"/>
  <c r="G8" i="13"/>
  <c r="G9" i="13"/>
  <c r="G7" i="13"/>
  <c r="G10" i="13"/>
  <c r="L10" i="13" l="1"/>
  <c r="M10" i="13" s="1"/>
  <c r="H7" i="13"/>
  <c r="I7" i="13" s="1"/>
  <c r="L8" i="13"/>
  <c r="M8" i="13" s="1"/>
  <c r="L6" i="13"/>
  <c r="M6" i="13" s="1"/>
  <c r="H9" i="13"/>
  <c r="I9" i="13" s="1"/>
  <c r="L9" i="13"/>
  <c r="M9" i="13" s="1"/>
  <c r="H10" i="13"/>
  <c r="I10" i="13" s="1"/>
  <c r="H6" i="13"/>
  <c r="I6" i="13" s="1"/>
  <c r="H8" i="13"/>
  <c r="I8" i="13" s="1"/>
  <c r="L7" i="13"/>
  <c r="M7" i="13" s="1"/>
  <c r="D7" i="13"/>
  <c r="E7" i="13"/>
  <c r="D9" i="13"/>
  <c r="E9" i="13"/>
  <c r="D8" i="13"/>
  <c r="E8" i="13"/>
  <c r="E10" i="13"/>
  <c r="D10" i="13"/>
  <c r="E12" i="13" l="1"/>
  <c r="E7" i="11"/>
  <c r="E9" i="11" s="1"/>
  <c r="D14" i="11"/>
  <c r="E14" i="11" l="1"/>
  <c r="A1" i="4" l="1"/>
  <c r="D1" i="4" l="1"/>
  <c r="D1" i="5"/>
  <c r="E2" i="3"/>
  <c r="D2" i="3"/>
  <c r="C2" i="3"/>
  <c r="B2" i="3"/>
  <c r="D1" i="7"/>
  <c r="A1" i="7"/>
  <c r="A1" i="5"/>
  <c r="D9" i="8"/>
  <c r="D13" i="8" s="1"/>
  <c r="D3" i="7" l="1"/>
  <c r="D3" i="5"/>
  <c r="D5" i="4"/>
  <c r="D7" i="4"/>
  <c r="D4" i="4"/>
  <c r="D3" i="4"/>
  <c r="D6" i="4"/>
  <c r="D7" i="2"/>
  <c r="D6" i="2"/>
  <c r="E21" i="24" s="1"/>
  <c r="A5" i="18"/>
  <c r="A5" i="20"/>
  <c r="A7" i="4"/>
  <c r="A8" i="18"/>
  <c r="D7" i="5"/>
  <c r="A6" i="4"/>
  <c r="A9" i="13"/>
  <c r="A7" i="3"/>
  <c r="A4" i="7"/>
  <c r="A5" i="3"/>
  <c r="A7" i="13"/>
  <c r="A4" i="4"/>
  <c r="A7" i="7"/>
  <c r="A10" i="13"/>
  <c r="A8" i="3"/>
  <c r="A5" i="4"/>
  <c r="A6" i="3"/>
  <c r="A8" i="13"/>
  <c r="J6" i="11"/>
  <c r="I6" i="11"/>
  <c r="D5" i="2"/>
  <c r="D21" i="24" s="1"/>
  <c r="D3" i="2"/>
  <c r="B21" i="24" s="1"/>
  <c r="D4" i="2"/>
  <c r="C21" i="24" s="1"/>
  <c r="K6" i="11"/>
  <c r="D4" i="5"/>
  <c r="D5" i="5"/>
  <c r="A5" i="5"/>
  <c r="A7" i="5"/>
  <c r="A6" i="5"/>
  <c r="A4" i="5"/>
  <c r="A6" i="7"/>
  <c r="D4" i="7"/>
  <c r="D6" i="5"/>
  <c r="D7" i="7"/>
  <c r="D6" i="7"/>
  <c r="D5" i="7"/>
  <c r="A5" i="7"/>
  <c r="B6" i="7" l="1"/>
  <c r="B4" i="4"/>
  <c r="B7" i="4"/>
  <c r="B7" i="7"/>
  <c r="E17" i="26"/>
  <c r="B6" i="5"/>
  <c r="F17" i="26"/>
  <c r="B7" i="5"/>
  <c r="B6" i="4"/>
  <c r="B5" i="4"/>
  <c r="B4" i="3"/>
  <c r="B3" i="4"/>
  <c r="B5" i="7"/>
  <c r="B4" i="7"/>
  <c r="D4" i="3"/>
  <c r="O3" i="1" s="1"/>
  <c r="B3" i="7"/>
  <c r="D17" i="26"/>
  <c r="B5" i="5"/>
  <c r="C17" i="26"/>
  <c r="B4" i="5"/>
  <c r="B3" i="5"/>
  <c r="C4" i="3"/>
  <c r="G4" i="11" s="1"/>
  <c r="B17" i="26"/>
  <c r="C7" i="1"/>
  <c r="F21" i="24"/>
  <c r="C5" i="1"/>
  <c r="I12" i="11"/>
  <c r="I13" i="11" s="1"/>
  <c r="C4" i="1"/>
  <c r="H12" i="11"/>
  <c r="H13" i="11" s="1"/>
  <c r="C3" i="1"/>
  <c r="G12" i="11"/>
  <c r="G13" i="11" s="1"/>
  <c r="J12" i="11"/>
  <c r="J13" i="11" s="1"/>
  <c r="C6" i="1"/>
  <c r="D8" i="3"/>
  <c r="O7" i="1" s="1"/>
  <c r="D7" i="3"/>
  <c r="D5" i="3"/>
  <c r="C8" i="3"/>
  <c r="K4" i="11" s="1"/>
  <c r="C7" i="3"/>
  <c r="J4" i="11" s="1"/>
  <c r="C5" i="3"/>
  <c r="H4" i="11" s="1"/>
  <c r="B7" i="3"/>
  <c r="J3" i="11" s="1"/>
  <c r="B5" i="3"/>
  <c r="H3" i="11" s="1"/>
  <c r="B8" i="3"/>
  <c r="K3" i="11" s="1"/>
  <c r="D6" i="3"/>
  <c r="O5" i="1" s="1"/>
  <c r="C6" i="3"/>
  <c r="B6" i="3"/>
  <c r="I3" i="11" s="1"/>
  <c r="G3" i="11"/>
  <c r="K12" i="11"/>
  <c r="K13" i="11" s="1"/>
  <c r="H6" i="11"/>
  <c r="G5" i="11" l="1"/>
  <c r="I4" i="11"/>
  <c r="I5" i="11"/>
  <c r="H5" i="11"/>
  <c r="H7" i="11" s="1"/>
  <c r="O4" i="1"/>
  <c r="J5" i="11"/>
  <c r="J7" i="11" s="1"/>
  <c r="O6" i="1"/>
  <c r="K5" i="11"/>
  <c r="K7" i="11" s="1"/>
  <c r="F8" i="3"/>
  <c r="F6" i="3"/>
  <c r="F7" i="3"/>
  <c r="F4" i="3"/>
  <c r="G7" i="11"/>
  <c r="F5" i="3"/>
  <c r="F12" i="3" l="1"/>
  <c r="F11" i="3"/>
  <c r="P4" i="1"/>
  <c r="P5" i="1"/>
  <c r="P7" i="1"/>
  <c r="P6" i="1"/>
  <c r="P3" i="1"/>
  <c r="I7" i="11"/>
  <c r="H4" i="3" l="1"/>
  <c r="H6" i="3"/>
  <c r="H8" i="3"/>
  <c r="H5" i="3"/>
  <c r="H7" i="3"/>
  <c r="J5" i="3" l="1"/>
  <c r="J8" i="3"/>
  <c r="J6" i="3"/>
  <c r="J7" i="3"/>
  <c r="J4" i="3"/>
  <c r="B3" i="1"/>
  <c r="G9" i="11"/>
  <c r="G14" i="11" s="1"/>
  <c r="K9" i="11"/>
  <c r="K14" i="11" s="1"/>
  <c r="I9" i="11"/>
  <c r="I14" i="11" s="1"/>
  <c r="B5" i="1"/>
  <c r="J9" i="11"/>
  <c r="J14" i="11" s="1"/>
  <c r="B6" i="1"/>
  <c r="B4" i="1"/>
  <c r="B7" i="1"/>
  <c r="H9" i="11"/>
  <c r="H14" i="11" s="1"/>
  <c r="I4" i="1" l="1"/>
  <c r="I6" i="1"/>
  <c r="I7" i="1"/>
  <c r="I5" i="1"/>
  <c r="D3" i="1"/>
  <c r="I3" i="1"/>
  <c r="G4" i="1"/>
  <c r="G7" i="1"/>
  <c r="G5" i="1"/>
  <c r="G6" i="1"/>
  <c r="G3" i="1"/>
  <c r="D5" i="1"/>
  <c r="D4" i="1"/>
  <c r="D6" i="1"/>
  <c r="D7" i="1"/>
  <c r="E6" i="1" l="1"/>
  <c r="E4" i="1"/>
  <c r="E5" i="1"/>
  <c r="E3" i="1"/>
  <c r="E7" i="1"/>
</calcChain>
</file>

<file path=xl/sharedStrings.xml><?xml version="1.0" encoding="utf-8"?>
<sst xmlns="http://schemas.openxmlformats.org/spreadsheetml/2006/main" count="259" uniqueCount="167">
  <si>
    <t>Vendors</t>
  </si>
  <si>
    <t>Proposal Evaluation Weight Distribution</t>
  </si>
  <si>
    <t>Peraton</t>
  </si>
  <si>
    <t>Staff Qualifications and Experience</t>
  </si>
  <si>
    <t>Deloitte</t>
  </si>
  <si>
    <t>Oral Presentations</t>
  </si>
  <si>
    <t>Accenture</t>
  </si>
  <si>
    <t>Key Staff Interviews</t>
  </si>
  <si>
    <t>Kyndryl</t>
  </si>
  <si>
    <t>Understanding and Approach</t>
  </si>
  <si>
    <t>Gainwell</t>
  </si>
  <si>
    <t>Business Proposal Weight</t>
  </si>
  <si>
    <t>Price Proposal Weight</t>
  </si>
  <si>
    <t>Total</t>
  </si>
  <si>
    <t>Worksheet 05A - CalSAWS Infrastructure Proposal Scoring Summary Workbook Master</t>
  </si>
  <si>
    <t>Owner:</t>
  </si>
  <si>
    <t>CalSAWS Procurement Team</t>
  </si>
  <si>
    <t>Source File(s):</t>
  </si>
  <si>
    <t>02A-CalSAWS Infrastructure Price Proposal Workbook - Vendor Template
04A-CalSAWS Infrastructure Business Proposal Scoring Workbook - Vendor Template</t>
  </si>
  <si>
    <t>Target Files(s):</t>
  </si>
  <si>
    <t>Results from this Worksheet will be transferred into the 06-CalSAWS Consolidated Proposal   Scoring Workbook by the CalSAWS Procurement Team.</t>
  </si>
  <si>
    <t>Directions:</t>
  </si>
  <si>
    <t xml:space="preserve">The Procurement Team will complete a single 05A - CalSAWS Infrastructure Proposal Scoring Summary Workbook Master Worksheet for all Infrastructure Business Proposals submitted.
The Price Metrics tab will be populated based upon the results of the 02A source file.
The Staff Quals-Exp, Oral Presentations, Key Staff Interviews, and Understanding &amp; Approach tabs will be populated based upon the results of the 04A source file.
The Infrastructure Procurement Team will populate the BAFO  Variances file upon completion of the BAFO results.   </t>
  </si>
  <si>
    <t>Additional Notes:</t>
  </si>
  <si>
    <t>No Updates or adjustments should be made to the Master, Summary Total, Overall Proposal Scores, Price Score, Business Score, U&amp;A Summary, or Requirements Summary tabs.   These tabs will populate directly from the source tabs respectively through embedded formulas.</t>
  </si>
  <si>
    <t>Business Score: 70%</t>
  </si>
  <si>
    <t>Price Score: 
30%</t>
  </si>
  <si>
    <t>Total Score</t>
  </si>
  <si>
    <t>Rank</t>
  </si>
  <si>
    <t>Bus 
Rank</t>
  </si>
  <si>
    <t>Bus Score Diff</t>
  </si>
  <si>
    <t>U&amp;A Score</t>
  </si>
  <si>
    <t>U&amp;A Rank</t>
  </si>
  <si>
    <t>U&amp;A Score Diff</t>
  </si>
  <si>
    <t>Key Int. Score</t>
  </si>
  <si>
    <t>Key Int. Diff</t>
  </si>
  <si>
    <t>Category/Subcategory</t>
  </si>
  <si>
    <t>Subcategory Weight</t>
  </si>
  <si>
    <t>Overall Weight</t>
  </si>
  <si>
    <t>Total Possible Points</t>
  </si>
  <si>
    <t>Business Proposal</t>
  </si>
  <si>
    <t>Business Proposal Raw Scores</t>
  </si>
  <si>
    <t>Business Proposal Normalized Scores</t>
  </si>
  <si>
    <t>Price Proposal</t>
  </si>
  <si>
    <t>6-Year Base Contract Period (Excluding Deliverables Paid During Transition-In)</t>
  </si>
  <si>
    <t>Price Proposal Scores</t>
  </si>
  <si>
    <t>Business Proposal + Price Proposal Total</t>
  </si>
  <si>
    <t>Price Score</t>
  </si>
  <si>
    <t>Maximum Price Points</t>
  </si>
  <si>
    <t>Vendor</t>
  </si>
  <si>
    <t>6-Year Base Contract Period - Transition-In Deliverables</t>
  </si>
  <si>
    <t>Infrastructure Price Points</t>
  </si>
  <si>
    <t>Average Annual Price</t>
  </si>
  <si>
    <t>Average Monthly Price</t>
  </si>
  <si>
    <t>Lowest Price</t>
  </si>
  <si>
    <t>Highest Price</t>
  </si>
  <si>
    <t>Infrastructure Price Score</t>
  </si>
  <si>
    <t>Weight</t>
  </si>
  <si>
    <t>Infrastructure Price Schedule Line Items</t>
  </si>
  <si>
    <t>Infrastructure Transition-In Deliverables</t>
  </si>
  <si>
    <t>Infrastructure Base Deliverables</t>
  </si>
  <si>
    <t>Infrastructure Hardware Price</t>
  </si>
  <si>
    <t>Infrastructure Software Price</t>
  </si>
  <si>
    <t>Infrastructure Telecom Price</t>
  </si>
  <si>
    <t>Infrastructure Services: February 2025 - January 2031</t>
  </si>
  <si>
    <t>Infrastructure Other Price</t>
  </si>
  <si>
    <t>Infrastructure 6-Month Transition-In + Initial 6-Year Contract Term Price Subtotal</t>
  </si>
  <si>
    <t>Infrastructure Initial 6-Year Contract Term Price Excluding Deliverables Paid During the Transition-In Period Subtotal: Evaluated Price</t>
  </si>
  <si>
    <t>Infrastructure Initial 6-Year Contract Term Price Subtotal</t>
  </si>
  <si>
    <t>Infrastructure Four 1-Year Optional Extensions Price Subtotal</t>
  </si>
  <si>
    <t>Infrastructure Maximum Price Including Four 1-Year Optional Extensions</t>
  </si>
  <si>
    <t>Weighted Price Score</t>
  </si>
  <si>
    <t>Average Hourly Rate</t>
  </si>
  <si>
    <t>Infrastructure Initial 6-Year Contract Term Price Excluding Deliverables Paid During the Transition-In Period Subtotal</t>
  </si>
  <si>
    <t>Infrastructure Price Summary Comparison</t>
  </si>
  <si>
    <t>Base Contract - Deliverables Paid during Transition-In</t>
  </si>
  <si>
    <t>6-Year Base Contract</t>
  </si>
  <si>
    <t>Optional Extension Years   1-4</t>
  </si>
  <si>
    <t>Base Contract Plus Extension Years</t>
  </si>
  <si>
    <t>Infrastructure BAFO 2 Price Comparison to Current IAPDU Budget</t>
  </si>
  <si>
    <t>6-Year Base Period Excluding Transition-In</t>
  </si>
  <si>
    <t>Current IAPDU Annual Budget</t>
  </si>
  <si>
    <t>Variance to IAPDU Budget</t>
  </si>
  <si>
    <t>Variance to Low Price</t>
  </si>
  <si>
    <t>Variance to Selected Vendor Price</t>
  </si>
  <si>
    <t>Initial Infrastructure Base Period Evaluated Price</t>
  </si>
  <si>
    <t>BAFO 2 Infrastructure Base Period Evaluated Price</t>
  </si>
  <si>
    <t>BAFO 2 Price Difference</t>
  </si>
  <si>
    <t>BAFO 2          % Price Difference</t>
  </si>
  <si>
    <t>BAFO 2 Total Variance to Low Price</t>
  </si>
  <si>
    <t>BAFO 2 Total Variance to Low Price %</t>
  </si>
  <si>
    <t>BAFO 2 Variance to Selected Vendor</t>
  </si>
  <si>
    <t>Average BAFO 2 % Reduction</t>
  </si>
  <si>
    <t>BAFO 2 Price Proposals were submitted on Wednesday, November 29, 2023.</t>
  </si>
  <si>
    <t>Business Proposal Score</t>
  </si>
  <si>
    <t>Maximum Business Points</t>
  </si>
  <si>
    <t>Total Raw Business Score</t>
  </si>
  <si>
    <t>Total Normalized Business Score</t>
  </si>
  <si>
    <t>Maximum Raw Score</t>
  </si>
  <si>
    <t>Minimum Raw Score</t>
  </si>
  <si>
    <t>Staff Quals/ Experience Rank</t>
  </si>
  <si>
    <t>Staff Quals/ Experience Points</t>
  </si>
  <si>
    <t>Staff Quals/ Experience Weighted Business Score</t>
  </si>
  <si>
    <t>Infrastructure Project Manager</t>
  </si>
  <si>
    <t>Infrastructure PMO Lead</t>
  </si>
  <si>
    <t>Infrastructure Delivery Integration Manager</t>
  </si>
  <si>
    <t>Infrastructure Transition Manager</t>
  </si>
  <si>
    <t>Infrastructure Operations Manager</t>
  </si>
  <si>
    <t>Infrastructure Security Manager</t>
  </si>
  <si>
    <t>Infrastructure Operations Service Desk Lead</t>
  </si>
  <si>
    <t>Infrastructure AWS Manager</t>
  </si>
  <si>
    <t>Average Key Staff Qualifications Score</t>
  </si>
  <si>
    <t>Average Key Staff Reference Score</t>
  </si>
  <si>
    <t>Key Staff Position</t>
  </si>
  <si>
    <t>Staff Qualifications Average Score</t>
  </si>
  <si>
    <t>Key Staff References Average Score</t>
  </si>
  <si>
    <t>Staff Quals Score = Staff Quals Average * Key Staff References Average Score</t>
  </si>
  <si>
    <t>Staff Qualifications Weighted Score</t>
  </si>
  <si>
    <t xml:space="preserve"> Rank</t>
  </si>
  <si>
    <t xml:space="preserve"> Points</t>
  </si>
  <si>
    <t>Oral Presentations Weighted Business Score</t>
  </si>
  <si>
    <t>Oral Presentation Rating</t>
  </si>
  <si>
    <t>Key Staff Interviews Weighted Net Score</t>
  </si>
  <si>
    <t>Average Key Staff Interviews Rating</t>
  </si>
  <si>
    <t>Key Staff Interviews Rating Justification</t>
  </si>
  <si>
    <t>Oral Presentation Score: Weight 5.0%</t>
  </si>
  <si>
    <t>Oral Presentation Weighted Score</t>
  </si>
  <si>
    <t xml:space="preserve">Weight </t>
  </si>
  <si>
    <t>Understanding and Approach Scores</t>
  </si>
  <si>
    <t>U&amp;A-1</t>
  </si>
  <si>
    <t>U&amp;A-2</t>
  </si>
  <si>
    <t>U&amp;A-3</t>
  </si>
  <si>
    <t>U&amp;A-4</t>
  </si>
  <si>
    <t>U&amp;A-5</t>
  </si>
  <si>
    <t>U&amp;A-1
Business Points</t>
  </si>
  <si>
    <t>U&amp;A-2
Business Points</t>
  </si>
  <si>
    <t>U&amp;A-3
Business Points</t>
  </si>
  <si>
    <t>U&amp;A-4
Business Points</t>
  </si>
  <si>
    <t>U&amp;A-5
Business Points</t>
  </si>
  <si>
    <t>Total Business Points</t>
  </si>
  <si>
    <t>U&amp;A Requirements Detail</t>
  </si>
  <si>
    <t>U&amp;A-1: Multi-Contractor Environment</t>
  </si>
  <si>
    <t>U&amp;A 2: System Performance</t>
  </si>
  <si>
    <t>U&amp;A 3: Hardware Software Management</t>
  </si>
  <si>
    <t>U&amp;A 4: Service Desk Management</t>
  </si>
  <si>
    <t>U&amp;A 5: Approach to Transition-In</t>
  </si>
  <si>
    <t>I-UA1</t>
  </si>
  <si>
    <t>I-UA2</t>
  </si>
  <si>
    <t>I-UA3</t>
  </si>
  <si>
    <t>I-UA4</t>
  </si>
  <si>
    <t>I-UA5</t>
  </si>
  <si>
    <t>I-UA6</t>
  </si>
  <si>
    <t>I-UA7</t>
  </si>
  <si>
    <t>I-UA8</t>
  </si>
  <si>
    <t>I-UA9</t>
  </si>
  <si>
    <t>I-UA10</t>
  </si>
  <si>
    <t>I-UA11</t>
  </si>
  <si>
    <t>I-UA12</t>
  </si>
  <si>
    <t>I-UA13</t>
  </si>
  <si>
    <t>I-UA14</t>
  </si>
  <si>
    <t>I-UA15</t>
  </si>
  <si>
    <t>I-UA16</t>
  </si>
  <si>
    <t>Requirements Summary</t>
  </si>
  <si>
    <t>Initial</t>
  </si>
  <si>
    <t>Revised</t>
  </si>
  <si>
    <t>BAFO #1</t>
  </si>
  <si>
    <t>Total Raw Business Bidder Score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</si>
</sst>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quot;$&quot;* #,##0_);_(&quot;$&quot;* \(#,##0\);_(&quot;$&quot;* &quot;-&quot;_);_(@_)"/>
    <numFmt numFmtId="44" formatCode="_(&quot;$&quot;* #,##0.00_);_(&quot;$&quot;* \(#,##0.00\);_(&quot;$&quot;* &quot;-&quot;??_);_(@_)"/>
    <numFmt numFmtId="43" formatCode="_(* #,##0.00_);_(* \(#,##0.00\);_(* &quot;-&quot;??_);_(@_)"/>
    <numFmt numFmtId="164" formatCode="0.0"/>
    <numFmt numFmtId="165" formatCode="_(* #,##0_);_(* \(#,##0\);_(* &quot;-&quot;??_);_(@_)"/>
    <numFmt numFmtId="166" formatCode="0.0%"/>
    <numFmt numFmtId="167" formatCode="_(* #,##0.0_);_(* \(#,##0.0\);_(* &quot;-&quot;?_);_(@_)"/>
    <numFmt numFmtId="168" formatCode="_(* #,##0.00_);_(* \(#,##0.00\);_(* &quot;-&quot;?_);_(@_)"/>
    <numFmt numFmtId="169" formatCode="_(&quot;$&quot;* #,##0_);_(&quot;$&quot;* \(#,##0\);_(&quot;$&quot;* &quot;-&quot;??_);_(@_)"/>
  </numFmts>
  <fonts count="16" x14ac:knownFonts="1">
    <font>
      <sz val="11"/>
      <color theme="1"/>
      <name val="Calibri"/>
      <family val="2"/>
      <scheme val="minor"/>
    </font>
    <font>
      <sz val="11"/>
      <color theme="1"/>
      <name val="Calibri"/>
      <family val="2"/>
      <scheme val="minor"/>
    </font>
    <font>
      <b/>
      <sz val="11"/>
      <color theme="1"/>
      <name val="Century Gothic"/>
      <family val="2"/>
    </font>
    <font>
      <sz val="11"/>
      <color theme="1"/>
      <name val="Century Gothic"/>
      <family val="2"/>
    </font>
    <font>
      <b/>
      <sz val="11"/>
      <name val="Century Gothic"/>
      <family val="2"/>
    </font>
    <font>
      <sz val="11"/>
      <name val="Century Gothic"/>
      <family val="2"/>
    </font>
    <font>
      <b/>
      <sz val="11"/>
      <color theme="0"/>
      <name val="Century Gothic"/>
      <family val="2"/>
    </font>
    <font>
      <b/>
      <sz val="10"/>
      <color theme="0"/>
      <name val="Century Gothic"/>
      <family val="2"/>
    </font>
    <font>
      <sz val="9"/>
      <color theme="1"/>
      <name val="Century Gothic"/>
      <family val="2"/>
    </font>
    <font>
      <sz val="10"/>
      <color theme="1"/>
      <name val="Century Gothic"/>
      <family val="2"/>
    </font>
    <font>
      <sz val="11"/>
      <color rgb="FF0070C0"/>
      <name val="Century Gothic"/>
      <family val="2"/>
    </font>
    <font>
      <sz val="8"/>
      <name val="Calibri"/>
      <family val="2"/>
      <scheme val="minor"/>
    </font>
    <font>
      <b/>
      <sz val="11"/>
      <color rgb="FFFFFFFF"/>
      <name val="Century Gothic"/>
      <family val="2"/>
    </font>
    <font>
      <b/>
      <sz val="12"/>
      <color theme="0"/>
      <name val="Century Gothic"/>
      <family val="2"/>
    </font>
    <font>
      <b/>
      <sz val="10"/>
      <color theme="1"/>
      <name val="Century Gothic"/>
      <family val="2"/>
    </font>
    <font>
      <b/>
      <sz val="10"/>
      <name val="Century Gothic"/>
      <family val="2"/>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1A3292"/>
        <bgColor indexed="64"/>
      </patternFill>
    </fill>
    <fill>
      <patternFill patternType="solid">
        <fgColor theme="0" tint="-0.14996795556505021"/>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bottom style="thin">
        <color indexed="64"/>
      </bottom>
      <diagonal/>
    </border>
    <border>
      <left/>
      <right/>
      <top style="thin">
        <color auto="1"/>
      </top>
      <bottom/>
      <diagonal/>
    </border>
    <border>
      <left style="thin">
        <color indexed="64"/>
      </left>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medium">
        <color indexed="64"/>
      </left>
      <right/>
      <top/>
      <bottom/>
      <diagonal/>
    </border>
    <border>
      <left/>
      <right style="medium">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260">
    <xf numFmtId="0" fontId="0" fillId="0" borderId="0" xfId="0"/>
    <xf numFmtId="0" fontId="3" fillId="0" borderId="0" xfId="0" applyFont="1"/>
    <xf numFmtId="0" fontId="3" fillId="2" borderId="1" xfId="0" applyFont="1" applyFill="1" applyBorder="1"/>
    <xf numFmtId="9" fontId="3" fillId="2" borderId="1" xfId="3" applyFont="1" applyFill="1" applyBorder="1"/>
    <xf numFmtId="0" fontId="2" fillId="2" borderId="1" xfId="0" applyFont="1" applyFill="1" applyBorder="1"/>
    <xf numFmtId="0" fontId="3" fillId="0" borderId="1" xfId="0" applyFont="1" applyBorder="1"/>
    <xf numFmtId="0" fontId="2" fillId="0" borderId="1" xfId="0" applyFont="1" applyBorder="1"/>
    <xf numFmtId="9" fontId="3" fillId="0" borderId="1" xfId="3" applyFont="1" applyBorder="1"/>
    <xf numFmtId="0" fontId="3" fillId="0" borderId="0" xfId="0" applyFont="1" applyAlignment="1">
      <alignment horizontal="center" wrapText="1"/>
    </xf>
    <xf numFmtId="2" fontId="3" fillId="0" borderId="1" xfId="0" applyNumberFormat="1" applyFont="1" applyBorder="1" applyAlignment="1">
      <alignment horizontal="center"/>
    </xf>
    <xf numFmtId="0" fontId="3" fillId="0" borderId="0" xfId="0" applyFont="1" applyAlignment="1">
      <alignment horizontal="center"/>
    </xf>
    <xf numFmtId="0" fontId="3" fillId="0" borderId="0" xfId="0" applyFont="1" applyAlignment="1">
      <alignment horizontal="center" vertical="top"/>
    </xf>
    <xf numFmtId="10" fontId="3" fillId="0" borderId="0" xfId="3" applyNumberFormat="1" applyFont="1" applyFill="1"/>
    <xf numFmtId="0" fontId="2" fillId="0" borderId="0" xfId="0" applyFont="1"/>
    <xf numFmtId="0" fontId="2" fillId="0" borderId="0" xfId="0" applyFont="1" applyAlignment="1">
      <alignment wrapText="1"/>
    </xf>
    <xf numFmtId="0" fontId="3" fillId="0" borderId="0" xfId="0" applyFont="1" applyAlignment="1">
      <alignment wrapText="1"/>
    </xf>
    <xf numFmtId="44" fontId="3" fillId="0" borderId="0" xfId="0" applyNumberFormat="1" applyFont="1"/>
    <xf numFmtId="0" fontId="3" fillId="0" borderId="1" xfId="0" applyFont="1" applyBorder="1" applyAlignment="1">
      <alignment horizontal="center"/>
    </xf>
    <xf numFmtId="43" fontId="3" fillId="0" borderId="1" xfId="1" applyFont="1" applyBorder="1" applyAlignment="1">
      <alignment horizontal="center"/>
    </xf>
    <xf numFmtId="43" fontId="3" fillId="0" borderId="1" xfId="1" applyFont="1" applyBorder="1" applyAlignment="1"/>
    <xf numFmtId="0" fontId="2" fillId="0" borderId="1" xfId="0" applyFont="1" applyBorder="1" applyAlignment="1">
      <alignment horizontal="right"/>
    </xf>
    <xf numFmtId="43" fontId="2" fillId="0" borderId="1" xfId="1" applyFont="1" applyBorder="1"/>
    <xf numFmtId="0" fontId="2" fillId="0" borderId="0" xfId="0" applyFont="1" applyAlignment="1">
      <alignment horizontal="center" wrapText="1"/>
    </xf>
    <xf numFmtId="2" fontId="3" fillId="0" borderId="8" xfId="0" applyNumberFormat="1" applyFont="1" applyBorder="1" applyAlignment="1">
      <alignment horizontal="center"/>
    </xf>
    <xf numFmtId="165" fontId="3" fillId="0" borderId="0" xfId="1" applyNumberFormat="1" applyFont="1"/>
    <xf numFmtId="2" fontId="3" fillId="0" borderId="0" xfId="0" applyNumberFormat="1" applyFont="1" applyAlignment="1">
      <alignment horizontal="center"/>
    </xf>
    <xf numFmtId="0" fontId="3" fillId="0" borderId="8" xfId="0" applyFont="1" applyBorder="1" applyAlignment="1">
      <alignment horizontal="center"/>
    </xf>
    <xf numFmtId="2" fontId="3" fillId="0" borderId="2" xfId="0" applyNumberFormat="1" applyFont="1" applyBorder="1" applyAlignment="1">
      <alignment horizontal="center"/>
    </xf>
    <xf numFmtId="0" fontId="5" fillId="0" borderId="1" xfId="0" applyFont="1" applyBorder="1" applyAlignment="1">
      <alignment horizontal="center" vertical="top" wrapText="1"/>
    </xf>
    <xf numFmtId="166" fontId="5" fillId="0" borderId="1" xfId="0" applyNumberFormat="1" applyFont="1" applyBorder="1" applyAlignment="1">
      <alignment horizontal="center" vertical="top" wrapText="1"/>
    </xf>
    <xf numFmtId="167" fontId="5" fillId="0" borderId="1" xfId="1" applyNumberFormat="1" applyFont="1" applyFill="1" applyBorder="1" applyAlignment="1">
      <alignment horizontal="center" vertical="top" wrapText="1"/>
    </xf>
    <xf numFmtId="0" fontId="3" fillId="0" borderId="0" xfId="0" applyFont="1" applyAlignment="1">
      <alignment vertical="center"/>
    </xf>
    <xf numFmtId="0" fontId="5" fillId="0" borderId="1" xfId="0" applyFont="1" applyBorder="1" applyAlignment="1">
      <alignment horizontal="center" vertical="center" wrapText="1"/>
    </xf>
    <xf numFmtId="166" fontId="5" fillId="3" borderId="1" xfId="0" applyNumberFormat="1" applyFont="1" applyFill="1" applyBorder="1" applyAlignment="1">
      <alignment horizontal="left" vertical="center" wrapText="1"/>
    </xf>
    <xf numFmtId="166" fontId="4" fillId="3" borderId="1" xfId="0" applyNumberFormat="1" applyFont="1" applyFill="1" applyBorder="1" applyAlignment="1">
      <alignment horizontal="center" vertical="center" wrapText="1"/>
    </xf>
    <xf numFmtId="167" fontId="5" fillId="3" borderId="1" xfId="1" applyNumberFormat="1" applyFont="1" applyFill="1" applyBorder="1" applyAlignment="1">
      <alignment horizontal="center" vertical="center" wrapText="1"/>
    </xf>
    <xf numFmtId="167" fontId="5" fillId="0" borderId="1" xfId="1" applyNumberFormat="1" applyFont="1" applyFill="1" applyBorder="1" applyAlignment="1">
      <alignment horizontal="center" vertical="center" wrapText="1"/>
    </xf>
    <xf numFmtId="43" fontId="5" fillId="0" borderId="1" xfId="1" applyFont="1" applyFill="1" applyBorder="1" applyAlignment="1">
      <alignment horizontal="center" vertical="center" wrapText="1"/>
    </xf>
    <xf numFmtId="164" fontId="5" fillId="3" borderId="1" xfId="0" applyNumberFormat="1" applyFont="1" applyFill="1" applyBorder="1" applyAlignment="1">
      <alignment horizontal="center" vertical="center" wrapText="1"/>
    </xf>
    <xf numFmtId="166" fontId="5" fillId="0" borderId="1" xfId="0" applyNumberFormat="1" applyFont="1" applyBorder="1" applyAlignment="1">
      <alignment horizontal="center" vertical="center" wrapText="1"/>
    </xf>
    <xf numFmtId="167" fontId="4" fillId="0" borderId="1" xfId="1" applyNumberFormat="1" applyFont="1" applyFill="1" applyBorder="1" applyAlignment="1">
      <alignment horizontal="center" vertical="center" wrapText="1"/>
    </xf>
    <xf numFmtId="168" fontId="4" fillId="0" borderId="1" xfId="1" applyNumberFormat="1" applyFont="1" applyFill="1" applyBorder="1" applyAlignment="1">
      <alignment horizontal="center" vertical="center" wrapText="1"/>
    </xf>
    <xf numFmtId="167" fontId="4" fillId="3" borderId="1" xfId="1" applyNumberFormat="1" applyFont="1" applyFill="1" applyBorder="1" applyAlignment="1">
      <alignment horizontal="center" vertical="center" wrapText="1"/>
    </xf>
    <xf numFmtId="43" fontId="4" fillId="3" borderId="1" xfId="1" applyFont="1" applyFill="1" applyBorder="1" applyAlignment="1">
      <alignment horizontal="center" vertical="center" wrapText="1"/>
    </xf>
    <xf numFmtId="10" fontId="3" fillId="0" borderId="0" xfId="3" applyNumberFormat="1" applyFont="1" applyFill="1" applyAlignment="1">
      <alignment vertical="center"/>
    </xf>
    <xf numFmtId="0" fontId="8" fillId="0" borderId="0" xfId="0" applyFont="1" applyAlignment="1">
      <alignment wrapText="1"/>
    </xf>
    <xf numFmtId="1" fontId="3" fillId="0" borderId="0" xfId="0" applyNumberFormat="1" applyFont="1" applyAlignment="1">
      <alignment horizontal="center"/>
    </xf>
    <xf numFmtId="0" fontId="3" fillId="2" borderId="3" xfId="0" applyFont="1" applyFill="1" applyBorder="1" applyAlignment="1">
      <alignment horizontal="center"/>
    </xf>
    <xf numFmtId="0" fontId="3" fillId="2" borderId="7" xfId="0" applyFont="1" applyFill="1" applyBorder="1" applyAlignment="1">
      <alignment horizontal="center"/>
    </xf>
    <xf numFmtId="0" fontId="3" fillId="2" borderId="4" xfId="0" applyFont="1" applyFill="1" applyBorder="1" applyAlignment="1">
      <alignment horizontal="center"/>
    </xf>
    <xf numFmtId="164" fontId="3" fillId="0" borderId="2" xfId="0" applyNumberFormat="1" applyFont="1" applyBorder="1" applyAlignment="1">
      <alignment horizontal="center"/>
    </xf>
    <xf numFmtId="0" fontId="3" fillId="0" borderId="2" xfId="0" applyFont="1" applyBorder="1"/>
    <xf numFmtId="10" fontId="3" fillId="0" borderId="0" xfId="3" applyNumberFormat="1" applyFont="1"/>
    <xf numFmtId="169" fontId="3" fillId="0" borderId="1" xfId="2" applyNumberFormat="1" applyFont="1" applyFill="1" applyBorder="1"/>
    <xf numFmtId="10" fontId="2" fillId="0" borderId="1" xfId="3" applyNumberFormat="1" applyFont="1" applyBorder="1"/>
    <xf numFmtId="10" fontId="3" fillId="0" borderId="1" xfId="3" applyNumberFormat="1" applyFont="1" applyFill="1" applyBorder="1"/>
    <xf numFmtId="169" fontId="3" fillId="0" borderId="0" xfId="0" applyNumberFormat="1" applyFont="1"/>
    <xf numFmtId="0" fontId="3" fillId="2" borderId="5" xfId="0" applyFont="1" applyFill="1" applyBorder="1"/>
    <xf numFmtId="0" fontId="3" fillId="2" borderId="6" xfId="0" applyFont="1" applyFill="1" applyBorder="1"/>
    <xf numFmtId="0" fontId="3" fillId="2" borderId="2" xfId="0" applyFont="1" applyFill="1" applyBorder="1"/>
    <xf numFmtId="0" fontId="3" fillId="0" borderId="11" xfId="0" applyFont="1" applyBorder="1"/>
    <xf numFmtId="0" fontId="10" fillId="0" borderId="0" xfId="0" applyFont="1"/>
    <xf numFmtId="168" fontId="5" fillId="0" borderId="1" xfId="1" applyNumberFormat="1" applyFont="1" applyFill="1" applyBorder="1" applyAlignment="1">
      <alignment horizontal="center" vertical="top" wrapText="1"/>
    </xf>
    <xf numFmtId="0" fontId="9" fillId="0" borderId="0" xfId="0" applyFont="1" applyAlignment="1">
      <alignment horizontal="left" vertical="top" wrapText="1"/>
    </xf>
    <xf numFmtId="0" fontId="6" fillId="4" borderId="1" xfId="0" applyFont="1" applyFill="1" applyBorder="1" applyAlignment="1">
      <alignment horizontal="center" vertical="center" wrapText="1"/>
    </xf>
    <xf numFmtId="166" fontId="6" fillId="4" borderId="5" xfId="0" applyNumberFormat="1" applyFont="1" applyFill="1" applyBorder="1" applyAlignment="1">
      <alignment horizontal="center" vertical="top" wrapText="1"/>
    </xf>
    <xf numFmtId="166" fontId="6" fillId="4" borderId="1" xfId="0" applyNumberFormat="1" applyFont="1" applyFill="1" applyBorder="1" applyAlignment="1">
      <alignment horizontal="center" wrapText="1"/>
    </xf>
    <xf numFmtId="0" fontId="7" fillId="4" borderId="1" xfId="0" applyFont="1" applyFill="1" applyBorder="1" applyAlignment="1">
      <alignment horizontal="center" wrapText="1"/>
    </xf>
    <xf numFmtId="0" fontId="6" fillId="4" borderId="1" xfId="0" applyFont="1" applyFill="1" applyBorder="1" applyAlignment="1">
      <alignment horizontal="left" wrapText="1"/>
    </xf>
    <xf numFmtId="0" fontId="6" fillId="4" borderId="2" xfId="0" applyFont="1" applyFill="1" applyBorder="1" applyAlignment="1">
      <alignment horizontal="left" wrapText="1"/>
    </xf>
    <xf numFmtId="2" fontId="3" fillId="0" borderId="0" xfId="0" applyNumberFormat="1" applyFont="1"/>
    <xf numFmtId="43" fontId="3" fillId="0" borderId="0" xfId="0" applyNumberFormat="1" applyFont="1"/>
    <xf numFmtId="0" fontId="3" fillId="0" borderId="0" xfId="0" applyFont="1" applyAlignment="1">
      <alignment vertical="top"/>
    </xf>
    <xf numFmtId="0" fontId="3" fillId="2" borderId="1" xfId="0" applyFont="1" applyFill="1" applyBorder="1" applyAlignment="1">
      <alignment wrapText="1"/>
    </xf>
    <xf numFmtId="1" fontId="3" fillId="0" borderId="8" xfId="0" applyNumberFormat="1" applyFont="1" applyBorder="1" applyAlignment="1">
      <alignment horizontal="center"/>
    </xf>
    <xf numFmtId="0" fontId="2" fillId="4" borderId="0" xfId="0" applyFont="1" applyFill="1"/>
    <xf numFmtId="0" fontId="9" fillId="0" borderId="0" xfId="0" applyFont="1" applyAlignment="1">
      <alignment horizontal="left" wrapText="1"/>
    </xf>
    <xf numFmtId="9" fontId="3" fillId="0" borderId="0" xfId="3" applyFont="1"/>
    <xf numFmtId="169" fontId="3" fillId="0" borderId="2" xfId="0" applyNumberFormat="1" applyFont="1" applyBorder="1"/>
    <xf numFmtId="0" fontId="3" fillId="0" borderId="3" xfId="0" applyFont="1" applyBorder="1"/>
    <xf numFmtId="0" fontId="3" fillId="0" borderId="1" xfId="0" applyFont="1" applyBorder="1" applyAlignment="1">
      <alignment vertical="top"/>
    </xf>
    <xf numFmtId="169" fontId="3" fillId="0" borderId="1" xfId="2" applyNumberFormat="1" applyFont="1" applyFill="1" applyBorder="1" applyAlignment="1">
      <alignment vertical="top"/>
    </xf>
    <xf numFmtId="0" fontId="3" fillId="0" borderId="12" xfId="0" applyFont="1" applyBorder="1"/>
    <xf numFmtId="9" fontId="5" fillId="0" borderId="1" xfId="3" applyFont="1" applyFill="1" applyBorder="1" applyAlignment="1">
      <alignment horizontal="left" vertical="top" wrapText="1" indent="1"/>
    </xf>
    <xf numFmtId="9" fontId="5" fillId="0" borderId="1" xfId="3" applyFont="1" applyFill="1" applyBorder="1" applyAlignment="1">
      <alignment horizontal="center" vertical="top" wrapText="1"/>
    </xf>
    <xf numFmtId="0" fontId="3" fillId="0" borderId="10" xfId="0" applyFont="1" applyBorder="1" applyAlignment="1">
      <alignment horizontal="center"/>
    </xf>
    <xf numFmtId="9" fontId="6" fillId="4" borderId="3" xfId="0" applyNumberFormat="1" applyFont="1" applyFill="1" applyBorder="1" applyAlignment="1">
      <alignment horizontal="center" wrapText="1"/>
    </xf>
    <xf numFmtId="2" fontId="4" fillId="0" borderId="1" xfId="0" applyNumberFormat="1" applyFont="1" applyBorder="1" applyAlignment="1">
      <alignment horizontal="center" wrapText="1"/>
    </xf>
    <xf numFmtId="0" fontId="3" fillId="2" borderId="3" xfId="0" applyFont="1" applyFill="1" applyBorder="1" applyAlignment="1">
      <alignment horizontal="left"/>
    </xf>
    <xf numFmtId="9" fontId="6" fillId="4" borderId="1" xfId="0" applyNumberFormat="1" applyFont="1" applyFill="1" applyBorder="1" applyAlignment="1">
      <alignment horizontal="center" wrapText="1"/>
    </xf>
    <xf numFmtId="0" fontId="6" fillId="4" borderId="0" xfId="0" applyFont="1" applyFill="1"/>
    <xf numFmtId="0" fontId="12" fillId="4" borderId="1" xfId="0" applyFont="1" applyFill="1" applyBorder="1" applyAlignment="1">
      <alignment vertical="center"/>
    </xf>
    <xf numFmtId="0" fontId="0" fillId="0" borderId="0" xfId="0" applyAlignment="1">
      <alignment wrapText="1"/>
    </xf>
    <xf numFmtId="0" fontId="3" fillId="0" borderId="1" xfId="0" applyFont="1" applyBorder="1" applyAlignment="1">
      <alignment vertical="top" wrapText="1"/>
    </xf>
    <xf numFmtId="0" fontId="0" fillId="0" borderId="0" xfId="0" applyAlignment="1">
      <alignment horizontal="center"/>
    </xf>
    <xf numFmtId="0" fontId="5" fillId="0" borderId="1" xfId="0" applyFont="1" applyBorder="1" applyAlignment="1">
      <alignment horizontal="center"/>
    </xf>
    <xf numFmtId="2" fontId="5" fillId="0" borderId="2" xfId="0" applyNumberFormat="1" applyFont="1" applyBorder="1" applyAlignment="1">
      <alignment horizontal="center"/>
    </xf>
    <xf numFmtId="0" fontId="6" fillId="4" borderId="1" xfId="0" applyFont="1" applyFill="1" applyBorder="1" applyAlignment="1">
      <alignment horizontal="center" wrapText="1"/>
    </xf>
    <xf numFmtId="0" fontId="7" fillId="4" borderId="2" xfId="0" applyFont="1" applyFill="1" applyBorder="1" applyAlignment="1">
      <alignment horizontal="center" wrapText="1"/>
    </xf>
    <xf numFmtId="0" fontId="2" fillId="0" borderId="0" xfId="0" applyFont="1" applyAlignment="1">
      <alignment horizontal="center"/>
    </xf>
    <xf numFmtId="0" fontId="6" fillId="4" borderId="18" xfId="0" applyFont="1" applyFill="1" applyBorder="1" applyAlignment="1">
      <alignment horizontal="center" wrapText="1"/>
    </xf>
    <xf numFmtId="0" fontId="6" fillId="4" borderId="20" xfId="0" applyFont="1" applyFill="1" applyBorder="1" applyAlignment="1">
      <alignment horizontal="center" wrapText="1"/>
    </xf>
    <xf numFmtId="42" fontId="3" fillId="0" borderId="1" xfId="3" applyNumberFormat="1" applyFont="1" applyFill="1" applyBorder="1" applyAlignment="1">
      <alignment horizontal="center" vertical="top"/>
    </xf>
    <xf numFmtId="42" fontId="3" fillId="0" borderId="1" xfId="0" applyNumberFormat="1" applyFont="1" applyBorder="1" applyAlignment="1">
      <alignment horizontal="center" vertical="top"/>
    </xf>
    <xf numFmtId="0" fontId="6" fillId="4" borderId="1" xfId="0" applyFont="1" applyFill="1" applyBorder="1" applyAlignment="1">
      <alignment horizontal="left" vertical="center" wrapText="1"/>
    </xf>
    <xf numFmtId="169" fontId="2" fillId="0" borderId="1" xfId="2" applyNumberFormat="1" applyFont="1" applyFill="1" applyBorder="1"/>
    <xf numFmtId="2" fontId="2" fillId="0" borderId="1" xfId="2" applyNumberFormat="1" applyFont="1" applyFill="1" applyBorder="1" applyAlignment="1">
      <alignment horizontal="center"/>
    </xf>
    <xf numFmtId="2" fontId="5" fillId="0" borderId="1" xfId="0" applyNumberFormat="1" applyFont="1" applyBorder="1" applyAlignment="1">
      <alignment horizontal="center"/>
    </xf>
    <xf numFmtId="0" fontId="14" fillId="0" borderId="3" xfId="0" applyFont="1" applyBorder="1"/>
    <xf numFmtId="169" fontId="15" fillId="3" borderId="25" xfId="0" applyNumberFormat="1" applyFont="1" applyFill="1" applyBorder="1"/>
    <xf numFmtId="0" fontId="14" fillId="5" borderId="26" xfId="0" applyFont="1" applyFill="1" applyBorder="1" applyAlignment="1">
      <alignment horizontal="left" vertical="center" wrapText="1"/>
    </xf>
    <xf numFmtId="0" fontId="14" fillId="5" borderId="28" xfId="0" applyFont="1" applyFill="1" applyBorder="1" applyAlignment="1">
      <alignment horizontal="left"/>
    </xf>
    <xf numFmtId="44" fontId="14" fillId="5" borderId="27" xfId="2" applyFont="1" applyFill="1" applyBorder="1" applyAlignment="1">
      <alignment horizontal="left" vertical="center" wrapText="1"/>
    </xf>
    <xf numFmtId="44" fontId="3" fillId="0" borderId="0" xfId="2" applyFont="1"/>
    <xf numFmtId="0" fontId="5" fillId="0" borderId="1" xfId="0" applyFont="1" applyBorder="1" applyAlignment="1">
      <alignment horizontal="left" vertical="center" wrapText="1" indent="1"/>
    </xf>
    <xf numFmtId="164" fontId="3" fillId="0" borderId="1" xfId="0" applyNumberFormat="1" applyFont="1" applyBorder="1" applyAlignment="1">
      <alignment horizontal="center"/>
    </xf>
    <xf numFmtId="0" fontId="3" fillId="0" borderId="12" xfId="0" applyFont="1" applyBorder="1" applyAlignment="1">
      <alignment vertical="center"/>
    </xf>
    <xf numFmtId="0" fontId="3" fillId="0" borderId="12" xfId="0" applyFont="1" applyBorder="1" applyAlignment="1">
      <alignment horizontal="center"/>
    </xf>
    <xf numFmtId="0" fontId="3" fillId="0" borderId="8" xfId="0" applyFont="1" applyBorder="1"/>
    <xf numFmtId="0" fontId="3" fillId="0" borderId="10" xfId="0" applyFont="1" applyBorder="1"/>
    <xf numFmtId="0" fontId="3" fillId="0" borderId="9" xfId="0" applyFont="1" applyBorder="1"/>
    <xf numFmtId="0" fontId="3" fillId="0" borderId="6" xfId="0" applyFont="1" applyBorder="1"/>
    <xf numFmtId="169" fontId="3" fillId="0" borderId="0" xfId="2" applyNumberFormat="1" applyFont="1" applyFill="1" applyBorder="1"/>
    <xf numFmtId="44" fontId="3" fillId="0" borderId="1" xfId="2" applyFont="1" applyFill="1" applyBorder="1"/>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6" fillId="2" borderId="1" xfId="0" applyFont="1" applyFill="1" applyBorder="1" applyAlignment="1">
      <alignment horizontal="center" wrapText="1"/>
    </xf>
    <xf numFmtId="166" fontId="6" fillId="2" borderId="1" xfId="0" applyNumberFormat="1" applyFont="1" applyFill="1" applyBorder="1" applyAlignment="1">
      <alignment horizontal="center" wrapText="1"/>
    </xf>
    <xf numFmtId="0" fontId="2" fillId="2" borderId="0" xfId="0" applyFont="1" applyFill="1"/>
    <xf numFmtId="0" fontId="2" fillId="2" borderId="0" xfId="0" applyFont="1" applyFill="1" applyAlignment="1">
      <alignment horizontal="center"/>
    </xf>
    <xf numFmtId="0" fontId="5" fillId="2" borderId="5" xfId="0" applyFont="1" applyFill="1" applyBorder="1" applyAlignment="1">
      <alignment horizontal="left" wrapText="1"/>
    </xf>
    <xf numFmtId="0" fontId="6" fillId="2" borderId="1" xfId="0" applyFont="1" applyFill="1" applyBorder="1" applyAlignment="1">
      <alignment horizontal="left" wrapText="1"/>
    </xf>
    <xf numFmtId="0" fontId="3" fillId="2" borderId="0" xfId="0" applyFont="1" applyFill="1" applyAlignment="1">
      <alignment horizontal="center"/>
    </xf>
    <xf numFmtId="0" fontId="3" fillId="2" borderId="0" xfId="0" applyFont="1" applyFill="1"/>
    <xf numFmtId="165" fontId="3" fillId="2" borderId="0" xfId="1" applyNumberFormat="1" applyFont="1" applyFill="1"/>
    <xf numFmtId="0" fontId="6" fillId="2" borderId="7" xfId="0" applyFont="1" applyFill="1" applyBorder="1" applyAlignment="1">
      <alignment horizontal="left" wrapText="1"/>
    </xf>
    <xf numFmtId="0" fontId="3" fillId="0" borderId="14" xfId="0" applyFont="1" applyBorder="1"/>
    <xf numFmtId="0" fontId="3" fillId="0" borderId="4" xfId="0" applyFont="1" applyBorder="1"/>
    <xf numFmtId="0" fontId="3" fillId="0" borderId="14" xfId="0" applyFont="1" applyBorder="1" applyAlignment="1">
      <alignment horizontal="center"/>
    </xf>
    <xf numFmtId="0" fontId="6" fillId="0" borderId="0" xfId="0" applyFont="1" applyAlignment="1">
      <alignment horizontal="left" wrapText="1"/>
    </xf>
    <xf numFmtId="0" fontId="6" fillId="0" borderId="0" xfId="0" applyFont="1" applyAlignment="1">
      <alignment horizontal="center" wrapText="1"/>
    </xf>
    <xf numFmtId="4" fontId="6" fillId="4" borderId="1" xfId="0" applyNumberFormat="1" applyFont="1" applyFill="1" applyBorder="1" applyAlignment="1">
      <alignment horizontal="center" wrapText="1"/>
    </xf>
    <xf numFmtId="2" fontId="6" fillId="4" borderId="1" xfId="0" applyNumberFormat="1" applyFont="1" applyFill="1" applyBorder="1" applyAlignment="1">
      <alignment horizontal="center"/>
    </xf>
    <xf numFmtId="0" fontId="6" fillId="4" borderId="1" xfId="0" applyFont="1" applyFill="1" applyBorder="1" applyAlignment="1">
      <alignment horizontal="center"/>
    </xf>
    <xf numFmtId="4" fontId="6" fillId="4" borderId="1" xfId="0" applyNumberFormat="1" applyFont="1" applyFill="1" applyBorder="1" applyAlignment="1">
      <alignment horizontal="center" vertical="center" wrapText="1"/>
    </xf>
    <xf numFmtId="0" fontId="6" fillId="4" borderId="7" xfId="0" applyFont="1" applyFill="1" applyBorder="1" applyAlignment="1">
      <alignment horizontal="left" wrapText="1"/>
    </xf>
    <xf numFmtId="0" fontId="6" fillId="4" borderId="2" xfId="0" applyFont="1" applyFill="1" applyBorder="1" applyAlignment="1">
      <alignment horizontal="center"/>
    </xf>
    <xf numFmtId="0" fontId="3" fillId="0" borderId="0" xfId="0" applyFont="1" applyAlignment="1">
      <alignment horizontal="left"/>
    </xf>
    <xf numFmtId="0" fontId="5" fillId="0" borderId="5" xfId="0" applyFont="1" applyBorder="1" applyAlignment="1">
      <alignment horizontal="left" wrapText="1"/>
    </xf>
    <xf numFmtId="0" fontId="5" fillId="0" borderId="1" xfId="0" applyFont="1" applyBorder="1" applyAlignment="1">
      <alignment horizontal="left" wrapText="1"/>
    </xf>
    <xf numFmtId="0" fontId="2" fillId="0" borderId="0" xfId="0" applyFont="1" applyAlignment="1">
      <alignment horizontal="right"/>
    </xf>
    <xf numFmtId="43" fontId="2" fillId="0" borderId="0" xfId="1" applyFont="1" applyBorder="1"/>
    <xf numFmtId="0" fontId="2" fillId="0" borderId="24" xfId="0" applyFont="1" applyBorder="1" applyAlignment="1">
      <alignment horizontal="center" wrapText="1"/>
    </xf>
    <xf numFmtId="0" fontId="5" fillId="0" borderId="22" xfId="0" applyFont="1" applyBorder="1" applyAlignment="1">
      <alignment horizontal="center" vertical="center" wrapText="1"/>
    </xf>
    <xf numFmtId="2" fontId="5" fillId="0" borderId="3" xfId="0" applyNumberFormat="1" applyFont="1" applyBorder="1" applyAlignment="1">
      <alignment horizontal="center" vertical="center" wrapText="1"/>
    </xf>
    <xf numFmtId="2" fontId="5" fillId="0" borderId="23" xfId="0" applyNumberFormat="1" applyFont="1" applyBorder="1" applyAlignment="1">
      <alignment horizontal="center" vertical="center" wrapText="1"/>
    </xf>
    <xf numFmtId="2" fontId="5" fillId="0" borderId="33" xfId="0" applyNumberFormat="1" applyFont="1" applyBorder="1" applyAlignment="1">
      <alignment horizontal="center" wrapText="1"/>
    </xf>
    <xf numFmtId="0" fontId="6" fillId="4" borderId="3" xfId="0" applyFont="1" applyFill="1" applyBorder="1" applyAlignment="1">
      <alignment horizontal="center" wrapText="1"/>
    </xf>
    <xf numFmtId="0" fontId="6" fillId="4" borderId="4" xfId="0" applyFont="1" applyFill="1" applyBorder="1" applyAlignment="1">
      <alignment horizontal="center" wrapText="1"/>
    </xf>
    <xf numFmtId="0" fontId="4" fillId="3" borderId="1" xfId="0" applyFont="1" applyFill="1" applyBorder="1" applyAlignment="1">
      <alignment horizontal="left" vertical="center" wrapText="1"/>
    </xf>
    <xf numFmtId="0" fontId="5" fillId="0" borderId="4" xfId="0" applyFont="1" applyBorder="1" applyAlignment="1">
      <alignment horizontal="center" vertical="center" wrapText="1"/>
    </xf>
    <xf numFmtId="0" fontId="3" fillId="0" borderId="7" xfId="0" applyFont="1" applyBorder="1" applyAlignment="1">
      <alignment horizontal="center" wrapText="1"/>
    </xf>
    <xf numFmtId="0" fontId="3" fillId="0" borderId="7" xfId="0" applyFont="1" applyBorder="1" applyAlignment="1">
      <alignment horizontal="center"/>
    </xf>
    <xf numFmtId="0" fontId="3" fillId="0" borderId="0" xfId="0" applyFont="1" applyAlignment="1">
      <alignment horizontal="left" vertical="top" wrapText="1"/>
    </xf>
    <xf numFmtId="0" fontId="6" fillId="4" borderId="15" xfId="0" applyFont="1" applyFill="1" applyBorder="1" applyAlignment="1">
      <alignment horizontal="center" wrapText="1"/>
    </xf>
    <xf numFmtId="0" fontId="6" fillId="4" borderId="14" xfId="0" applyFont="1" applyFill="1" applyBorder="1" applyAlignment="1">
      <alignment horizontal="center" wrapText="1"/>
    </xf>
    <xf numFmtId="0" fontId="6" fillId="4" borderId="5" xfId="0" applyFont="1" applyFill="1" applyBorder="1" applyAlignment="1">
      <alignment horizontal="center" wrapText="1"/>
    </xf>
    <xf numFmtId="0" fontId="6" fillId="4" borderId="6" xfId="0" applyFont="1" applyFill="1" applyBorder="1" applyAlignment="1">
      <alignment horizontal="center" wrapText="1"/>
    </xf>
    <xf numFmtId="0" fontId="6" fillId="4" borderId="2" xfId="0" applyFont="1" applyFill="1" applyBorder="1" applyAlignment="1">
      <alignment horizontal="center" wrapText="1"/>
    </xf>
    <xf numFmtId="0" fontId="6" fillId="4" borderId="12" xfId="0" applyFont="1" applyFill="1" applyBorder="1" applyAlignment="1">
      <alignment horizontal="center" wrapText="1"/>
    </xf>
    <xf numFmtId="0" fontId="6" fillId="4" borderId="8" xfId="0" applyFont="1" applyFill="1" applyBorder="1" applyAlignment="1">
      <alignment horizontal="center" wrapText="1"/>
    </xf>
    <xf numFmtId="0" fontId="3" fillId="0" borderId="3" xfId="0" applyFont="1" applyBorder="1" applyAlignment="1">
      <alignment horizontal="center"/>
    </xf>
    <xf numFmtId="0" fontId="3" fillId="0" borderId="4" xfId="0" applyFont="1" applyBorder="1" applyAlignment="1">
      <alignment horizontal="center"/>
    </xf>
    <xf numFmtId="0" fontId="3" fillId="0" borderId="6" xfId="0" applyFont="1" applyBorder="1" applyAlignment="1">
      <alignment horizontal="center"/>
    </xf>
    <xf numFmtId="0" fontId="6" fillId="4" borderId="3" xfId="0" applyFont="1" applyFill="1" applyBorder="1" applyAlignment="1">
      <alignment horizontal="left" wrapText="1"/>
    </xf>
    <xf numFmtId="0" fontId="6" fillId="4" borderId="4" xfId="0" applyFont="1" applyFill="1" applyBorder="1" applyAlignment="1">
      <alignment horizontal="left" wrapText="1"/>
    </xf>
    <xf numFmtId="0" fontId="6" fillId="4" borderId="19" xfId="0" applyFont="1" applyFill="1" applyBorder="1" applyAlignment="1">
      <alignment horizontal="center" wrapText="1"/>
    </xf>
    <xf numFmtId="0" fontId="6" fillId="4" borderId="21" xfId="0" applyFont="1" applyFill="1" applyBorder="1" applyAlignment="1">
      <alignment horizontal="center" wrapText="1"/>
    </xf>
    <xf numFmtId="10" fontId="6" fillId="4" borderId="4" xfId="0" applyNumberFormat="1" applyFont="1" applyFill="1" applyBorder="1" applyAlignment="1">
      <alignment horizontal="center" wrapText="1"/>
    </xf>
    <xf numFmtId="2" fontId="5" fillId="0" borderId="34" xfId="0" applyNumberFormat="1" applyFont="1" applyBorder="1" applyAlignment="1">
      <alignment horizontal="center" wrapText="1"/>
    </xf>
    <xf numFmtId="2" fontId="3" fillId="0" borderId="1" xfId="1" applyNumberFormat="1" applyFont="1" applyBorder="1" applyAlignment="1">
      <alignment horizontal="center"/>
    </xf>
    <xf numFmtId="0" fontId="4" fillId="0" borderId="2" xfId="0" applyFont="1" applyBorder="1" applyAlignment="1">
      <alignment horizontal="center" wrapText="1"/>
    </xf>
    <xf numFmtId="0" fontId="4" fillId="0" borderId="0" xfId="0" applyFont="1"/>
    <xf numFmtId="0" fontId="6" fillId="4" borderId="3" xfId="0" applyFont="1" applyFill="1" applyBorder="1" applyAlignment="1">
      <alignment horizontal="center" wrapText="1"/>
    </xf>
    <xf numFmtId="0" fontId="6" fillId="4" borderId="4" xfId="0" applyFont="1" applyFill="1" applyBorder="1" applyAlignment="1">
      <alignment horizontal="center" wrapText="1"/>
    </xf>
    <xf numFmtId="0" fontId="5" fillId="0" borderId="3" xfId="0" applyFont="1" applyBorder="1" applyAlignment="1">
      <alignment horizontal="center" vertical="top" wrapText="1"/>
    </xf>
    <xf numFmtId="0" fontId="5" fillId="0" borderId="7" xfId="0" applyFont="1" applyBorder="1" applyAlignment="1">
      <alignment horizontal="center" vertical="top" wrapText="1"/>
    </xf>
    <xf numFmtId="0" fontId="5" fillId="0" borderId="4" xfId="0" applyFont="1" applyBorder="1" applyAlignment="1">
      <alignment horizontal="center" vertical="top" wrapText="1"/>
    </xf>
    <xf numFmtId="164" fontId="5" fillId="3" borderId="3" xfId="0" applyNumberFormat="1" applyFont="1" applyFill="1" applyBorder="1" applyAlignment="1">
      <alignment horizontal="center" vertical="center" wrapText="1"/>
    </xf>
    <xf numFmtId="164" fontId="5" fillId="3" borderId="7" xfId="0" applyNumberFormat="1" applyFont="1" applyFill="1" applyBorder="1" applyAlignment="1">
      <alignment horizontal="center" vertical="center" wrapText="1"/>
    </xf>
    <xf numFmtId="164" fontId="5" fillId="3" borderId="4" xfId="0" applyNumberFormat="1" applyFont="1" applyFill="1" applyBorder="1" applyAlignment="1">
      <alignment horizontal="center" vertical="center" wrapText="1"/>
    </xf>
    <xf numFmtId="0" fontId="4" fillId="3" borderId="1" xfId="0" applyFont="1" applyFill="1" applyBorder="1" applyAlignment="1">
      <alignment horizontal="left" vertical="center" wrapText="1"/>
    </xf>
    <xf numFmtId="0" fontId="4" fillId="0" borderId="1" xfId="0" applyFont="1" applyBorder="1" applyAlignment="1">
      <alignment horizontal="left" vertical="center" wrapText="1"/>
    </xf>
    <xf numFmtId="0" fontId="5" fillId="0" borderId="3" xfId="0" applyFont="1" applyBorder="1" applyAlignment="1">
      <alignment horizontal="center" vertical="center" wrapText="1"/>
    </xf>
    <xf numFmtId="0" fontId="5" fillId="0" borderId="7" xfId="0" applyFont="1" applyBorder="1" applyAlignment="1">
      <alignment horizontal="center" vertical="center" wrapText="1"/>
    </xf>
    <xf numFmtId="0" fontId="5" fillId="0" borderId="4" xfId="0" applyFont="1" applyBorder="1" applyAlignment="1">
      <alignment horizontal="center" vertical="center" wrapText="1"/>
    </xf>
    <xf numFmtId="0" fontId="6" fillId="0" borderId="6" xfId="0" applyFont="1" applyBorder="1" applyAlignment="1">
      <alignment horizontal="center" wrapText="1"/>
    </xf>
    <xf numFmtId="0" fontId="6" fillId="0" borderId="2" xfId="0" applyFont="1" applyBorder="1" applyAlignment="1">
      <alignment horizontal="center" wrapText="1"/>
    </xf>
    <xf numFmtId="167" fontId="5" fillId="3" borderId="3" xfId="1" applyNumberFormat="1" applyFont="1" applyFill="1" applyBorder="1" applyAlignment="1">
      <alignment horizontal="center" vertical="center" wrapText="1"/>
    </xf>
    <xf numFmtId="167" fontId="5" fillId="3" borderId="7" xfId="1" applyNumberFormat="1" applyFont="1" applyFill="1" applyBorder="1" applyAlignment="1">
      <alignment horizontal="center" vertical="center" wrapText="1"/>
    </xf>
    <xf numFmtId="168" fontId="4" fillId="0" borderId="3" xfId="1" applyNumberFormat="1" applyFont="1" applyFill="1" applyBorder="1" applyAlignment="1">
      <alignment horizontal="center" vertical="center" wrapText="1"/>
    </xf>
    <xf numFmtId="168" fontId="4" fillId="0" borderId="7" xfId="1" applyNumberFormat="1" applyFont="1" applyFill="1" applyBorder="1" applyAlignment="1">
      <alignment horizontal="center" vertical="center" wrapText="1"/>
    </xf>
    <xf numFmtId="168" fontId="4" fillId="0" borderId="4" xfId="1" applyNumberFormat="1" applyFont="1" applyFill="1" applyBorder="1" applyAlignment="1">
      <alignment horizontal="center" vertical="center" wrapText="1"/>
    </xf>
    <xf numFmtId="0" fontId="3" fillId="0" borderId="0" xfId="0" applyFont="1" applyAlignment="1">
      <alignment horizontal="center"/>
    </xf>
    <xf numFmtId="0" fontId="3" fillId="0" borderId="7" xfId="0" applyFont="1" applyBorder="1" applyAlignment="1">
      <alignment horizontal="center" wrapText="1"/>
    </xf>
    <xf numFmtId="0" fontId="3" fillId="0" borderId="7" xfId="0" applyFont="1" applyBorder="1" applyAlignment="1">
      <alignment horizontal="center"/>
    </xf>
    <xf numFmtId="0" fontId="2" fillId="0" borderId="7" xfId="0" applyFont="1" applyBorder="1" applyAlignment="1">
      <alignment horizontal="center" wrapText="1"/>
    </xf>
    <xf numFmtId="0" fontId="13" fillId="4" borderId="0" xfId="0" applyFont="1" applyFill="1" applyAlignment="1">
      <alignment horizontal="center"/>
    </xf>
    <xf numFmtId="0" fontId="6" fillId="4" borderId="7" xfId="0" applyFont="1" applyFill="1" applyBorder="1" applyAlignment="1">
      <alignment horizontal="center" wrapText="1"/>
    </xf>
    <xf numFmtId="169" fontId="3" fillId="0" borderId="5" xfId="2" applyNumberFormat="1" applyFont="1" applyFill="1" applyBorder="1" applyAlignment="1">
      <alignment horizontal="center"/>
    </xf>
    <xf numFmtId="169" fontId="3" fillId="0" borderId="6" xfId="2" applyNumberFormat="1" applyFont="1" applyFill="1" applyBorder="1" applyAlignment="1">
      <alignment horizontal="center"/>
    </xf>
    <xf numFmtId="169" fontId="3" fillId="0" borderId="2" xfId="2" applyNumberFormat="1" applyFont="1" applyFill="1" applyBorder="1" applyAlignment="1">
      <alignment horizontal="center"/>
    </xf>
    <xf numFmtId="0" fontId="6" fillId="4" borderId="5" xfId="0" applyFont="1" applyFill="1" applyBorder="1" applyAlignment="1">
      <alignment horizontal="center" wrapText="1"/>
    </xf>
    <xf numFmtId="0" fontId="6" fillId="4" borderId="6" xfId="0" applyFont="1" applyFill="1" applyBorder="1" applyAlignment="1">
      <alignment horizontal="center" wrapText="1"/>
    </xf>
    <xf numFmtId="0" fontId="6" fillId="4" borderId="2" xfId="0" applyFont="1" applyFill="1" applyBorder="1" applyAlignment="1">
      <alignment horizontal="center" wrapText="1"/>
    </xf>
    <xf numFmtId="0" fontId="6" fillId="4" borderId="8"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14" xfId="0" applyFont="1" applyFill="1" applyBorder="1" applyAlignment="1">
      <alignment horizontal="center" vertical="center" wrapText="1"/>
    </xf>
    <xf numFmtId="169" fontId="2" fillId="0" borderId="3" xfId="0" applyNumberFormat="1" applyFont="1" applyBorder="1" applyAlignment="1">
      <alignment horizontal="right"/>
    </xf>
    <xf numFmtId="169" fontId="2" fillId="0" borderId="7" xfId="0" applyNumberFormat="1" applyFont="1" applyBorder="1" applyAlignment="1">
      <alignment horizontal="right"/>
    </xf>
    <xf numFmtId="169" fontId="2" fillId="0" borderId="4" xfId="0" applyNumberFormat="1" applyFont="1" applyBorder="1" applyAlignment="1">
      <alignment horizontal="right"/>
    </xf>
    <xf numFmtId="0" fontId="6" fillId="4" borderId="11" xfId="0" applyFont="1" applyFill="1" applyBorder="1" applyAlignment="1">
      <alignment horizontal="center" wrapText="1"/>
    </xf>
    <xf numFmtId="0" fontId="6" fillId="4" borderId="0" xfId="0" applyFont="1" applyFill="1" applyAlignment="1">
      <alignment horizontal="center" wrapText="1"/>
    </xf>
    <xf numFmtId="0" fontId="6" fillId="4" borderId="10" xfId="0" applyFont="1" applyFill="1" applyBorder="1" applyAlignment="1">
      <alignment horizontal="center" wrapText="1"/>
    </xf>
    <xf numFmtId="0" fontId="6" fillId="4" borderId="9" xfId="0" applyFont="1" applyFill="1" applyBorder="1" applyAlignment="1">
      <alignment horizontal="center" wrapText="1"/>
    </xf>
    <xf numFmtId="0" fontId="6" fillId="4" borderId="12" xfId="0" applyFont="1" applyFill="1" applyBorder="1" applyAlignment="1">
      <alignment horizontal="center" wrapText="1"/>
    </xf>
    <xf numFmtId="0" fontId="6" fillId="4" borderId="8" xfId="0" applyFont="1" applyFill="1" applyBorder="1" applyAlignment="1">
      <alignment horizontal="center" wrapText="1"/>
    </xf>
    <xf numFmtId="0" fontId="3" fillId="0" borderId="3" xfId="0" applyFont="1" applyBorder="1" applyAlignment="1">
      <alignment horizontal="center"/>
    </xf>
    <xf numFmtId="0" fontId="6" fillId="4" borderId="3"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13" xfId="0" applyFont="1" applyFill="1" applyBorder="1" applyAlignment="1">
      <alignment horizontal="center" wrapText="1"/>
    </xf>
    <xf numFmtId="0" fontId="6" fillId="4" borderId="15" xfId="0" applyFont="1" applyFill="1" applyBorder="1" applyAlignment="1">
      <alignment horizontal="center" wrapText="1"/>
    </xf>
    <xf numFmtId="0" fontId="6" fillId="4" borderId="14" xfId="0" applyFont="1" applyFill="1" applyBorder="1" applyAlignment="1">
      <alignment horizontal="center" wrapText="1"/>
    </xf>
    <xf numFmtId="0" fontId="3" fillId="0" borderId="4" xfId="0" applyFont="1" applyBorder="1" applyAlignment="1">
      <alignment horizontal="center"/>
    </xf>
    <xf numFmtId="0" fontId="3" fillId="0" borderId="9" xfId="0" applyFont="1" applyBorder="1" applyAlignment="1">
      <alignment horizontal="center"/>
    </xf>
    <xf numFmtId="0" fontId="3" fillId="0" borderId="11" xfId="0" applyFont="1" applyBorder="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2" xfId="0" applyFont="1" applyBorder="1" applyAlignment="1">
      <alignment horizontal="center"/>
    </xf>
    <xf numFmtId="0" fontId="6" fillId="4" borderId="3" xfId="0" applyFont="1" applyFill="1" applyBorder="1" applyAlignment="1">
      <alignment horizontal="left" wrapText="1"/>
    </xf>
    <xf numFmtId="0" fontId="6" fillId="4" borderId="4" xfId="0" applyFont="1" applyFill="1" applyBorder="1" applyAlignment="1">
      <alignment horizontal="left" wrapText="1"/>
    </xf>
    <xf numFmtId="0" fontId="6" fillId="4" borderId="3" xfId="0" applyFont="1" applyFill="1" applyBorder="1" applyAlignment="1">
      <alignment horizontal="right" wrapText="1"/>
    </xf>
    <xf numFmtId="0" fontId="6" fillId="4" borderId="7" xfId="0" applyFont="1" applyFill="1" applyBorder="1" applyAlignment="1">
      <alignment horizontal="right" wrapText="1"/>
    </xf>
    <xf numFmtId="0" fontId="6" fillId="4" borderId="4" xfId="0" applyFont="1" applyFill="1" applyBorder="1" applyAlignment="1">
      <alignment horizontal="right" wrapText="1"/>
    </xf>
    <xf numFmtId="0" fontId="6" fillId="4" borderId="7" xfId="0" applyFont="1" applyFill="1" applyBorder="1" applyAlignment="1">
      <alignment horizontal="left" wrapText="1"/>
    </xf>
    <xf numFmtId="166" fontId="6" fillId="4" borderId="9" xfId="0" applyNumberFormat="1" applyFont="1" applyFill="1" applyBorder="1" applyAlignment="1">
      <alignment horizontal="center" vertical="top" wrapText="1"/>
    </xf>
    <xf numFmtId="166" fontId="6" fillId="4" borderId="13" xfId="0" applyNumberFormat="1" applyFont="1" applyFill="1" applyBorder="1" applyAlignment="1">
      <alignment horizontal="center" vertical="top" wrapText="1"/>
    </xf>
    <xf numFmtId="0" fontId="6" fillId="4" borderId="0" xfId="0" applyFont="1" applyFill="1" applyAlignment="1">
      <alignment horizontal="left" wrapText="1"/>
    </xf>
    <xf numFmtId="0" fontId="6" fillId="4" borderId="15" xfId="0" applyFont="1" applyFill="1" applyBorder="1" applyAlignment="1">
      <alignment horizontal="left" wrapText="1"/>
    </xf>
    <xf numFmtId="0" fontId="6" fillId="4" borderId="29" xfId="0" applyFont="1" applyFill="1" applyBorder="1" applyAlignment="1">
      <alignment horizontal="center" wrapText="1"/>
    </xf>
    <xf numFmtId="0" fontId="6" fillId="4" borderId="19" xfId="0" applyFont="1" applyFill="1" applyBorder="1" applyAlignment="1">
      <alignment horizontal="center" wrapText="1"/>
    </xf>
    <xf numFmtId="0" fontId="6" fillId="4" borderId="21" xfId="0" applyFont="1" applyFill="1" applyBorder="1" applyAlignment="1">
      <alignment horizontal="center" wrapText="1"/>
    </xf>
    <xf numFmtId="0" fontId="6" fillId="4" borderId="26" xfId="0" applyFont="1" applyFill="1" applyBorder="1" applyAlignment="1">
      <alignment horizontal="center" wrapText="1"/>
    </xf>
    <xf numFmtId="0" fontId="6" fillId="4" borderId="30" xfId="0" applyFont="1" applyFill="1" applyBorder="1" applyAlignment="1">
      <alignment horizontal="center" wrapText="1"/>
    </xf>
    <xf numFmtId="0" fontId="6" fillId="4" borderId="27" xfId="0" applyFont="1" applyFill="1" applyBorder="1" applyAlignment="1">
      <alignment horizontal="center" wrapText="1"/>
    </xf>
    <xf numFmtId="0" fontId="6" fillId="4" borderId="31" xfId="0" applyFont="1" applyFill="1" applyBorder="1" applyAlignment="1">
      <alignment horizontal="center" wrapText="1"/>
    </xf>
    <xf numFmtId="0" fontId="6" fillId="4" borderId="32" xfId="0" applyFont="1" applyFill="1" applyBorder="1" applyAlignment="1">
      <alignment horizontal="center" wrapText="1"/>
    </xf>
    <xf numFmtId="0" fontId="6" fillId="4" borderId="16" xfId="0" applyFont="1" applyFill="1" applyBorder="1" applyAlignment="1">
      <alignment horizontal="center" wrapText="1"/>
    </xf>
    <xf numFmtId="0" fontId="6" fillId="4" borderId="17" xfId="0" applyFont="1" applyFill="1" applyBorder="1" applyAlignment="1">
      <alignment horizontal="center" wrapText="1"/>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colors>
    <mruColors>
      <color rgb="FF1A3292"/>
      <color rgb="FF548DD4"/>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customXml" Target="../customXml/item1.xml"/><Relationship Id="rId30" Type="http://schemas.openxmlformats.org/officeDocument/2006/relationships/customXml" Target="../customXml/item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scascw005\wcds_data\Documents%20and%20Settings\NMerrill\Local%20Settings\Temporary%20Internet%20Files\Content.Outlook\FKQJ024O\Attachment%2003%20-%20Requirements%20-%202012-01-06%20RFP%20Updates%20SB.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scascw005\wcds_data\Users\Uzupis\Documents\Templates%20and%20Examples\Archive\Final%20DRAFT%20Tech%20Req%202012-01-1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docs.live.net/95d5d602197e1bdb/Documents/CalSAWS/Proposal%20Archive/Portal%20Mobile%20App/Evaluation/Final%20Scoring%20Workbooks/CalSAWS%20Portal%20Mobile%20Business%20Scoring%20Workbook%20DXC%20Maste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posal Submission"/>
      <sheetName val="Project Management &amp; Staffing"/>
      <sheetName val="MEDS"/>
      <sheetName val="Business"/>
      <sheetName val="SHOP"/>
      <sheetName val="Usability"/>
      <sheetName val="Technical"/>
      <sheetName val="Development &amp; Implementation"/>
      <sheetName val="Deliverables"/>
      <sheetName val="Operations &amp; Maintenance"/>
      <sheetName val="Costs"/>
      <sheetName val="Lookup"/>
      <sheetName val="Requirements Summary"/>
      <sheetName val="Firm"/>
      <sheetName val="Approach, SOW &amp; Deliverables"/>
      <sheetName val="Phase 1 - DD&amp;I Technical"/>
      <sheetName val="Phase 1 - DD&amp;I Functional"/>
      <sheetName val="Phase 2 - Optional Enhancements"/>
      <sheetName val="Staffing"/>
      <sheetName val="Key Staff Min Quals"/>
      <sheetName val="Scoring Definitions"/>
      <sheetName val="Firm References"/>
      <sheetName val="Key Staff Refs"/>
      <sheetName val="Key Staff Interviews"/>
      <sheetName val="Oral Presentatio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posal Submission"/>
      <sheetName val="Project Management &amp; Staffing"/>
      <sheetName val="Business"/>
      <sheetName val="SHOP"/>
      <sheetName val="Usability"/>
      <sheetName val="Technical"/>
      <sheetName val="Development &amp; Implementation"/>
      <sheetName val="Deliverables"/>
      <sheetName val="Operations &amp; Maintenance"/>
      <sheetName val="Costs"/>
      <sheetName val="Lookup"/>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irements Summary"/>
      <sheetName val="Proposal Submission"/>
      <sheetName val="Firm"/>
      <sheetName val="Approach, SOW &amp; Deliverables"/>
      <sheetName val="Phase 1 - DD&amp;I Technical"/>
      <sheetName val="Phase 1 - DD&amp;I Functional"/>
      <sheetName val="Phase 2 - Optional Enhancements"/>
      <sheetName val="Staffing"/>
      <sheetName val="Key Staff Min Quals"/>
      <sheetName val="Scoring Defintions"/>
      <sheetName val="Firm References"/>
      <sheetName val="Firm Quals"/>
      <sheetName val="Key Staff Refs"/>
      <sheetName val="Key Staff Interviews"/>
      <sheetName val="Oral Presentations"/>
      <sheetName val="Quality Comments"/>
      <sheetName val="Looku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E13"/>
  <sheetViews>
    <sheetView workbookViewId="0">
      <pane xSplit="2" ySplit="2" topLeftCell="C3" activePane="bottomRight" state="frozen"/>
      <selection pane="topRight" activeCell="C1" sqref="C1"/>
      <selection pane="bottomLeft" activeCell="A3" sqref="A3"/>
      <selection pane="bottomRight" activeCell="D24" sqref="D24"/>
    </sheetView>
  </sheetViews>
  <sheetFormatPr defaultColWidth="9.140625" defaultRowHeight="16.5" x14ac:dyDescent="0.3"/>
  <cols>
    <col min="1" max="1" width="18.7109375" style="1" customWidth="1"/>
    <col min="2" max="2" width="2.7109375" style="1" customWidth="1"/>
    <col min="3" max="3" width="51.85546875" style="1" customWidth="1"/>
    <col min="4" max="16384" width="9.140625" style="1"/>
  </cols>
  <sheetData>
    <row r="2" spans="1:5" ht="20.100000000000001" customHeight="1" x14ac:dyDescent="0.3">
      <c r="A2" s="64" t="s">
        <v>0</v>
      </c>
      <c r="B2" s="64"/>
      <c r="C2" s="183" t="s">
        <v>1</v>
      </c>
      <c r="D2" s="184"/>
      <c r="E2" s="61"/>
    </row>
    <row r="3" spans="1:5" x14ac:dyDescent="0.3">
      <c r="A3" s="2" t="s">
        <v>2</v>
      </c>
      <c r="B3" s="57"/>
      <c r="C3" s="2" t="s">
        <v>3</v>
      </c>
      <c r="D3" s="3">
        <v>0.05</v>
      </c>
    </row>
    <row r="4" spans="1:5" x14ac:dyDescent="0.3">
      <c r="A4" s="2" t="s">
        <v>4</v>
      </c>
      <c r="B4" s="58"/>
      <c r="C4" s="2" t="s">
        <v>5</v>
      </c>
      <c r="D4" s="3">
        <v>0.05</v>
      </c>
    </row>
    <row r="5" spans="1:5" x14ac:dyDescent="0.3">
      <c r="A5" s="2" t="s">
        <v>6</v>
      </c>
      <c r="B5" s="58"/>
      <c r="C5" s="2" t="s">
        <v>7</v>
      </c>
      <c r="D5" s="3">
        <v>0.1</v>
      </c>
    </row>
    <row r="6" spans="1:5" x14ac:dyDescent="0.3">
      <c r="A6" s="2" t="s">
        <v>8</v>
      </c>
      <c r="B6" s="59"/>
      <c r="C6" s="73" t="s">
        <v>9</v>
      </c>
      <c r="D6" s="3">
        <v>0.5</v>
      </c>
    </row>
    <row r="7" spans="1:5" x14ac:dyDescent="0.3">
      <c r="A7" s="2" t="s">
        <v>10</v>
      </c>
      <c r="B7" s="48"/>
      <c r="C7" s="48"/>
      <c r="D7" s="49"/>
    </row>
    <row r="8" spans="1:5" x14ac:dyDescent="0.3">
      <c r="A8" s="2"/>
      <c r="B8" s="48"/>
      <c r="C8" s="48"/>
      <c r="D8" s="49"/>
    </row>
    <row r="9" spans="1:5" x14ac:dyDescent="0.3">
      <c r="A9" s="88"/>
      <c r="B9" s="2"/>
      <c r="C9" s="4" t="s">
        <v>11</v>
      </c>
      <c r="D9" s="3">
        <f>SUM(D3:D7)</f>
        <v>0.7</v>
      </c>
    </row>
    <row r="10" spans="1:5" ht="6.95" customHeight="1" x14ac:dyDescent="0.3">
      <c r="A10" s="2"/>
      <c r="B10" s="48"/>
      <c r="C10" s="48"/>
      <c r="D10" s="49"/>
    </row>
    <row r="11" spans="1:5" x14ac:dyDescent="0.3">
      <c r="A11" s="47"/>
      <c r="B11" s="2"/>
      <c r="C11" s="4" t="s">
        <v>12</v>
      </c>
      <c r="D11" s="3">
        <v>0.3</v>
      </c>
    </row>
    <row r="12" spans="1:5" ht="6.95" customHeight="1" x14ac:dyDescent="0.3">
      <c r="A12" s="2"/>
      <c r="B12" s="162"/>
      <c r="C12" s="162"/>
      <c r="D12" s="172"/>
    </row>
    <row r="13" spans="1:5" x14ac:dyDescent="0.3">
      <c r="A13" s="171"/>
      <c r="B13" s="5"/>
      <c r="C13" s="6" t="s">
        <v>13</v>
      </c>
      <c r="D13" s="7">
        <f>SUM(D9:D12)</f>
        <v>1</v>
      </c>
    </row>
  </sheetData>
  <mergeCells count="1">
    <mergeCell ref="C2:D2"/>
  </mergeCells>
  <phoneticPr fontId="11" type="noConversion"/>
  <pageMargins left="0.7" right="0.7" top="0.75" bottom="0.75" header="0.3" footer="0.3"/>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3"/>
  <sheetViews>
    <sheetView workbookViewId="0">
      <pane xSplit="1" ySplit="3" topLeftCell="B4" activePane="bottomRight" state="frozen"/>
      <selection pane="topRight" activeCell="B1" sqref="B1"/>
      <selection pane="bottomLeft" activeCell="A5" sqref="A5"/>
      <selection pane="bottomRight" activeCell="C24" sqref="C24"/>
    </sheetView>
  </sheetViews>
  <sheetFormatPr defaultColWidth="9.140625" defaultRowHeight="16.5" x14ac:dyDescent="0.3"/>
  <cols>
    <col min="1" max="1" width="18.7109375" style="1" customWidth="1"/>
    <col min="2" max="4" width="15.7109375" style="1" customWidth="1"/>
    <col min="5" max="5" width="16.7109375" style="1" customWidth="1"/>
    <col min="6" max="6" width="15.7109375" style="1" customWidth="1"/>
    <col min="7" max="7" width="2" style="1" customWidth="1"/>
    <col min="8" max="8" width="15.7109375" style="1" customWidth="1"/>
    <col min="9" max="9" width="2" style="1" customWidth="1"/>
    <col min="10" max="10" width="15.7109375" style="1" customWidth="1"/>
    <col min="11" max="16384" width="9.140625" style="1"/>
  </cols>
  <sheetData>
    <row r="1" spans="1:10" s="13" customFormat="1" ht="20.100000000000001" customHeight="1" x14ac:dyDescent="0.2">
      <c r="A1" s="183" t="s">
        <v>94</v>
      </c>
      <c r="B1" s="184"/>
      <c r="C1" s="97"/>
      <c r="D1" s="183" t="s">
        <v>95</v>
      </c>
      <c r="E1" s="184"/>
      <c r="F1" s="97">
        <v>70</v>
      </c>
      <c r="G1" s="97"/>
      <c r="H1" s="183"/>
      <c r="I1" s="208"/>
      <c r="J1" s="184"/>
    </row>
    <row r="2" spans="1:10" s="10" customFormat="1" ht="16.5" customHeight="1" x14ac:dyDescent="0.3">
      <c r="A2" s="166"/>
      <c r="B2" s="65">
        <f>' Master'!D3</f>
        <v>0.05</v>
      </c>
      <c r="C2" s="65">
        <f>' Master'!D4</f>
        <v>0.05</v>
      </c>
      <c r="D2" s="65">
        <f>' Master'!D5</f>
        <v>0.1</v>
      </c>
      <c r="E2" s="65">
        <f>' Master'!D6</f>
        <v>0.5</v>
      </c>
      <c r="F2" s="212" t="s">
        <v>96</v>
      </c>
      <c r="G2" s="212"/>
      <c r="H2" s="212" t="s">
        <v>97</v>
      </c>
      <c r="I2" s="212"/>
      <c r="J2" s="212" t="s">
        <v>28</v>
      </c>
    </row>
    <row r="3" spans="1:10" s="13" customFormat="1" ht="57" x14ac:dyDescent="0.2">
      <c r="A3" s="168" t="s">
        <v>49</v>
      </c>
      <c r="B3" s="168" t="str">
        <f>' Master'!C3</f>
        <v>Staff Qualifications and Experience</v>
      </c>
      <c r="C3" s="168" t="str">
        <f>' Master'!C4</f>
        <v>Oral Presentations</v>
      </c>
      <c r="D3" s="168" t="str">
        <f>' Master'!C5</f>
        <v>Key Staff Interviews</v>
      </c>
      <c r="E3" s="168" t="str">
        <f>' Master'!C6</f>
        <v>Understanding and Approach</v>
      </c>
      <c r="F3" s="214"/>
      <c r="G3" s="214"/>
      <c r="H3" s="214"/>
      <c r="I3" s="214"/>
      <c r="J3" s="214"/>
    </row>
    <row r="4" spans="1:10" x14ac:dyDescent="0.3">
      <c r="A4" s="5" t="str">
        <f>'Summary Total'!A3</f>
        <v>Accenture</v>
      </c>
      <c r="B4" s="9">
        <f>'Staff Quals-Exp'!D3</f>
        <v>4.2371499999999997</v>
      </c>
      <c r="C4" s="9">
        <f>'Oral Presentations'!D3</f>
        <v>3.5000000000000004</v>
      </c>
      <c r="D4" s="9">
        <f>'Key Staff Interviews'!D3</f>
        <v>8.5</v>
      </c>
      <c r="E4" s="9">
        <f>'Understanding &amp; Approach'!M4</f>
        <v>38.854166666666664</v>
      </c>
      <c r="F4" s="18">
        <f>SUM(B4:E4)</f>
        <v>55.091316666666664</v>
      </c>
      <c r="G4" s="237"/>
      <c r="H4" s="9">
        <f>F4/$F$11*$F$1</f>
        <v>66.977270539843673</v>
      </c>
      <c r="I4" s="237"/>
      <c r="J4" s="17">
        <f>_xlfn.RANK.AVG(H4,$H$4:$H$8)</f>
        <v>3</v>
      </c>
    </row>
    <row r="5" spans="1:10" x14ac:dyDescent="0.3">
      <c r="A5" s="5" t="str">
        <f>'Summary Total'!A4</f>
        <v>Deloitte</v>
      </c>
      <c r="B5" s="9">
        <f>'Staff Quals-Exp'!D4</f>
        <v>4.4140312499999999</v>
      </c>
      <c r="C5" s="9">
        <f>'Oral Presentations'!D4</f>
        <v>3.0000000000000004</v>
      </c>
      <c r="D5" s="9">
        <f>'Key Staff Interviews'!D4</f>
        <v>8</v>
      </c>
      <c r="E5" s="9">
        <f>'Understanding &amp; Approach'!M5</f>
        <v>41.875</v>
      </c>
      <c r="F5" s="18">
        <f>SUM(B5:E5)</f>
        <v>57.289031250000001</v>
      </c>
      <c r="G5" s="238"/>
      <c r="H5" s="9">
        <f>F5/$F$11*$F$1</f>
        <v>69.649142136376753</v>
      </c>
      <c r="I5" s="238"/>
      <c r="J5" s="17">
        <f>_xlfn.RANK.AVG(H5,$H$4:$H$8)</f>
        <v>2</v>
      </c>
    </row>
    <row r="6" spans="1:10" x14ac:dyDescent="0.3">
      <c r="A6" s="5" t="str">
        <f>'Summary Total'!A5</f>
        <v>Gainwell</v>
      </c>
      <c r="B6" s="9">
        <f>'Staff Quals-Exp'!D5</f>
        <v>3.9317916666666672</v>
      </c>
      <c r="C6" s="9">
        <f>'Oral Presentations'!D5</f>
        <v>4</v>
      </c>
      <c r="D6" s="9">
        <f>'Key Staff Interviews'!D5</f>
        <v>7.2500000000000009</v>
      </c>
      <c r="E6" s="9">
        <f>'Understanding &amp; Approach'!M6</f>
        <v>42.395833333333336</v>
      </c>
      <c r="F6" s="19">
        <f>SUM(B6:E6)</f>
        <v>57.577625000000005</v>
      </c>
      <c r="G6" s="238"/>
      <c r="H6" s="9">
        <f>F6/$F$11*$F$1</f>
        <v>70</v>
      </c>
      <c r="I6" s="238"/>
      <c r="J6" s="17">
        <f>_xlfn.RANK.AVG(H6,$H$4:$H$8)</f>
        <v>1</v>
      </c>
    </row>
    <row r="7" spans="1:10" x14ac:dyDescent="0.3">
      <c r="A7" s="5" t="str">
        <f>'Summary Total'!A6</f>
        <v>Kyndryl</v>
      </c>
      <c r="B7" s="9">
        <f>'Staff Quals-Exp'!D6</f>
        <v>2.6183666666666667</v>
      </c>
      <c r="C7" s="9">
        <f>'Oral Presentations'!D6</f>
        <v>4</v>
      </c>
      <c r="D7" s="9">
        <f>'Key Staff Interviews'!D6</f>
        <v>6.3750000000000009</v>
      </c>
      <c r="E7" s="9">
        <f>'Understanding &amp; Approach'!M7</f>
        <v>31.354166666666668</v>
      </c>
      <c r="F7" s="19">
        <f>SUM(B7:E7)</f>
        <v>44.347533333333331</v>
      </c>
      <c r="G7" s="238"/>
      <c r="H7" s="9">
        <f>F7/$F$11*$F$1</f>
        <v>53.915515503345837</v>
      </c>
      <c r="I7" s="238"/>
      <c r="J7" s="17">
        <f>_xlfn.RANK.AVG(H7,$H$4:$H$8)</f>
        <v>5</v>
      </c>
    </row>
    <row r="8" spans="1:10" x14ac:dyDescent="0.3">
      <c r="A8" s="5" t="str">
        <f>'Summary Total'!A7</f>
        <v>Peraton</v>
      </c>
      <c r="B8" s="9">
        <f>'Staff Quals-Exp'!D7</f>
        <v>3.7485416666666667</v>
      </c>
      <c r="C8" s="9">
        <f>'Oral Presentations'!D7</f>
        <v>3.0000000000000004</v>
      </c>
      <c r="D8" s="9">
        <f>'Key Staff Interviews'!D7</f>
        <v>6.3750000000000009</v>
      </c>
      <c r="E8" s="9">
        <f>'Understanding &amp; Approach'!M8</f>
        <v>36.875</v>
      </c>
      <c r="F8" s="18">
        <f>SUM(B8:E8)</f>
        <v>49.998541666666668</v>
      </c>
      <c r="G8" s="239"/>
      <c r="H8" s="9">
        <f>F8/$F$11*$F$1</f>
        <v>60.785729120759434</v>
      </c>
      <c r="I8" s="238"/>
      <c r="J8" s="17">
        <f>_xlfn.RANK.AVG(H8,$H$4:$H$8)</f>
        <v>4</v>
      </c>
    </row>
    <row r="9" spans="1:10" ht="16.5" customHeight="1" x14ac:dyDescent="0.3">
      <c r="A9" s="235"/>
      <c r="B9" s="236"/>
      <c r="C9" s="236"/>
      <c r="D9" s="236"/>
      <c r="E9" s="236"/>
      <c r="F9" s="236"/>
      <c r="G9" s="236"/>
      <c r="H9" s="236"/>
    </row>
    <row r="10" spans="1:10" ht="16.5" hidden="1" customHeight="1" x14ac:dyDescent="0.3">
      <c r="A10" s="26"/>
      <c r="B10" s="85"/>
      <c r="C10" s="85"/>
      <c r="D10" s="85"/>
      <c r="E10" s="85"/>
      <c r="F10" s="85"/>
      <c r="G10" s="10"/>
      <c r="H10" s="10"/>
    </row>
    <row r="11" spans="1:10" hidden="1" x14ac:dyDescent="0.3">
      <c r="A11" s="227"/>
      <c r="B11" s="205"/>
      <c r="C11" s="234"/>
      <c r="D11" s="5"/>
      <c r="E11" s="20" t="s">
        <v>98</v>
      </c>
      <c r="F11" s="21">
        <f>MAX(F4:F8)</f>
        <v>57.577625000000005</v>
      </c>
      <c r="G11" s="117"/>
      <c r="H11" s="10"/>
    </row>
    <row r="12" spans="1:10" hidden="1" x14ac:dyDescent="0.3">
      <c r="D12" s="79"/>
      <c r="E12" s="20" t="s">
        <v>99</v>
      </c>
      <c r="F12" s="21">
        <f>MIN(F4:F8)</f>
        <v>44.347533333333331</v>
      </c>
    </row>
    <row r="13" spans="1:10" hidden="1" x14ac:dyDescent="0.3">
      <c r="E13" s="150"/>
      <c r="F13" s="151"/>
    </row>
  </sheetData>
  <mergeCells count="12">
    <mergeCell ref="A11:C11"/>
    <mergeCell ref="A9:H9"/>
    <mergeCell ref="I2:I3"/>
    <mergeCell ref="J2:J3"/>
    <mergeCell ref="I4:I8"/>
    <mergeCell ref="G4:G8"/>
    <mergeCell ref="D1:E1"/>
    <mergeCell ref="A1:B1"/>
    <mergeCell ref="F2:F3"/>
    <mergeCell ref="H2:H3"/>
    <mergeCell ref="G2:G3"/>
    <mergeCell ref="H1:J1"/>
  </mergeCells>
  <pageMargins left="0.7" right="0.7" top="0.75" bottom="0.75" header="0.3" footer="0.3"/>
  <pageSetup scale="91"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11"/>
  <sheetViews>
    <sheetView zoomScale="95" zoomScaleNormal="95" workbookViewId="0">
      <pane xSplit="1" ySplit="2" topLeftCell="B3" activePane="bottomRight" state="frozen"/>
      <selection pane="topRight" activeCell="B1" sqref="B1"/>
      <selection pane="bottomLeft" activeCell="A4" sqref="A4"/>
      <selection pane="bottomRight" activeCell="O7" sqref="A1:O7"/>
    </sheetView>
  </sheetViews>
  <sheetFormatPr defaultColWidth="9.140625" defaultRowHeight="16.5" x14ac:dyDescent="0.3"/>
  <cols>
    <col min="1" max="1" width="16.7109375" style="1" customWidth="1"/>
    <col min="2" max="2" width="14.7109375" style="10" customWidth="1"/>
    <col min="3" max="3" width="14.7109375" style="1" customWidth="1"/>
    <col min="4" max="4" width="14.140625" style="1" customWidth="1"/>
    <col min="5" max="5" width="2" style="1" customWidth="1"/>
    <col min="6" max="13" width="14.7109375" style="1" customWidth="1"/>
    <col min="14" max="15" width="15.28515625" style="1" customWidth="1"/>
    <col min="16" max="18" width="9.140625" style="1" customWidth="1"/>
    <col min="19" max="16384" width="9.140625" style="1"/>
  </cols>
  <sheetData>
    <row r="1" spans="1:18" s="13" customFormat="1" ht="30" customHeight="1" x14ac:dyDescent="0.2">
      <c r="A1" s="240" t="str">
        <f>' Master'!C3</f>
        <v>Staff Qualifications and Experience</v>
      </c>
      <c r="B1" s="241"/>
      <c r="C1" s="97" t="s">
        <v>57</v>
      </c>
      <c r="D1" s="66">
        <f>' Master'!D3</f>
        <v>0.05</v>
      </c>
      <c r="E1" s="75"/>
      <c r="F1" s="75"/>
      <c r="G1" s="75"/>
      <c r="H1" s="75"/>
      <c r="I1" s="75"/>
      <c r="J1" s="75"/>
      <c r="K1" s="75"/>
      <c r="L1" s="75"/>
      <c r="M1" s="75"/>
      <c r="N1" s="75"/>
      <c r="O1" s="75"/>
      <c r="R1" s="99"/>
    </row>
    <row r="2" spans="1:18" s="14" customFormat="1" ht="71.25" x14ac:dyDescent="0.2">
      <c r="A2" s="97" t="s">
        <v>49</v>
      </c>
      <c r="B2" s="97" t="s">
        <v>100</v>
      </c>
      <c r="C2" s="97" t="s">
        <v>101</v>
      </c>
      <c r="D2" s="97" t="s">
        <v>102</v>
      </c>
      <c r="E2" s="166"/>
      <c r="F2" s="166" t="s">
        <v>103</v>
      </c>
      <c r="G2" s="166" t="s">
        <v>104</v>
      </c>
      <c r="H2" s="166" t="s">
        <v>105</v>
      </c>
      <c r="I2" s="166" t="s">
        <v>106</v>
      </c>
      <c r="J2" s="166" t="s">
        <v>107</v>
      </c>
      <c r="K2" s="166" t="s">
        <v>108</v>
      </c>
      <c r="L2" s="166" t="s">
        <v>109</v>
      </c>
      <c r="M2" s="166" t="s">
        <v>110</v>
      </c>
      <c r="N2" s="97" t="s">
        <v>111</v>
      </c>
      <c r="O2" s="97" t="s">
        <v>112</v>
      </c>
      <c r="R2" s="22"/>
    </row>
    <row r="3" spans="1:18" x14ac:dyDescent="0.3">
      <c r="A3" s="5" t="str">
        <f>'Summary Total'!A3</f>
        <v>Accenture</v>
      </c>
      <c r="B3" s="17">
        <f>_xlfn.RANK.AVG(D3,$D$3:$D$8)</f>
        <v>2</v>
      </c>
      <c r="C3" s="27">
        <f>N3*O3</f>
        <v>25.422899999999998</v>
      </c>
      <c r="D3" s="27">
        <f>C3/30*$D$1*100</f>
        <v>4.2371499999999997</v>
      </c>
      <c r="E3" s="238"/>
      <c r="F3" s="107">
        <v>2.8</v>
      </c>
      <c r="G3" s="107">
        <v>2.67</v>
      </c>
      <c r="H3" s="107">
        <v>3</v>
      </c>
      <c r="I3" s="107">
        <v>2</v>
      </c>
      <c r="J3" s="107">
        <v>3</v>
      </c>
      <c r="K3" s="107">
        <v>2</v>
      </c>
      <c r="L3" s="107">
        <v>2.75</v>
      </c>
      <c r="M3" s="107">
        <v>2.2000000000000002</v>
      </c>
      <c r="N3" s="96">
        <f>AVERAGE(F3:M3)</f>
        <v>2.5524999999999998</v>
      </c>
      <c r="O3" s="17">
        <v>9.9600000000000009</v>
      </c>
      <c r="P3" s="24"/>
      <c r="R3" s="25"/>
    </row>
    <row r="4" spans="1:18" x14ac:dyDescent="0.3">
      <c r="A4" s="5" t="str">
        <f>'Summary Total'!A4</f>
        <v>Deloitte</v>
      </c>
      <c r="B4" s="17">
        <f>_xlfn.RANK.AVG(D4,$D$3:$D$8)</f>
        <v>1</v>
      </c>
      <c r="C4" s="27">
        <f>N4*O4</f>
        <v>26.484187499999997</v>
      </c>
      <c r="D4" s="27">
        <f>C4/30*$D$1*100</f>
        <v>4.4140312499999999</v>
      </c>
      <c r="E4" s="238"/>
      <c r="F4" s="107">
        <v>2.2000000000000002</v>
      </c>
      <c r="G4" s="107">
        <v>2.33</v>
      </c>
      <c r="H4" s="107">
        <v>3</v>
      </c>
      <c r="I4" s="107">
        <v>3</v>
      </c>
      <c r="J4" s="107">
        <v>3</v>
      </c>
      <c r="K4" s="107">
        <v>2.83</v>
      </c>
      <c r="L4" s="107">
        <v>2.75</v>
      </c>
      <c r="M4" s="107">
        <v>2.4</v>
      </c>
      <c r="N4" s="96">
        <f>AVERAGE(F4:M4)</f>
        <v>2.6887499999999998</v>
      </c>
      <c r="O4" s="17">
        <v>9.85</v>
      </c>
      <c r="P4" s="24"/>
      <c r="R4" s="25"/>
    </row>
    <row r="5" spans="1:18" x14ac:dyDescent="0.3">
      <c r="A5" s="5" t="str">
        <f>'Summary Total'!A5</f>
        <v>Gainwell</v>
      </c>
      <c r="B5" s="17">
        <f>_xlfn.RANK.AVG(D5,$D$3:$D$8)</f>
        <v>3</v>
      </c>
      <c r="C5" s="27">
        <f>N5*O5</f>
        <v>23.59075</v>
      </c>
      <c r="D5" s="27">
        <f>C5/30*$D$1*100</f>
        <v>3.9317916666666672</v>
      </c>
      <c r="E5" s="238"/>
      <c r="F5" s="107">
        <v>2.2000000000000002</v>
      </c>
      <c r="G5" s="107">
        <v>2.33</v>
      </c>
      <c r="H5" s="107">
        <v>2.75</v>
      </c>
      <c r="I5" s="107">
        <v>3</v>
      </c>
      <c r="J5" s="107">
        <v>2</v>
      </c>
      <c r="K5" s="107">
        <v>2.83</v>
      </c>
      <c r="L5" s="107">
        <v>2.25</v>
      </c>
      <c r="M5" s="107">
        <v>1.8</v>
      </c>
      <c r="N5" s="96">
        <f>AVERAGE(F5:M5)</f>
        <v>2.395</v>
      </c>
      <c r="O5" s="17">
        <v>9.85</v>
      </c>
      <c r="P5" s="24"/>
      <c r="R5" s="25"/>
    </row>
    <row r="6" spans="1:18" x14ac:dyDescent="0.3">
      <c r="A6" s="5" t="str">
        <f>'Summary Total'!A6</f>
        <v>Kyndryl</v>
      </c>
      <c r="B6" s="17">
        <f>_xlfn.RANK.AVG(D6,$D$3:$D$8)</f>
        <v>5</v>
      </c>
      <c r="C6" s="27">
        <f>N6*O6</f>
        <v>15.7102</v>
      </c>
      <c r="D6" s="27">
        <f>C6/30*$D$1*100</f>
        <v>2.6183666666666667</v>
      </c>
      <c r="E6" s="238"/>
      <c r="F6" s="107">
        <v>1.8</v>
      </c>
      <c r="G6" s="107">
        <v>2</v>
      </c>
      <c r="H6" s="107">
        <v>1.25</v>
      </c>
      <c r="I6" s="107">
        <v>2</v>
      </c>
      <c r="J6" s="107">
        <v>3</v>
      </c>
      <c r="K6" s="107">
        <v>2.83</v>
      </c>
      <c r="L6" s="107">
        <v>2</v>
      </c>
      <c r="M6" s="107">
        <v>1.4</v>
      </c>
      <c r="N6" s="96">
        <f>AVERAGE(F6:M6)</f>
        <v>2.0350000000000001</v>
      </c>
      <c r="O6" s="17">
        <v>7.72</v>
      </c>
      <c r="P6" s="24"/>
      <c r="R6" s="25"/>
    </row>
    <row r="7" spans="1:18" x14ac:dyDescent="0.3">
      <c r="A7" s="51" t="str">
        <f>'Summary Total'!A7</f>
        <v>Peraton</v>
      </c>
      <c r="B7" s="17">
        <f>_xlfn.RANK.AVG(D7,$D$3:$D$8)</f>
        <v>4</v>
      </c>
      <c r="C7" s="27">
        <f>N7*O7</f>
        <v>22.491250000000001</v>
      </c>
      <c r="D7" s="27">
        <f>C7/30*$D$1*100</f>
        <v>3.7485416666666667</v>
      </c>
      <c r="E7" s="238"/>
      <c r="F7" s="107">
        <v>2.8</v>
      </c>
      <c r="G7" s="107">
        <v>2</v>
      </c>
      <c r="H7" s="107">
        <v>3</v>
      </c>
      <c r="I7" s="107">
        <v>2</v>
      </c>
      <c r="J7" s="107">
        <v>2.25</v>
      </c>
      <c r="K7" s="107">
        <v>2</v>
      </c>
      <c r="L7" s="107">
        <v>2.75</v>
      </c>
      <c r="M7" s="107">
        <v>2.2000000000000002</v>
      </c>
      <c r="N7" s="27">
        <f>AVERAGE(F7:M7)</f>
        <v>2.375</v>
      </c>
      <c r="O7" s="9">
        <v>9.4700000000000006</v>
      </c>
      <c r="P7" s="24"/>
      <c r="R7" s="25"/>
    </row>
    <row r="8" spans="1:18" hidden="1" x14ac:dyDescent="0.3">
      <c r="A8" s="5"/>
      <c r="B8" s="17"/>
      <c r="C8" s="50"/>
      <c r="D8" s="27"/>
      <c r="E8" s="10"/>
      <c r="F8" s="17"/>
      <c r="G8" s="17"/>
      <c r="H8" s="17"/>
      <c r="I8" s="17"/>
      <c r="J8" s="17"/>
      <c r="K8" s="17"/>
      <c r="L8" s="17"/>
      <c r="M8" s="17"/>
      <c r="N8" s="27"/>
      <c r="O8" s="17"/>
      <c r="P8" s="24"/>
      <c r="R8" s="25"/>
    </row>
    <row r="9" spans="1:18" x14ac:dyDescent="0.3">
      <c r="P9" s="24"/>
    </row>
    <row r="10" spans="1:18" x14ac:dyDescent="0.3">
      <c r="P10" s="24"/>
    </row>
    <row r="11" spans="1:18" x14ac:dyDescent="0.3">
      <c r="P11" s="24"/>
    </row>
  </sheetData>
  <mergeCells count="2">
    <mergeCell ref="E3:E7"/>
    <mergeCell ref="A1:B1"/>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6A004-5EDB-4A5D-8802-40B86E4844A6}">
  <sheetPr>
    <pageSetUpPr fitToPage="1"/>
  </sheetPr>
  <dimension ref="A1:L14"/>
  <sheetViews>
    <sheetView workbookViewId="0">
      <pane xSplit="1" ySplit="3" topLeftCell="B4" activePane="bottomRight" state="frozen"/>
      <selection pane="topRight" activeCell="B1" sqref="B1"/>
      <selection pane="bottomLeft" activeCell="A5" sqref="A5"/>
      <selection pane="bottomRight" activeCell="F16" sqref="F16"/>
    </sheetView>
  </sheetViews>
  <sheetFormatPr defaultColWidth="9.140625" defaultRowHeight="16.5" x14ac:dyDescent="0.3"/>
  <cols>
    <col min="1" max="1" width="18.7109375" style="1" customWidth="1"/>
    <col min="2" max="12" width="15" style="1" customWidth="1"/>
    <col min="13" max="16384" width="9.140625" style="1"/>
  </cols>
  <sheetData>
    <row r="1" spans="1:12" s="13" customFormat="1" ht="20.100000000000001" customHeight="1" x14ac:dyDescent="0.2">
      <c r="A1" s="240" t="s">
        <v>94</v>
      </c>
      <c r="B1" s="245"/>
      <c r="C1" s="241"/>
      <c r="D1" s="242" t="s">
        <v>95</v>
      </c>
      <c r="E1" s="243"/>
      <c r="F1" s="243"/>
      <c r="G1" s="243"/>
      <c r="H1" s="243"/>
      <c r="I1" s="244"/>
      <c r="J1" s="240">
        <v>70</v>
      </c>
      <c r="K1" s="245"/>
      <c r="L1" s="245"/>
    </row>
    <row r="2" spans="1:12" s="10" customFormat="1" ht="16.5" customHeight="1" x14ac:dyDescent="0.3">
      <c r="A2" s="166"/>
      <c r="B2" s="246">
        <f>' Master'!D3</f>
        <v>0.05</v>
      </c>
      <c r="C2" s="247"/>
      <c r="D2" s="65">
        <f>' Master'!D4</f>
        <v>0.05</v>
      </c>
      <c r="E2" s="246">
        <f>' Master'!D5</f>
        <v>0.1</v>
      </c>
      <c r="F2" s="247"/>
      <c r="G2" s="246">
        <f>' Master'!D6</f>
        <v>0.5</v>
      </c>
      <c r="H2" s="247"/>
      <c r="I2" s="246"/>
      <c r="J2" s="247"/>
      <c r="K2" s="224"/>
      <c r="L2" s="231"/>
    </row>
    <row r="3" spans="1:12" s="13" customFormat="1" ht="31.5" customHeight="1" x14ac:dyDescent="0.2">
      <c r="A3" s="168" t="s">
        <v>49</v>
      </c>
      <c r="B3" s="226" t="str">
        <f>' Master'!C3</f>
        <v>Staff Qualifications and Experience</v>
      </c>
      <c r="C3" s="233"/>
      <c r="D3" s="168" t="str">
        <f>' Master'!C4</f>
        <v>Oral Presentations</v>
      </c>
      <c r="E3" s="226" t="str">
        <f>' Master'!C5</f>
        <v>Key Staff Interviews</v>
      </c>
      <c r="F3" s="233"/>
      <c r="G3" s="226" t="str">
        <f>' Master'!C6</f>
        <v>Understanding and Approach</v>
      </c>
      <c r="H3" s="233"/>
      <c r="I3" s="225" t="s">
        <v>166</v>
      </c>
      <c r="J3" s="232"/>
      <c r="K3" s="225" t="s">
        <v>97</v>
      </c>
      <c r="L3" s="232"/>
    </row>
    <row r="4" spans="1:12" s="182" customFormat="1" ht="14.25" x14ac:dyDescent="0.2">
      <c r="A4" s="181"/>
      <c r="B4" s="181" t="s">
        <v>163</v>
      </c>
      <c r="C4" s="181" t="s">
        <v>164</v>
      </c>
      <c r="D4" s="181" t="s">
        <v>163</v>
      </c>
      <c r="E4" s="181" t="s">
        <v>163</v>
      </c>
      <c r="F4" s="181" t="s">
        <v>164</v>
      </c>
      <c r="G4" s="181" t="s">
        <v>163</v>
      </c>
      <c r="H4" s="181" t="s">
        <v>165</v>
      </c>
      <c r="I4" s="181" t="s">
        <v>163</v>
      </c>
      <c r="J4" s="181" t="s">
        <v>165</v>
      </c>
      <c r="K4" s="181" t="s">
        <v>163</v>
      </c>
      <c r="L4" s="181" t="s">
        <v>165</v>
      </c>
    </row>
    <row r="5" spans="1:12" x14ac:dyDescent="0.3">
      <c r="A5" s="5" t="str">
        <f>'Summary Total'!A3</f>
        <v>Accenture</v>
      </c>
      <c r="B5" s="9">
        <v>4.62</v>
      </c>
      <c r="C5" s="9">
        <f>'Staff Quals-Exp'!D3</f>
        <v>4.2371499999999997</v>
      </c>
      <c r="D5" s="9">
        <f>'Oral Presentations'!D3</f>
        <v>3.5000000000000004</v>
      </c>
      <c r="E5" s="9">
        <v>6.88</v>
      </c>
      <c r="F5" s="9">
        <f>'Key Staff Interviews'!D3</f>
        <v>8.5</v>
      </c>
      <c r="G5" s="9">
        <v>32.6</v>
      </c>
      <c r="H5" s="9">
        <f>'Understanding &amp; Approach'!M4</f>
        <v>38.854166666666664</v>
      </c>
      <c r="I5" s="9">
        <v>47.6</v>
      </c>
      <c r="J5" s="180">
        <f>C5+D5+F5+H5</f>
        <v>55.091316666666664</v>
      </c>
      <c r="K5" s="17">
        <v>62.16</v>
      </c>
      <c r="L5" s="9">
        <f>J5/$J$12*$J$1</f>
        <v>66.977270539843673</v>
      </c>
    </row>
    <row r="6" spans="1:12" x14ac:dyDescent="0.3">
      <c r="A6" s="5" t="str">
        <f>'Summary Total'!A4</f>
        <v>Deloitte</v>
      </c>
      <c r="B6" s="9">
        <v>4.5</v>
      </c>
      <c r="C6" s="9">
        <f>'Staff Quals-Exp'!D4</f>
        <v>4.4140312499999999</v>
      </c>
      <c r="D6" s="9">
        <f>'Oral Presentations'!D4</f>
        <v>3.0000000000000004</v>
      </c>
      <c r="E6" s="9">
        <v>6</v>
      </c>
      <c r="F6" s="9">
        <f>'Key Staff Interviews'!D4</f>
        <v>8</v>
      </c>
      <c r="G6" s="9">
        <v>40.1</v>
      </c>
      <c r="H6" s="9">
        <f>'Understanding &amp; Approach'!M5</f>
        <v>41.875</v>
      </c>
      <c r="I6" s="9">
        <v>53.6</v>
      </c>
      <c r="J6" s="180">
        <f t="shared" ref="J6:J9" si="0">C6+D6+F6+H6</f>
        <v>57.289031250000001</v>
      </c>
      <c r="K6" s="9">
        <v>70</v>
      </c>
      <c r="L6" s="9">
        <f>J6/$J$12*$J$1</f>
        <v>69.649142136376753</v>
      </c>
    </row>
    <row r="7" spans="1:12" x14ac:dyDescent="0.3">
      <c r="A7" s="5" t="str">
        <f>'Summary Total'!A5</f>
        <v>Gainwell</v>
      </c>
      <c r="B7" s="9">
        <v>3.71</v>
      </c>
      <c r="C7" s="9">
        <f>'Staff Quals-Exp'!D5</f>
        <v>3.9317916666666672</v>
      </c>
      <c r="D7" s="9">
        <f>'Oral Presentations'!D5</f>
        <v>4</v>
      </c>
      <c r="E7" s="9">
        <v>6</v>
      </c>
      <c r="F7" s="9">
        <f>'Key Staff Interviews'!D5</f>
        <v>7.2500000000000009</v>
      </c>
      <c r="G7" s="9">
        <v>33.44</v>
      </c>
      <c r="H7" s="9">
        <f>'Understanding &amp; Approach'!M6</f>
        <v>42.395833333333336</v>
      </c>
      <c r="I7" s="9">
        <v>47.15</v>
      </c>
      <c r="J7" s="180">
        <f t="shared" si="0"/>
        <v>57.577625000000005</v>
      </c>
      <c r="K7" s="17">
        <v>61.58</v>
      </c>
      <c r="L7" s="9">
        <f>J7/$J$12*$J$1</f>
        <v>70</v>
      </c>
    </row>
    <row r="8" spans="1:12" x14ac:dyDescent="0.3">
      <c r="A8" s="5" t="str">
        <f>'Summary Total'!A6</f>
        <v>Kyndryl</v>
      </c>
      <c r="B8" s="9">
        <v>3.13</v>
      </c>
      <c r="C8" s="9">
        <f>'Staff Quals-Exp'!D6</f>
        <v>2.6183666666666667</v>
      </c>
      <c r="D8" s="9">
        <f>'Oral Presentations'!D6</f>
        <v>4</v>
      </c>
      <c r="E8" s="9">
        <v>5.29</v>
      </c>
      <c r="F8" s="9">
        <f>'Key Staff Interviews'!D6</f>
        <v>6.3750000000000009</v>
      </c>
      <c r="G8" s="9">
        <v>26.88</v>
      </c>
      <c r="H8" s="9">
        <f>'Understanding &amp; Approach'!M7</f>
        <v>31.354166666666668</v>
      </c>
      <c r="I8" s="9">
        <v>39.29</v>
      </c>
      <c r="J8" s="180">
        <f t="shared" si="0"/>
        <v>44.347533333333331</v>
      </c>
      <c r="K8" s="17">
        <v>51.31</v>
      </c>
      <c r="L8" s="9">
        <f>J8/$J$12*$J$1</f>
        <v>53.915515503345837</v>
      </c>
    </row>
    <row r="9" spans="1:12" x14ac:dyDescent="0.3">
      <c r="A9" s="5" t="str">
        <f>'Summary Total'!A7</f>
        <v>Peraton</v>
      </c>
      <c r="B9" s="9">
        <v>3.64</v>
      </c>
      <c r="C9" s="9">
        <f>'Staff Quals-Exp'!D7</f>
        <v>3.7485416666666667</v>
      </c>
      <c r="D9" s="9">
        <f>'Oral Presentations'!D7</f>
        <v>3.0000000000000004</v>
      </c>
      <c r="E9" s="9">
        <v>4.63</v>
      </c>
      <c r="F9" s="9">
        <f>'Key Staff Interviews'!D7</f>
        <v>6.3750000000000009</v>
      </c>
      <c r="G9" s="9">
        <v>36.15</v>
      </c>
      <c r="H9" s="9">
        <f>'Understanding &amp; Approach'!M8</f>
        <v>36.875</v>
      </c>
      <c r="I9" s="9">
        <v>47.41</v>
      </c>
      <c r="J9" s="180">
        <f t="shared" si="0"/>
        <v>49.998541666666668</v>
      </c>
      <c r="K9" s="17">
        <v>61.92</v>
      </c>
      <c r="L9" s="9">
        <f>J9/$J$12*$J$1</f>
        <v>60.785729120759434</v>
      </c>
    </row>
    <row r="10" spans="1:12" ht="16.5" customHeight="1" x14ac:dyDescent="0.3">
      <c r="A10" s="235"/>
      <c r="B10" s="236"/>
      <c r="C10" s="236"/>
      <c r="D10" s="236"/>
      <c r="E10" s="236"/>
      <c r="F10" s="236"/>
      <c r="G10" s="236"/>
      <c r="H10" s="236"/>
      <c r="I10" s="236"/>
      <c r="J10" s="236"/>
      <c r="K10" s="236"/>
      <c r="L10" s="236"/>
    </row>
    <row r="11" spans="1:12" ht="16.5" hidden="1" customHeight="1" x14ac:dyDescent="0.3">
      <c r="A11" s="26"/>
      <c r="B11" s="85"/>
      <c r="C11" s="85"/>
      <c r="D11" s="85"/>
      <c r="E11" s="85"/>
      <c r="F11" s="85"/>
      <c r="G11" s="85"/>
      <c r="H11" s="85"/>
      <c r="I11" s="85"/>
      <c r="J11" s="85"/>
      <c r="K11" s="10"/>
      <c r="L11" s="10"/>
    </row>
    <row r="12" spans="1:12" hidden="1" x14ac:dyDescent="0.3">
      <c r="A12" s="227"/>
      <c r="B12" s="205"/>
      <c r="C12" s="205"/>
      <c r="D12" s="234"/>
      <c r="E12" s="172"/>
      <c r="F12" s="5"/>
      <c r="G12" s="5"/>
      <c r="H12" s="20" t="s">
        <v>98</v>
      </c>
      <c r="I12" s="20"/>
      <c r="J12" s="21">
        <f>MAX(J5:J9)</f>
        <v>57.577625000000005</v>
      </c>
      <c r="K12" s="10"/>
      <c r="L12" s="10"/>
    </row>
    <row r="13" spans="1:12" hidden="1" x14ac:dyDescent="0.3">
      <c r="F13" s="79"/>
      <c r="G13" s="79"/>
      <c r="H13" s="20" t="s">
        <v>99</v>
      </c>
      <c r="I13" s="20"/>
      <c r="J13" s="21">
        <f>MIN(J5:J9)</f>
        <v>44.347533333333331</v>
      </c>
    </row>
    <row r="14" spans="1:12" hidden="1" x14ac:dyDescent="0.3">
      <c r="H14" s="150"/>
      <c r="I14" s="150"/>
      <c r="J14" s="151"/>
    </row>
  </sheetData>
  <mergeCells count="15">
    <mergeCell ref="A10:L10"/>
    <mergeCell ref="A12:D12"/>
    <mergeCell ref="A1:C1"/>
    <mergeCell ref="B3:C3"/>
    <mergeCell ref="E3:F3"/>
    <mergeCell ref="K3:L3"/>
    <mergeCell ref="K2:L2"/>
    <mergeCell ref="D1:I1"/>
    <mergeCell ref="J1:L1"/>
    <mergeCell ref="B2:C2"/>
    <mergeCell ref="E2:F2"/>
    <mergeCell ref="G3:H3"/>
    <mergeCell ref="G2:H2"/>
    <mergeCell ref="I3:J3"/>
    <mergeCell ref="I2:J2"/>
  </mergeCells>
  <pageMargins left="0.7" right="0.7" top="0.75" bottom="0.75" header="0.3" footer="0.3"/>
  <pageSetup scale="91"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E9A996-BE9E-422D-9F5A-2042FCB8A3F4}">
  <sheetPr>
    <pageSetUpPr fitToPage="1"/>
  </sheetPr>
  <dimension ref="A1:X19"/>
  <sheetViews>
    <sheetView zoomScale="95" zoomScaleNormal="95" workbookViewId="0">
      <pane xSplit="1" ySplit="3" topLeftCell="B4" activePane="bottomRight" state="frozen"/>
      <selection pane="topRight" activeCell="B1" sqref="B1"/>
      <selection pane="bottomLeft" activeCell="A4" sqref="A4"/>
      <selection pane="bottomRight" activeCell="G26" sqref="G26"/>
    </sheetView>
  </sheetViews>
  <sheetFormatPr defaultColWidth="9.140625" defaultRowHeight="16.5" x14ac:dyDescent="0.3"/>
  <cols>
    <col min="1" max="1" width="52" style="1" customWidth="1"/>
    <col min="2" max="6" width="14.7109375" style="10" customWidth="1"/>
    <col min="7" max="7" width="8.5703125" style="10" customWidth="1"/>
    <col min="8" max="8" width="14.7109375" style="10" hidden="1" customWidth="1"/>
    <col min="9" max="9" width="14.7109375" style="1" hidden="1" customWidth="1"/>
    <col min="10" max="10" width="14.140625" style="1" hidden="1" customWidth="1"/>
    <col min="11" max="11" width="2" style="1" hidden="1" customWidth="1"/>
    <col min="12" max="19" width="14.7109375" style="1" hidden="1" customWidth="1"/>
    <col min="20" max="21" width="15.28515625" style="1" hidden="1" customWidth="1"/>
    <col min="22" max="23" width="9.140625" style="1" hidden="1" customWidth="1"/>
    <col min="24" max="24" width="9.140625" style="1" customWidth="1"/>
    <col min="25" max="16384" width="9.140625" style="1"/>
  </cols>
  <sheetData>
    <row r="1" spans="1:24" s="13" customFormat="1" ht="30" customHeight="1" x14ac:dyDescent="0.2">
      <c r="A1" s="174" t="str">
        <f>' Master'!C3</f>
        <v>Staff Qualifications and Experience</v>
      </c>
      <c r="B1" s="175"/>
      <c r="C1" s="175"/>
      <c r="D1" s="175"/>
      <c r="E1" s="97" t="s">
        <v>57</v>
      </c>
      <c r="F1" s="66">
        <f>' Master'!D3</f>
        <v>0.05</v>
      </c>
      <c r="G1" s="139"/>
      <c r="H1" s="175"/>
      <c r="K1" s="75"/>
      <c r="L1" s="75"/>
      <c r="M1" s="75"/>
      <c r="N1" s="75"/>
      <c r="O1" s="75"/>
      <c r="P1" s="75"/>
      <c r="Q1" s="75"/>
      <c r="R1" s="75"/>
      <c r="S1" s="75"/>
      <c r="T1" s="75"/>
      <c r="U1" s="75"/>
      <c r="X1" s="99"/>
    </row>
    <row r="2" spans="1:24" s="128" customFormat="1" ht="10.5" customHeight="1" x14ac:dyDescent="0.2">
      <c r="A2" s="124"/>
      <c r="B2" s="125"/>
      <c r="C2" s="125"/>
      <c r="D2" s="125"/>
      <c r="E2" s="125"/>
      <c r="F2" s="135"/>
      <c r="G2" s="139"/>
      <c r="H2" s="125"/>
      <c r="I2" s="126"/>
      <c r="J2" s="127"/>
      <c r="X2" s="129"/>
    </row>
    <row r="3" spans="1:24" s="14" customFormat="1" ht="71.25" x14ac:dyDescent="0.2">
      <c r="A3" s="97" t="s">
        <v>113</v>
      </c>
      <c r="B3" s="97" t="s">
        <v>6</v>
      </c>
      <c r="C3" s="97" t="s">
        <v>4</v>
      </c>
      <c r="D3" s="97" t="s">
        <v>10</v>
      </c>
      <c r="E3" s="97" t="s">
        <v>8</v>
      </c>
      <c r="F3" s="97" t="s">
        <v>2</v>
      </c>
      <c r="G3" s="140"/>
      <c r="H3" s="158" t="s">
        <v>49</v>
      </c>
      <c r="I3" s="97" t="s">
        <v>101</v>
      </c>
      <c r="J3" s="97" t="s">
        <v>102</v>
      </c>
      <c r="K3" s="166"/>
      <c r="L3" s="166" t="s">
        <v>103</v>
      </c>
      <c r="M3" s="166" t="s">
        <v>104</v>
      </c>
      <c r="N3" s="166" t="s">
        <v>105</v>
      </c>
      <c r="O3" s="166" t="s">
        <v>106</v>
      </c>
      <c r="P3" s="166" t="s">
        <v>107</v>
      </c>
      <c r="Q3" s="166" t="s">
        <v>108</v>
      </c>
      <c r="R3" s="166" t="s">
        <v>109</v>
      </c>
      <c r="S3" s="166" t="s">
        <v>110</v>
      </c>
      <c r="T3" s="97" t="s">
        <v>111</v>
      </c>
      <c r="U3" s="97" t="s">
        <v>112</v>
      </c>
      <c r="X3" s="22"/>
    </row>
    <row r="4" spans="1:24" x14ac:dyDescent="0.3">
      <c r="A4" s="130" t="s">
        <v>103</v>
      </c>
      <c r="B4" s="107">
        <v>2.8</v>
      </c>
      <c r="C4" s="107">
        <v>2.2000000000000002</v>
      </c>
      <c r="D4" s="107">
        <v>2.2000000000000002</v>
      </c>
      <c r="E4" s="107">
        <v>1.8</v>
      </c>
      <c r="F4" s="107">
        <v>2.8</v>
      </c>
      <c r="H4" s="136" t="str">
        <f>'Summary Total'!A7</f>
        <v>Peraton</v>
      </c>
      <c r="I4" s="27">
        <f>T4*U4</f>
        <v>22.491250000000001</v>
      </c>
      <c r="J4" s="27">
        <f>I4/30*$F$1*100</f>
        <v>3.7485416666666667</v>
      </c>
      <c r="K4" s="238"/>
      <c r="L4" s="107">
        <v>2.8</v>
      </c>
      <c r="M4" s="107">
        <v>2</v>
      </c>
      <c r="N4" s="107">
        <v>3</v>
      </c>
      <c r="O4" s="107">
        <v>2</v>
      </c>
      <c r="P4" s="107">
        <v>2.25</v>
      </c>
      <c r="Q4" s="107">
        <v>2</v>
      </c>
      <c r="R4" s="107">
        <v>2.75</v>
      </c>
      <c r="S4" s="107">
        <v>2.2000000000000002</v>
      </c>
      <c r="T4" s="27">
        <f>AVERAGE(L4:S4)</f>
        <v>2.375</v>
      </c>
      <c r="U4" s="9">
        <v>9.4700000000000006</v>
      </c>
      <c r="V4" s="24"/>
      <c r="X4" s="25"/>
    </row>
    <row r="5" spans="1:24" x14ac:dyDescent="0.3">
      <c r="A5" s="130" t="s">
        <v>104</v>
      </c>
      <c r="B5" s="107">
        <v>2.67</v>
      </c>
      <c r="C5" s="107">
        <v>2.33</v>
      </c>
      <c r="D5" s="107">
        <v>2.33</v>
      </c>
      <c r="E5" s="107">
        <v>2</v>
      </c>
      <c r="F5" s="107">
        <v>2</v>
      </c>
      <c r="H5" s="137" t="str">
        <f>'Summary Total'!A4</f>
        <v>Deloitte</v>
      </c>
      <c r="I5" s="27">
        <f>T5*U5</f>
        <v>26.484187499999997</v>
      </c>
      <c r="J5" s="27">
        <f>I5/30*$F$1*100</f>
        <v>4.4140312499999999</v>
      </c>
      <c r="K5" s="238"/>
      <c r="L5" s="107">
        <v>2.2000000000000002</v>
      </c>
      <c r="M5" s="107">
        <v>2.33</v>
      </c>
      <c r="N5" s="107">
        <v>3</v>
      </c>
      <c r="O5" s="107">
        <v>3</v>
      </c>
      <c r="P5" s="107">
        <v>3</v>
      </c>
      <c r="Q5" s="107">
        <v>2.83</v>
      </c>
      <c r="R5" s="107">
        <v>2.75</v>
      </c>
      <c r="S5" s="107">
        <v>2.4</v>
      </c>
      <c r="T5" s="96">
        <f>AVERAGE(L5:S5)</f>
        <v>2.6887499999999998</v>
      </c>
      <c r="U5" s="17">
        <v>9.85</v>
      </c>
      <c r="V5" s="24"/>
      <c r="X5" s="25"/>
    </row>
    <row r="6" spans="1:24" x14ac:dyDescent="0.3">
      <c r="A6" s="130" t="s">
        <v>105</v>
      </c>
      <c r="B6" s="107">
        <v>3</v>
      </c>
      <c r="C6" s="107">
        <v>3</v>
      </c>
      <c r="D6" s="107">
        <v>2.75</v>
      </c>
      <c r="E6" s="107">
        <v>1.25</v>
      </c>
      <c r="F6" s="107">
        <v>3</v>
      </c>
      <c r="H6" s="137" t="str">
        <f>'Summary Total'!A3</f>
        <v>Accenture</v>
      </c>
      <c r="I6" s="27">
        <f>T6*U6</f>
        <v>25.422899999999998</v>
      </c>
      <c r="J6" s="27">
        <f>I6/30*$F$1*100</f>
        <v>4.2371499999999997</v>
      </c>
      <c r="K6" s="238"/>
      <c r="L6" s="107">
        <v>2.8</v>
      </c>
      <c r="M6" s="107">
        <v>2.67</v>
      </c>
      <c r="N6" s="107">
        <v>3</v>
      </c>
      <c r="O6" s="107">
        <v>2</v>
      </c>
      <c r="P6" s="107">
        <v>3</v>
      </c>
      <c r="Q6" s="107">
        <v>2</v>
      </c>
      <c r="R6" s="107">
        <v>2.75</v>
      </c>
      <c r="S6" s="107">
        <v>2.2000000000000002</v>
      </c>
      <c r="T6" s="96">
        <f>AVERAGE(L6:S6)</f>
        <v>2.5524999999999998</v>
      </c>
      <c r="U6" s="17">
        <v>9.9600000000000009</v>
      </c>
      <c r="V6" s="24"/>
      <c r="X6" s="25"/>
    </row>
    <row r="7" spans="1:24" x14ac:dyDescent="0.3">
      <c r="A7" s="130" t="s">
        <v>106</v>
      </c>
      <c r="B7" s="107">
        <v>2</v>
      </c>
      <c r="C7" s="107">
        <v>3</v>
      </c>
      <c r="D7" s="107">
        <v>3</v>
      </c>
      <c r="E7" s="107">
        <v>2</v>
      </c>
      <c r="F7" s="107">
        <v>2</v>
      </c>
      <c r="H7" s="137" t="str">
        <f>'Summary Total'!A6</f>
        <v>Kyndryl</v>
      </c>
      <c r="I7" s="27">
        <f>T7*U7</f>
        <v>15.7102</v>
      </c>
      <c r="J7" s="27">
        <f>I7/30*$F$1*100</f>
        <v>2.6183666666666667</v>
      </c>
      <c r="K7" s="238"/>
      <c r="L7" s="107">
        <v>1.8</v>
      </c>
      <c r="M7" s="107">
        <v>2</v>
      </c>
      <c r="N7" s="107">
        <v>1.25</v>
      </c>
      <c r="O7" s="107">
        <v>2</v>
      </c>
      <c r="P7" s="107">
        <v>3</v>
      </c>
      <c r="Q7" s="107">
        <v>2.83</v>
      </c>
      <c r="R7" s="107">
        <v>2</v>
      </c>
      <c r="S7" s="107">
        <v>1.4</v>
      </c>
      <c r="T7" s="96">
        <f>AVERAGE(L7:S7)</f>
        <v>2.0350000000000001</v>
      </c>
      <c r="U7" s="17">
        <v>7.72</v>
      </c>
      <c r="V7" s="24"/>
      <c r="X7" s="25"/>
    </row>
    <row r="8" spans="1:24" x14ac:dyDescent="0.3">
      <c r="A8" s="130" t="s">
        <v>107</v>
      </c>
      <c r="B8" s="107">
        <v>3</v>
      </c>
      <c r="C8" s="107">
        <v>3</v>
      </c>
      <c r="D8" s="107">
        <v>2</v>
      </c>
      <c r="E8" s="107">
        <v>3</v>
      </c>
      <c r="F8" s="107">
        <v>2.25</v>
      </c>
      <c r="H8" s="137" t="str">
        <f>'Summary Total'!A5</f>
        <v>Gainwell</v>
      </c>
      <c r="I8" s="27">
        <f>T8*U8</f>
        <v>23.59075</v>
      </c>
      <c r="J8" s="27">
        <f>I8/30*$F$1*100</f>
        <v>3.9317916666666672</v>
      </c>
      <c r="K8" s="238"/>
      <c r="L8" s="107">
        <v>2.2000000000000002</v>
      </c>
      <c r="M8" s="107">
        <v>2.33</v>
      </c>
      <c r="N8" s="107">
        <v>2.75</v>
      </c>
      <c r="O8" s="107">
        <v>3</v>
      </c>
      <c r="P8" s="107">
        <v>2</v>
      </c>
      <c r="Q8" s="107">
        <v>2.83</v>
      </c>
      <c r="R8" s="107">
        <v>2.25</v>
      </c>
      <c r="S8" s="107">
        <v>1.8</v>
      </c>
      <c r="T8" s="96">
        <f>AVERAGE(L8:S8)</f>
        <v>2.395</v>
      </c>
      <c r="U8" s="17">
        <v>9.85</v>
      </c>
      <c r="V8" s="24"/>
      <c r="X8" s="25"/>
    </row>
    <row r="9" spans="1:24" x14ac:dyDescent="0.3">
      <c r="A9" s="130" t="s">
        <v>108</v>
      </c>
      <c r="B9" s="107">
        <v>2</v>
      </c>
      <c r="C9" s="107">
        <v>2.83</v>
      </c>
      <c r="D9" s="107">
        <v>2.83</v>
      </c>
      <c r="E9" s="107">
        <v>2.83</v>
      </c>
      <c r="F9" s="107">
        <v>2</v>
      </c>
      <c r="H9" s="138"/>
      <c r="I9" s="50"/>
      <c r="J9" s="27"/>
      <c r="K9" s="10"/>
      <c r="L9" s="17"/>
      <c r="M9" s="17"/>
      <c r="N9" s="17"/>
      <c r="O9" s="17"/>
      <c r="P9" s="17"/>
      <c r="Q9" s="17"/>
      <c r="R9" s="17"/>
      <c r="S9" s="17"/>
      <c r="T9" s="27"/>
      <c r="U9" s="17"/>
      <c r="V9" s="24"/>
      <c r="X9" s="25"/>
    </row>
    <row r="10" spans="1:24" x14ac:dyDescent="0.3">
      <c r="A10" s="130" t="s">
        <v>109</v>
      </c>
      <c r="B10" s="107">
        <v>2.75</v>
      </c>
      <c r="C10" s="107">
        <v>2.75</v>
      </c>
      <c r="D10" s="107">
        <v>2.25</v>
      </c>
      <c r="E10" s="107">
        <v>2</v>
      </c>
      <c r="F10" s="107">
        <v>2.75</v>
      </c>
      <c r="V10" s="24"/>
    </row>
    <row r="11" spans="1:24" x14ac:dyDescent="0.3">
      <c r="A11" s="130" t="s">
        <v>110</v>
      </c>
      <c r="B11" s="107">
        <v>2.2000000000000002</v>
      </c>
      <c r="C11" s="107">
        <v>2.4</v>
      </c>
      <c r="D11" s="107">
        <v>1.8</v>
      </c>
      <c r="E11" s="107">
        <v>1.4</v>
      </c>
      <c r="F11" s="107">
        <v>2.2000000000000002</v>
      </c>
      <c r="V11" s="24"/>
    </row>
    <row r="12" spans="1:24" ht="7.5" customHeight="1" x14ac:dyDescent="0.3">
      <c r="A12" s="130"/>
      <c r="V12" s="24"/>
    </row>
    <row r="13" spans="1:24" x14ac:dyDescent="0.3">
      <c r="A13" s="68" t="s">
        <v>114</v>
      </c>
      <c r="B13" s="142">
        <f>AVERAGE(B4:B11)</f>
        <v>2.5524999999999998</v>
      </c>
      <c r="C13" s="142">
        <f>AVERAGE(C4:C11)</f>
        <v>2.6887499999999998</v>
      </c>
      <c r="D13" s="142">
        <f>AVERAGE(D4:D11)</f>
        <v>2.395</v>
      </c>
      <c r="E13" s="142">
        <f>AVERAGE(E4:E11)</f>
        <v>2.0350000000000001</v>
      </c>
      <c r="F13" s="142">
        <f>AVERAGE(F4:F11)</f>
        <v>2.375</v>
      </c>
      <c r="V13" s="24"/>
    </row>
    <row r="14" spans="1:24" s="133" customFormat="1" ht="9.75" customHeight="1" x14ac:dyDescent="0.3">
      <c r="A14" s="131"/>
      <c r="B14" s="132"/>
      <c r="C14" s="132"/>
      <c r="D14" s="132"/>
      <c r="E14" s="132"/>
      <c r="F14" s="132"/>
      <c r="G14" s="10"/>
      <c r="H14" s="132"/>
      <c r="V14" s="134"/>
    </row>
    <row r="15" spans="1:24" x14ac:dyDescent="0.3">
      <c r="A15" s="68" t="s">
        <v>115</v>
      </c>
      <c r="B15" s="143">
        <v>9.9600000000000009</v>
      </c>
      <c r="C15" s="143">
        <v>9.85</v>
      </c>
      <c r="D15" s="143">
        <v>9.85</v>
      </c>
      <c r="E15" s="143">
        <v>7.72</v>
      </c>
      <c r="F15" s="142">
        <v>9.4700000000000006</v>
      </c>
    </row>
    <row r="17" spans="1:6" ht="30" x14ac:dyDescent="0.3">
      <c r="A17" s="68" t="s">
        <v>116</v>
      </c>
      <c r="B17" s="141">
        <f>B13*B15</f>
        <v>25.422899999999998</v>
      </c>
      <c r="C17" s="141">
        <f>C13*C15</f>
        <v>26.484187499999997</v>
      </c>
      <c r="D17" s="141">
        <f>D13*D15</f>
        <v>23.59075</v>
      </c>
      <c r="E17" s="141">
        <f>E13*E15</f>
        <v>15.7102</v>
      </c>
      <c r="F17" s="141">
        <f>F13*F15</f>
        <v>22.491250000000001</v>
      </c>
    </row>
    <row r="19" spans="1:6" x14ac:dyDescent="0.3">
      <c r="A19" s="104" t="s">
        <v>117</v>
      </c>
      <c r="B19" s="144">
        <f>B17/30*$F$1*100</f>
        <v>4.2371499999999997</v>
      </c>
      <c r="C19" s="144">
        <f>C17/30*$F$1*100</f>
        <v>4.4140312499999999</v>
      </c>
      <c r="D19" s="144">
        <f>D17/30*$F$1*100</f>
        <v>3.9317916666666672</v>
      </c>
      <c r="E19" s="144">
        <f>E17/30*$F$1*100</f>
        <v>2.6183666666666667</v>
      </c>
      <c r="F19" s="144">
        <f>F17/30*$F$1*100</f>
        <v>3.7485416666666667</v>
      </c>
    </row>
  </sheetData>
  <mergeCells count="1">
    <mergeCell ref="K4:K8"/>
  </mergeCells>
  <pageMargins left="0.7" right="0.7" top="0.75" bottom="0.75" header="0.3" footer="0.3"/>
  <pageSetup scale="97"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9"/>
  <sheetViews>
    <sheetView workbookViewId="0">
      <pane xSplit="1" ySplit="2" topLeftCell="B3" activePane="bottomRight" state="frozen"/>
      <selection pane="topRight" activeCell="F16" sqref="F16"/>
      <selection pane="bottomLeft" activeCell="F16" sqref="F16"/>
      <selection pane="bottomRight" activeCell="D13" sqref="D13"/>
    </sheetView>
  </sheetViews>
  <sheetFormatPr defaultColWidth="9.140625" defaultRowHeight="16.5" x14ac:dyDescent="0.3"/>
  <cols>
    <col min="1" max="1" width="16.7109375" style="1" customWidth="1"/>
    <col min="2" max="2" width="13.7109375" style="10" customWidth="1"/>
    <col min="3" max="3" width="13.7109375" style="1" customWidth="1"/>
    <col min="4" max="4" width="14.7109375" style="1" customWidth="1"/>
    <col min="5" max="5" width="2" style="1" customWidth="1"/>
    <col min="6" max="6" width="14.7109375" style="1" customWidth="1"/>
    <col min="7" max="7" width="14" style="1" customWidth="1"/>
    <col min="8" max="8" width="6" style="1" customWidth="1"/>
    <col min="9" max="9" width="14.140625" style="1" bestFit="1" customWidth="1"/>
    <col min="10" max="16384" width="9.140625" style="1"/>
  </cols>
  <sheetData>
    <row r="1" spans="1:9" s="13" customFormat="1" ht="20.100000000000001" customHeight="1" x14ac:dyDescent="0.2">
      <c r="A1" s="240" t="str">
        <f>' Master'!C4</f>
        <v>Oral Presentations</v>
      </c>
      <c r="B1" s="241"/>
      <c r="C1" s="97" t="s">
        <v>57</v>
      </c>
      <c r="D1" s="66">
        <f>' Master'!D4</f>
        <v>0.05</v>
      </c>
      <c r="E1" s="75"/>
      <c r="F1" s="75"/>
      <c r="I1" s="99"/>
    </row>
    <row r="2" spans="1:9" s="14" customFormat="1" ht="51" x14ac:dyDescent="0.2">
      <c r="A2" s="97" t="s">
        <v>49</v>
      </c>
      <c r="B2" s="97" t="s">
        <v>118</v>
      </c>
      <c r="C2" s="97" t="s">
        <v>119</v>
      </c>
      <c r="D2" s="67" t="s">
        <v>120</v>
      </c>
      <c r="E2" s="166"/>
      <c r="F2" s="97" t="s">
        <v>121</v>
      </c>
      <c r="I2" s="22"/>
    </row>
    <row r="3" spans="1:9" ht="16.5" customHeight="1" x14ac:dyDescent="0.3">
      <c r="A3" s="5" t="str">
        <f>'Summary Total'!A3</f>
        <v>Accenture</v>
      </c>
      <c r="B3" s="17">
        <f>_xlfn.RANK.AVG(D3,$D$3:$D$8)</f>
        <v>3</v>
      </c>
      <c r="C3" s="50">
        <f>F3</f>
        <v>7</v>
      </c>
      <c r="D3" s="9">
        <f>C3*$D$1*10</f>
        <v>3.5000000000000004</v>
      </c>
      <c r="E3" s="238"/>
      <c r="F3" s="115">
        <v>7</v>
      </c>
      <c r="G3" s="24"/>
      <c r="I3" s="25"/>
    </row>
    <row r="4" spans="1:9" ht="16.5" customHeight="1" x14ac:dyDescent="0.3">
      <c r="A4" s="5" t="str">
        <f>'Summary Total'!A4</f>
        <v>Deloitte</v>
      </c>
      <c r="B4" s="17">
        <f>_xlfn.RANK.AVG(D4,$D$3:$D$8)</f>
        <v>4.5</v>
      </c>
      <c r="C4" s="50">
        <f>F4</f>
        <v>6</v>
      </c>
      <c r="D4" s="9">
        <f>C4*$D$1*10</f>
        <v>3.0000000000000004</v>
      </c>
      <c r="E4" s="238"/>
      <c r="F4" s="115">
        <v>6</v>
      </c>
      <c r="G4" s="24"/>
      <c r="I4" s="25"/>
    </row>
    <row r="5" spans="1:9" x14ac:dyDescent="0.3">
      <c r="A5" s="5" t="str">
        <f>'Summary Total'!A5</f>
        <v>Gainwell</v>
      </c>
      <c r="B5" s="17">
        <f>_xlfn.RANK.AVG(D5,$D$3:$D$8)</f>
        <v>1.5</v>
      </c>
      <c r="C5" s="50">
        <f>F5</f>
        <v>8</v>
      </c>
      <c r="D5" s="9">
        <f>C5*$D$1*10</f>
        <v>4</v>
      </c>
      <c r="E5" s="238"/>
      <c r="F5" s="115">
        <v>8</v>
      </c>
      <c r="G5" s="24"/>
      <c r="I5" s="25"/>
    </row>
    <row r="6" spans="1:9" ht="16.5" customHeight="1" x14ac:dyDescent="0.3">
      <c r="A6" s="5" t="str">
        <f>'Summary Total'!A6</f>
        <v>Kyndryl</v>
      </c>
      <c r="B6" s="17">
        <f>_xlfn.RANK.AVG(D6,$D$3:$D$8)</f>
        <v>1.5</v>
      </c>
      <c r="C6" s="50">
        <f>F6</f>
        <v>8</v>
      </c>
      <c r="D6" s="9">
        <f>C6*$D$1*10</f>
        <v>4</v>
      </c>
      <c r="E6" s="238"/>
      <c r="F6" s="115">
        <v>8</v>
      </c>
      <c r="G6" s="24"/>
      <c r="I6" s="25"/>
    </row>
    <row r="7" spans="1:9" ht="16.5" customHeight="1" x14ac:dyDescent="0.3">
      <c r="A7" s="51" t="str">
        <f>'Summary Total'!A7</f>
        <v>Peraton</v>
      </c>
      <c r="B7" s="17">
        <f>_xlfn.RANK.AVG(D7,$D$3:$D$8)</f>
        <v>4.5</v>
      </c>
      <c r="C7" s="50">
        <f>F7</f>
        <v>6</v>
      </c>
      <c r="D7" s="27">
        <f>C7*$D$1*10</f>
        <v>3.0000000000000004</v>
      </c>
      <c r="E7" s="238"/>
      <c r="F7" s="115">
        <v>6</v>
      </c>
      <c r="G7" s="24"/>
      <c r="I7" s="25"/>
    </row>
    <row r="8" spans="1:9" hidden="1" x14ac:dyDescent="0.3">
      <c r="A8" s="5">
        <f>'Summary Total'!A8</f>
        <v>0</v>
      </c>
      <c r="B8" s="17"/>
      <c r="C8" s="50"/>
      <c r="D8" s="9"/>
      <c r="F8" s="17"/>
      <c r="G8" s="24"/>
    </row>
    <row r="9" spans="1:9" x14ac:dyDescent="0.3">
      <c r="G9" s="24"/>
    </row>
  </sheetData>
  <mergeCells count="2">
    <mergeCell ref="E3:E7"/>
    <mergeCell ref="A1:B1"/>
  </mergeCells>
  <pageMargins left="0.7" right="0.7" top="0.75" bottom="0.7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9"/>
  <sheetViews>
    <sheetView zoomScale="95" zoomScaleNormal="95" workbookViewId="0">
      <pane xSplit="1" ySplit="2" topLeftCell="B3" activePane="bottomRight" state="frozen"/>
      <selection pane="topRight" activeCell="B1" sqref="B1"/>
      <selection pane="bottomLeft" activeCell="A4" sqref="A4"/>
      <selection pane="bottomRight" activeCell="O1" sqref="O1:O1048576"/>
    </sheetView>
  </sheetViews>
  <sheetFormatPr defaultColWidth="9.140625" defaultRowHeight="16.5" x14ac:dyDescent="0.3"/>
  <cols>
    <col min="1" max="1" width="16.7109375" style="1" customWidth="1"/>
    <col min="2" max="2" width="11.7109375" style="10" customWidth="1"/>
    <col min="3" max="3" width="11.7109375" style="1" customWidth="1"/>
    <col min="4" max="4" width="13.7109375" style="1" customWidth="1"/>
    <col min="5" max="5" width="2" style="1" customWidth="1"/>
    <col min="6" max="13" width="14.28515625" style="1" customWidth="1"/>
    <col min="14" max="14" width="13.7109375" style="1" customWidth="1"/>
    <col min="15" max="15" width="14" style="1" customWidth="1"/>
    <col min="16" max="16" width="6" style="1" customWidth="1"/>
    <col min="17" max="17" width="14.140625" style="1" bestFit="1" customWidth="1"/>
    <col min="18" max="16384" width="9.140625" style="1"/>
  </cols>
  <sheetData>
    <row r="1" spans="1:17" s="13" customFormat="1" ht="20.100000000000001" customHeight="1" x14ac:dyDescent="0.2">
      <c r="A1" s="240" t="str">
        <f>' Master'!C5</f>
        <v>Key Staff Interviews</v>
      </c>
      <c r="B1" s="241"/>
      <c r="C1" s="97" t="s">
        <v>57</v>
      </c>
      <c r="D1" s="66">
        <f>' Master'!D5</f>
        <v>0.1</v>
      </c>
      <c r="E1" s="75"/>
      <c r="F1" s="75"/>
      <c r="G1" s="75"/>
      <c r="H1" s="75"/>
      <c r="I1" s="75"/>
      <c r="J1" s="75"/>
      <c r="K1" s="75"/>
      <c r="L1" s="75"/>
      <c r="M1" s="75"/>
      <c r="N1" s="75"/>
      <c r="Q1" s="99"/>
    </row>
    <row r="2" spans="1:17" s="14" customFormat="1" ht="60" customHeight="1" x14ac:dyDescent="0.2">
      <c r="A2" s="97" t="s">
        <v>49</v>
      </c>
      <c r="B2" s="97" t="s">
        <v>118</v>
      </c>
      <c r="C2" s="97" t="s">
        <v>119</v>
      </c>
      <c r="D2" s="97" t="s">
        <v>122</v>
      </c>
      <c r="E2" s="166"/>
      <c r="F2" s="166" t="str">
        <f>'Staff Quals-Exp'!F2</f>
        <v>Infrastructure Project Manager</v>
      </c>
      <c r="G2" s="166" t="str">
        <f>'Staff Quals-Exp'!G2</f>
        <v>Infrastructure PMO Lead</v>
      </c>
      <c r="H2" s="166" t="str">
        <f>'Staff Quals-Exp'!H2</f>
        <v>Infrastructure Delivery Integration Manager</v>
      </c>
      <c r="I2" s="166" t="str">
        <f>'Staff Quals-Exp'!I2</f>
        <v>Infrastructure Transition Manager</v>
      </c>
      <c r="J2" s="166" t="str">
        <f>'Staff Quals-Exp'!J2</f>
        <v>Infrastructure Operations Manager</v>
      </c>
      <c r="K2" s="166" t="str">
        <f>'Staff Quals-Exp'!K2</f>
        <v>Infrastructure Security Manager</v>
      </c>
      <c r="L2" s="166" t="str">
        <f>'Staff Quals-Exp'!L2</f>
        <v>Infrastructure Operations Service Desk Lead</v>
      </c>
      <c r="M2" s="166" t="str">
        <f>'Staff Quals-Exp'!M2</f>
        <v>Infrastructure AWS Manager</v>
      </c>
      <c r="N2" s="97" t="s">
        <v>123</v>
      </c>
      <c r="Q2" s="22"/>
    </row>
    <row r="3" spans="1:17" x14ac:dyDescent="0.3">
      <c r="A3" s="5" t="str">
        <f>'Summary Total'!A3</f>
        <v>Accenture</v>
      </c>
      <c r="B3" s="17">
        <f>_xlfn.RANK.AVG(D3,$D$3:$D$8)</f>
        <v>1</v>
      </c>
      <c r="C3" s="50">
        <f>N3</f>
        <v>8.5</v>
      </c>
      <c r="D3" s="9">
        <f>C3*$D$1*10</f>
        <v>8.5</v>
      </c>
      <c r="E3" s="238"/>
      <c r="F3" s="95">
        <v>7</v>
      </c>
      <c r="G3" s="95">
        <v>9</v>
      </c>
      <c r="H3" s="95">
        <v>9</v>
      </c>
      <c r="I3" s="95">
        <v>9</v>
      </c>
      <c r="J3" s="95">
        <v>6</v>
      </c>
      <c r="K3" s="95">
        <v>9</v>
      </c>
      <c r="L3" s="95">
        <v>9</v>
      </c>
      <c r="M3" s="95">
        <v>10</v>
      </c>
      <c r="N3" s="27">
        <f>AVERAGE(F3:M3)</f>
        <v>8.5</v>
      </c>
      <c r="O3" s="24"/>
      <c r="Q3" s="25"/>
    </row>
    <row r="4" spans="1:17" x14ac:dyDescent="0.3">
      <c r="A4" s="5" t="str">
        <f>'Summary Total'!A4</f>
        <v>Deloitte</v>
      </c>
      <c r="B4" s="17">
        <f>_xlfn.RANK.AVG(D4,$D$3:$D$8)</f>
        <v>2</v>
      </c>
      <c r="C4" s="50">
        <f>N4</f>
        <v>8</v>
      </c>
      <c r="D4" s="9">
        <f>C4*$D$1*10</f>
        <v>8</v>
      </c>
      <c r="E4" s="238"/>
      <c r="F4" s="95">
        <v>8</v>
      </c>
      <c r="G4" s="95">
        <v>9</v>
      </c>
      <c r="H4" s="95">
        <v>8</v>
      </c>
      <c r="I4" s="95">
        <v>9</v>
      </c>
      <c r="J4" s="95">
        <v>9</v>
      </c>
      <c r="K4" s="95">
        <v>7</v>
      </c>
      <c r="L4" s="95">
        <v>5</v>
      </c>
      <c r="M4" s="95">
        <v>9</v>
      </c>
      <c r="N4" s="27">
        <f>AVERAGE(F4:M4)</f>
        <v>8</v>
      </c>
      <c r="O4" s="24"/>
      <c r="Q4" s="25"/>
    </row>
    <row r="5" spans="1:17" x14ac:dyDescent="0.3">
      <c r="A5" s="5" t="str">
        <f>'Summary Total'!A5</f>
        <v>Gainwell</v>
      </c>
      <c r="B5" s="17">
        <f>_xlfn.RANK.AVG(D5,$D$3:$D$8)</f>
        <v>3</v>
      </c>
      <c r="C5" s="50">
        <f>N5</f>
        <v>7.25</v>
      </c>
      <c r="D5" s="9">
        <f>C5*$D$1*10</f>
        <v>7.2500000000000009</v>
      </c>
      <c r="E5" s="238"/>
      <c r="F5" s="95">
        <v>10</v>
      </c>
      <c r="G5" s="95">
        <v>8</v>
      </c>
      <c r="H5" s="95">
        <v>7</v>
      </c>
      <c r="I5" s="95">
        <v>6</v>
      </c>
      <c r="J5" s="95">
        <v>6</v>
      </c>
      <c r="K5" s="95">
        <v>9</v>
      </c>
      <c r="L5" s="95">
        <v>7</v>
      </c>
      <c r="M5" s="95">
        <v>5</v>
      </c>
      <c r="N5" s="27">
        <f>AVERAGE(F5:M5)</f>
        <v>7.25</v>
      </c>
      <c r="O5" s="24"/>
      <c r="Q5" s="25"/>
    </row>
    <row r="6" spans="1:17" x14ac:dyDescent="0.3">
      <c r="A6" s="5" t="str">
        <f>'Summary Total'!A6</f>
        <v>Kyndryl</v>
      </c>
      <c r="B6" s="17">
        <f>_xlfn.RANK.AVG(D6,$D$3:$D$8)</f>
        <v>4.5</v>
      </c>
      <c r="C6" s="50">
        <f>N6</f>
        <v>6.375</v>
      </c>
      <c r="D6" s="9">
        <f>C6*$D$1*10</f>
        <v>6.3750000000000009</v>
      </c>
      <c r="E6" s="238"/>
      <c r="F6" s="95">
        <v>3</v>
      </c>
      <c r="G6" s="95">
        <v>6</v>
      </c>
      <c r="H6" s="95">
        <v>9</v>
      </c>
      <c r="I6" s="95">
        <v>6</v>
      </c>
      <c r="J6" s="95">
        <v>6</v>
      </c>
      <c r="K6" s="95">
        <v>7</v>
      </c>
      <c r="L6" s="95">
        <v>5</v>
      </c>
      <c r="M6" s="95">
        <v>9</v>
      </c>
      <c r="N6" s="27">
        <f>AVERAGE(F6:M6)</f>
        <v>6.375</v>
      </c>
      <c r="O6" s="24"/>
      <c r="Q6" s="25"/>
    </row>
    <row r="7" spans="1:17" x14ac:dyDescent="0.3">
      <c r="A7" s="51" t="str">
        <f>'Summary Total'!A7</f>
        <v>Peraton</v>
      </c>
      <c r="B7" s="17">
        <f>_xlfn.RANK.AVG(D7,$D$3:$D$8)</f>
        <v>4.5</v>
      </c>
      <c r="C7" s="50">
        <f>N7</f>
        <v>6.375</v>
      </c>
      <c r="D7" s="27">
        <f>C7*$D$1*10</f>
        <v>6.3750000000000009</v>
      </c>
      <c r="E7" s="238"/>
      <c r="F7" s="95">
        <v>8</v>
      </c>
      <c r="G7" s="95">
        <v>6</v>
      </c>
      <c r="H7" s="95">
        <v>8</v>
      </c>
      <c r="I7" s="95">
        <v>4</v>
      </c>
      <c r="J7" s="95">
        <v>8</v>
      </c>
      <c r="K7" s="95">
        <v>8</v>
      </c>
      <c r="L7" s="95">
        <v>5</v>
      </c>
      <c r="M7" s="95">
        <v>4</v>
      </c>
      <c r="N7" s="27">
        <f>AVERAGE(F7:M7)</f>
        <v>6.375</v>
      </c>
      <c r="O7" s="24"/>
      <c r="Q7" s="25"/>
    </row>
    <row r="8" spans="1:17" hidden="1" x14ac:dyDescent="0.3">
      <c r="A8" s="5"/>
      <c r="B8" s="17"/>
      <c r="C8" s="50"/>
      <c r="D8" s="9"/>
      <c r="F8" s="17"/>
      <c r="G8" s="17"/>
      <c r="H8" s="17"/>
      <c r="I8" s="17"/>
      <c r="J8" s="17"/>
      <c r="K8" s="17"/>
      <c r="L8" s="17"/>
      <c r="M8" s="17"/>
      <c r="N8" s="27"/>
      <c r="O8" s="24"/>
    </row>
    <row r="9" spans="1:17" x14ac:dyDescent="0.3">
      <c r="O9" s="24"/>
    </row>
  </sheetData>
  <mergeCells count="2">
    <mergeCell ref="E3:E7"/>
    <mergeCell ref="A1:B1"/>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ED51E-49F5-4E4F-9190-C2F262BF3AC2}">
  <sheetPr>
    <pageSetUpPr fitToPage="1"/>
  </sheetPr>
  <dimension ref="A1:X17"/>
  <sheetViews>
    <sheetView zoomScale="95" zoomScaleNormal="95" workbookViewId="0">
      <pane xSplit="1" ySplit="2" topLeftCell="B3" activePane="bottomRight" state="frozen"/>
      <selection pane="topRight" activeCell="B1" sqref="B1"/>
      <selection pane="bottomLeft" activeCell="A4" sqref="A4"/>
      <selection pane="bottomRight" activeCell="C21" sqref="C21"/>
    </sheetView>
  </sheetViews>
  <sheetFormatPr defaultColWidth="9.140625" defaultRowHeight="16.5" x14ac:dyDescent="0.3"/>
  <cols>
    <col min="1" max="1" width="46.7109375" style="1" customWidth="1"/>
    <col min="2" max="6" width="13.7109375" style="1" customWidth="1"/>
    <col min="7" max="7" width="6" style="1" customWidth="1"/>
    <col min="8" max="8" width="11.7109375" style="10" hidden="1" customWidth="1"/>
    <col min="9" max="9" width="11.7109375" style="1" hidden="1" customWidth="1"/>
    <col min="10" max="10" width="13.7109375" style="1" hidden="1" customWidth="1"/>
    <col min="11" max="11" width="2" style="1" hidden="1" customWidth="1"/>
    <col min="12" max="19" width="14.28515625" style="1" hidden="1" customWidth="1"/>
    <col min="20" max="20" width="13.7109375" style="1" hidden="1" customWidth="1"/>
    <col min="21" max="21" width="75.7109375" style="1" hidden="1" customWidth="1"/>
    <col min="22" max="22" width="14" style="1" hidden="1" customWidth="1"/>
    <col min="23" max="23" width="6" style="1" customWidth="1"/>
    <col min="24" max="24" width="14.140625" style="1" bestFit="1" customWidth="1"/>
    <col min="25" max="16384" width="9.140625" style="1"/>
  </cols>
  <sheetData>
    <row r="1" spans="1:24" s="13" customFormat="1" ht="24.75" customHeight="1" x14ac:dyDescent="0.2">
      <c r="A1" s="174" t="str">
        <f>' Master'!C5</f>
        <v>Key Staff Interviews</v>
      </c>
      <c r="B1" s="145"/>
      <c r="C1" s="145"/>
      <c r="D1" s="145"/>
      <c r="E1" s="97" t="s">
        <v>57</v>
      </c>
      <c r="F1" s="66">
        <f>' Master'!D5</f>
        <v>0.1</v>
      </c>
      <c r="G1" s="139"/>
      <c r="H1" s="68"/>
      <c r="K1" s="75"/>
      <c r="L1" s="75"/>
      <c r="M1" s="75"/>
      <c r="N1" s="75"/>
      <c r="O1" s="75"/>
      <c r="P1" s="75"/>
      <c r="Q1" s="75"/>
      <c r="R1" s="75"/>
      <c r="S1" s="75"/>
      <c r="T1" s="75"/>
      <c r="X1" s="99"/>
    </row>
    <row r="2" spans="1:24" s="14" customFormat="1" ht="24" customHeight="1" x14ac:dyDescent="0.2">
      <c r="A2" s="97" t="s">
        <v>113</v>
      </c>
      <c r="B2" s="143" t="str">
        <f>'Summary Total'!A3</f>
        <v>Accenture</v>
      </c>
      <c r="C2" s="143" t="str">
        <f>'Summary Total'!A4</f>
        <v>Deloitte</v>
      </c>
      <c r="D2" s="143" t="str">
        <f>'Summary Total'!A5</f>
        <v>Gainwell</v>
      </c>
      <c r="E2" s="143" t="str">
        <f>'Summary Total'!A6</f>
        <v>Kyndryl</v>
      </c>
      <c r="F2" s="146" t="str">
        <f>'Summary Total'!A7</f>
        <v>Peraton</v>
      </c>
      <c r="G2" s="140"/>
      <c r="H2" s="97" t="s">
        <v>118</v>
      </c>
      <c r="I2" s="97" t="s">
        <v>119</v>
      </c>
      <c r="J2" s="97"/>
      <c r="K2" s="166"/>
      <c r="U2" s="69" t="s">
        <v>124</v>
      </c>
      <c r="X2" s="22"/>
    </row>
    <row r="3" spans="1:24" x14ac:dyDescent="0.3">
      <c r="A3" s="148" t="str">
        <f>'Staff Quals-Exp'!F2</f>
        <v>Infrastructure Project Manager</v>
      </c>
      <c r="B3" s="95">
        <v>7</v>
      </c>
      <c r="C3" s="95">
        <v>8</v>
      </c>
      <c r="D3" s="95">
        <v>10</v>
      </c>
      <c r="E3" s="95">
        <v>3</v>
      </c>
      <c r="F3" s="95">
        <v>8</v>
      </c>
      <c r="H3" s="17">
        <f>_xlfn.RANK.AVG(J3,$J$3:$J$8)</f>
        <v>4.5</v>
      </c>
      <c r="I3" s="50">
        <f>T3</f>
        <v>6.375</v>
      </c>
      <c r="J3" s="27">
        <f>I3*$F$1*10</f>
        <v>6.3750000000000009</v>
      </c>
      <c r="K3" s="238"/>
      <c r="L3" s="95">
        <v>8</v>
      </c>
      <c r="M3" s="95">
        <v>6</v>
      </c>
      <c r="N3" s="95">
        <v>8</v>
      </c>
      <c r="O3" s="95">
        <v>4</v>
      </c>
      <c r="P3" s="95">
        <v>8</v>
      </c>
      <c r="Q3" s="95">
        <v>8</v>
      </c>
      <c r="R3" s="95">
        <v>5</v>
      </c>
      <c r="S3" s="95">
        <v>4</v>
      </c>
      <c r="T3" s="27">
        <f>AVERAGE(L3:S3)</f>
        <v>6.375</v>
      </c>
      <c r="U3" s="51"/>
      <c r="V3" s="24"/>
      <c r="X3" s="25"/>
    </row>
    <row r="4" spans="1:24" x14ac:dyDescent="0.3">
      <c r="A4" s="148" t="str">
        <f>'Staff Quals-Exp'!G2</f>
        <v>Infrastructure PMO Lead</v>
      </c>
      <c r="B4" s="95">
        <v>9</v>
      </c>
      <c r="C4" s="95">
        <v>9</v>
      </c>
      <c r="D4" s="95">
        <v>8</v>
      </c>
      <c r="E4" s="95">
        <v>6</v>
      </c>
      <c r="F4" s="95">
        <v>6</v>
      </c>
      <c r="H4" s="17">
        <f>_xlfn.RANK.AVG(J4,$J$3:$J$8)</f>
        <v>2</v>
      </c>
      <c r="I4" s="50">
        <f>T4</f>
        <v>8</v>
      </c>
      <c r="J4" s="9">
        <f>I4*$F$1*10</f>
        <v>8</v>
      </c>
      <c r="K4" s="238"/>
      <c r="L4" s="95">
        <v>8</v>
      </c>
      <c r="M4" s="95">
        <v>9</v>
      </c>
      <c r="N4" s="95">
        <v>8</v>
      </c>
      <c r="O4" s="95">
        <v>9</v>
      </c>
      <c r="P4" s="95">
        <v>9</v>
      </c>
      <c r="Q4" s="95">
        <v>7</v>
      </c>
      <c r="R4" s="95">
        <v>5</v>
      </c>
      <c r="S4" s="95">
        <v>9</v>
      </c>
      <c r="T4" s="27">
        <f>AVERAGE(L4:S4)</f>
        <v>8</v>
      </c>
      <c r="U4" s="5"/>
      <c r="V4" s="24"/>
      <c r="X4" s="25"/>
    </row>
    <row r="5" spans="1:24" ht="17.25" customHeight="1" x14ac:dyDescent="0.3">
      <c r="A5" s="148" t="str">
        <f>'Staff Quals-Exp'!H2</f>
        <v>Infrastructure Delivery Integration Manager</v>
      </c>
      <c r="B5" s="95">
        <v>9</v>
      </c>
      <c r="C5" s="95">
        <v>8</v>
      </c>
      <c r="D5" s="95">
        <v>7</v>
      </c>
      <c r="E5" s="95">
        <v>9</v>
      </c>
      <c r="F5" s="95">
        <v>8</v>
      </c>
      <c r="H5" s="17">
        <f>_xlfn.RANK.AVG(J5,$J$3:$J$8)</f>
        <v>1</v>
      </c>
      <c r="I5" s="50">
        <f>T5</f>
        <v>8.5</v>
      </c>
      <c r="J5" s="9">
        <f>I5*$F$1*10</f>
        <v>8.5</v>
      </c>
      <c r="K5" s="238"/>
      <c r="L5" s="95">
        <v>7</v>
      </c>
      <c r="M5" s="95">
        <v>9</v>
      </c>
      <c r="N5" s="95">
        <v>9</v>
      </c>
      <c r="O5" s="95">
        <v>9</v>
      </c>
      <c r="P5" s="95">
        <v>6</v>
      </c>
      <c r="Q5" s="95">
        <v>9</v>
      </c>
      <c r="R5" s="95">
        <v>9</v>
      </c>
      <c r="S5" s="95">
        <v>10</v>
      </c>
      <c r="T5" s="27">
        <f>AVERAGE(L5:S5)</f>
        <v>8.5</v>
      </c>
      <c r="U5" s="5"/>
      <c r="V5" s="24"/>
      <c r="X5" s="25"/>
    </row>
    <row r="6" spans="1:24" x14ac:dyDescent="0.3">
      <c r="A6" s="148" t="str">
        <f>'Staff Quals-Exp'!I2</f>
        <v>Infrastructure Transition Manager</v>
      </c>
      <c r="B6" s="95">
        <v>9</v>
      </c>
      <c r="C6" s="95">
        <v>9</v>
      </c>
      <c r="D6" s="95">
        <v>6</v>
      </c>
      <c r="E6" s="95">
        <v>6</v>
      </c>
      <c r="F6" s="95">
        <v>4</v>
      </c>
      <c r="H6" s="17">
        <f>_xlfn.RANK.AVG(J6,$J$3:$J$8)</f>
        <v>4.5</v>
      </c>
      <c r="I6" s="50">
        <f>T6</f>
        <v>6.375</v>
      </c>
      <c r="J6" s="9">
        <f>I6*$F$1*10</f>
        <v>6.3750000000000009</v>
      </c>
      <c r="K6" s="238"/>
      <c r="L6" s="95">
        <v>3</v>
      </c>
      <c r="M6" s="95">
        <v>6</v>
      </c>
      <c r="N6" s="95">
        <v>9</v>
      </c>
      <c r="O6" s="95">
        <v>6</v>
      </c>
      <c r="P6" s="95">
        <v>6</v>
      </c>
      <c r="Q6" s="95">
        <v>7</v>
      </c>
      <c r="R6" s="95">
        <v>5</v>
      </c>
      <c r="S6" s="95">
        <v>9</v>
      </c>
      <c r="T6" s="27">
        <f>AVERAGE(L6:S6)</f>
        <v>6.375</v>
      </c>
      <c r="U6" s="5"/>
      <c r="V6" s="24"/>
      <c r="X6" s="25"/>
    </row>
    <row r="7" spans="1:24" x14ac:dyDescent="0.3">
      <c r="A7" s="148" t="str">
        <f>'Staff Quals-Exp'!J2</f>
        <v>Infrastructure Operations Manager</v>
      </c>
      <c r="B7" s="95">
        <v>6</v>
      </c>
      <c r="C7" s="95">
        <v>9</v>
      </c>
      <c r="D7" s="95">
        <v>6</v>
      </c>
      <c r="E7" s="95">
        <v>6</v>
      </c>
      <c r="F7" s="95">
        <v>8</v>
      </c>
      <c r="H7" s="17">
        <f>_xlfn.RANK.AVG(J7,$J$3:$J$8)</f>
        <v>3</v>
      </c>
      <c r="I7" s="50">
        <f>T7</f>
        <v>7.25</v>
      </c>
      <c r="J7" s="9">
        <f>I7*$F$1*10</f>
        <v>7.2500000000000009</v>
      </c>
      <c r="K7" s="238"/>
      <c r="L7" s="95">
        <v>10</v>
      </c>
      <c r="M7" s="95">
        <v>8</v>
      </c>
      <c r="N7" s="95">
        <v>7</v>
      </c>
      <c r="O7" s="95">
        <v>6</v>
      </c>
      <c r="P7" s="95">
        <v>6</v>
      </c>
      <c r="Q7" s="95">
        <v>9</v>
      </c>
      <c r="R7" s="95">
        <v>7</v>
      </c>
      <c r="S7" s="95">
        <v>5</v>
      </c>
      <c r="T7" s="27">
        <f>AVERAGE(L7:S7)</f>
        <v>7.25</v>
      </c>
      <c r="U7" s="5"/>
      <c r="V7" s="24"/>
      <c r="X7" s="25"/>
    </row>
    <row r="8" spans="1:24" x14ac:dyDescent="0.3">
      <c r="A8" s="148" t="str">
        <f>'Staff Quals-Exp'!K2</f>
        <v>Infrastructure Security Manager</v>
      </c>
      <c r="B8" s="95">
        <v>9</v>
      </c>
      <c r="C8" s="95">
        <v>7</v>
      </c>
      <c r="D8" s="95">
        <v>9</v>
      </c>
      <c r="E8" s="95">
        <v>7</v>
      </c>
      <c r="F8" s="95">
        <v>8</v>
      </c>
      <c r="H8" s="17"/>
      <c r="I8" s="50"/>
      <c r="J8" s="9"/>
      <c r="L8" s="17"/>
      <c r="M8" s="17"/>
      <c r="N8" s="17"/>
      <c r="O8" s="17"/>
      <c r="P8" s="17"/>
      <c r="Q8" s="17"/>
      <c r="R8" s="17"/>
      <c r="S8" s="17"/>
      <c r="T8" s="27"/>
      <c r="U8" s="5"/>
      <c r="V8" s="24"/>
    </row>
    <row r="9" spans="1:24" ht="15" customHeight="1" x14ac:dyDescent="0.3">
      <c r="A9" s="148" t="str">
        <f>'Staff Quals-Exp'!L2</f>
        <v>Infrastructure Operations Service Desk Lead</v>
      </c>
      <c r="B9" s="95">
        <v>9</v>
      </c>
      <c r="C9" s="95">
        <v>5</v>
      </c>
      <c r="D9" s="95">
        <v>7</v>
      </c>
      <c r="E9" s="95">
        <v>5</v>
      </c>
      <c r="F9" s="95">
        <v>5</v>
      </c>
      <c r="U9" s="72"/>
      <c r="V9" s="24"/>
    </row>
    <row r="10" spans="1:24" x14ac:dyDescent="0.3">
      <c r="A10" s="149" t="str">
        <f>'Staff Quals-Exp'!M2</f>
        <v>Infrastructure AWS Manager</v>
      </c>
      <c r="B10" s="95">
        <v>10</v>
      </c>
      <c r="C10" s="95">
        <v>9</v>
      </c>
      <c r="D10" s="95">
        <v>5</v>
      </c>
      <c r="E10" s="95">
        <v>9</v>
      </c>
      <c r="F10" s="95">
        <v>4</v>
      </c>
    </row>
    <row r="11" spans="1:24" ht="7.5" customHeight="1" x14ac:dyDescent="0.3">
      <c r="A11" s="147"/>
      <c r="U11" s="163"/>
    </row>
    <row r="12" spans="1:24" x14ac:dyDescent="0.3">
      <c r="A12" s="68" t="s">
        <v>123</v>
      </c>
      <c r="B12" s="142">
        <f>AVERAGE(B3:B10)</f>
        <v>8.5</v>
      </c>
      <c r="C12" s="142">
        <f>AVERAGE(C3:C10)</f>
        <v>8</v>
      </c>
      <c r="D12" s="142">
        <f>AVERAGE(D3:D10)</f>
        <v>7.25</v>
      </c>
      <c r="E12" s="142">
        <f>AVERAGE(E3:E10)</f>
        <v>6.375</v>
      </c>
      <c r="F12" s="142">
        <f>AVERAGE(F3:F10)</f>
        <v>6.375</v>
      </c>
      <c r="U12" s="163"/>
    </row>
    <row r="13" spans="1:24" ht="8.25" customHeight="1" x14ac:dyDescent="0.3">
      <c r="A13" s="147"/>
    </row>
    <row r="14" spans="1:24" x14ac:dyDescent="0.3">
      <c r="A14" s="68" t="s">
        <v>122</v>
      </c>
      <c r="B14" s="142">
        <f>B12*$F$1*10</f>
        <v>8.5</v>
      </c>
      <c r="C14" s="142">
        <f>C12*$F$1*10</f>
        <v>8</v>
      </c>
      <c r="D14" s="142">
        <f>D12*$F$1*10</f>
        <v>7.2500000000000009</v>
      </c>
      <c r="E14" s="142">
        <f>E12*$F$1*10</f>
        <v>6.3750000000000009</v>
      </c>
      <c r="F14" s="142">
        <f>F12*$F$1*10</f>
        <v>6.3750000000000009</v>
      </c>
    </row>
    <row r="15" spans="1:24" ht="23.25" customHeight="1" x14ac:dyDescent="0.3">
      <c r="A15" s="147"/>
    </row>
    <row r="16" spans="1:24" x14ac:dyDescent="0.3">
      <c r="A16" s="68" t="s">
        <v>125</v>
      </c>
      <c r="B16" s="143">
        <f>'Oral Presentations'!C3</f>
        <v>7</v>
      </c>
      <c r="C16" s="143">
        <f>'Oral Presentations'!C4</f>
        <v>6</v>
      </c>
      <c r="D16" s="143">
        <f>'Oral Presentations'!C5</f>
        <v>8</v>
      </c>
      <c r="E16" s="143">
        <f>'Oral Presentations'!C6</f>
        <v>8</v>
      </c>
      <c r="F16" s="143">
        <f>'Oral Presentations'!C7</f>
        <v>6</v>
      </c>
    </row>
    <row r="17" spans="1:6" x14ac:dyDescent="0.3">
      <c r="A17" s="68" t="s">
        <v>126</v>
      </c>
      <c r="B17" s="142">
        <f>'Oral Presentations'!D3</f>
        <v>3.5000000000000004</v>
      </c>
      <c r="C17" s="142">
        <f>'Oral Presentations'!D4</f>
        <v>3.0000000000000004</v>
      </c>
      <c r="D17" s="142">
        <f>'Oral Presentations'!D5</f>
        <v>4</v>
      </c>
      <c r="E17" s="142">
        <f>'Oral Presentations'!D6</f>
        <v>4</v>
      </c>
      <c r="F17" s="142">
        <f>'Oral Presentations'!D7</f>
        <v>3.0000000000000004</v>
      </c>
    </row>
  </sheetData>
  <mergeCells count="1">
    <mergeCell ref="K3:K7"/>
  </mergeCells>
  <pageMargins left="0.7" right="0.7" top="0.75" bottom="0.7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DFAFF-16DC-4861-BF6B-0248ED5F86E4}">
  <sheetPr>
    <pageSetUpPr fitToPage="1"/>
  </sheetPr>
  <dimension ref="A1:P10"/>
  <sheetViews>
    <sheetView zoomScaleNormal="100" workbookViewId="0">
      <pane xSplit="1" ySplit="3" topLeftCell="B4" activePane="bottomRight" state="frozen"/>
      <selection pane="topRight" activeCell="B1" sqref="B1"/>
      <selection pane="bottomLeft" activeCell="A4" sqref="A4"/>
      <selection pane="bottomRight" activeCell="L19" sqref="L19"/>
    </sheetView>
  </sheetViews>
  <sheetFormatPr defaultColWidth="9.140625" defaultRowHeight="16.5" x14ac:dyDescent="0.3"/>
  <cols>
    <col min="1" max="1" width="14.7109375" style="1" customWidth="1"/>
    <col min="2" max="2" width="10.7109375" style="10" customWidth="1"/>
    <col min="3" max="3" width="10.7109375" style="1" customWidth="1"/>
    <col min="4" max="4" width="11.7109375" style="1" customWidth="1"/>
    <col min="5" max="5" width="10.7109375" style="1" customWidth="1"/>
    <col min="6" max="6" width="11.7109375" style="1" customWidth="1"/>
    <col min="7" max="7" width="10.7109375" style="1" customWidth="1"/>
    <col min="8" max="8" width="11.7109375" style="1" customWidth="1"/>
    <col min="9" max="9" width="10.7109375" style="1" customWidth="1"/>
    <col min="10" max="10" width="11.7109375" style="1" customWidth="1"/>
    <col min="11" max="11" width="10.7109375" style="1" customWidth="1"/>
    <col min="12" max="13" width="11.7109375" style="1" customWidth="1"/>
    <col min="14" max="14" width="14" style="1" customWidth="1"/>
    <col min="15" max="15" width="6" style="1" customWidth="1"/>
    <col min="16" max="16" width="14.140625" style="1" bestFit="1" customWidth="1"/>
    <col min="17" max="16384" width="9.140625" style="1"/>
  </cols>
  <sheetData>
    <row r="1" spans="1:16" s="13" customFormat="1" ht="20.100000000000001" customHeight="1" x14ac:dyDescent="0.2">
      <c r="A1" s="157" t="s">
        <v>127</v>
      </c>
      <c r="B1" s="178">
        <v>0.5</v>
      </c>
      <c r="C1" s="223" t="s">
        <v>128</v>
      </c>
      <c r="D1" s="223"/>
      <c r="E1" s="223"/>
      <c r="F1" s="223"/>
      <c r="G1" s="223"/>
      <c r="H1" s="223"/>
      <c r="I1" s="223"/>
      <c r="J1" s="223"/>
      <c r="K1" s="223"/>
      <c r="L1" s="223"/>
      <c r="M1" s="233"/>
      <c r="P1" s="99"/>
    </row>
    <row r="2" spans="1:16" ht="20.100000000000001" customHeight="1" x14ac:dyDescent="0.3">
      <c r="A2" s="248"/>
      <c r="B2" s="249"/>
      <c r="C2" s="231" t="s">
        <v>129</v>
      </c>
      <c r="D2" s="89">
        <v>0.1</v>
      </c>
      <c r="E2" s="231" t="s">
        <v>130</v>
      </c>
      <c r="F2" s="86">
        <v>0.1</v>
      </c>
      <c r="G2" s="212" t="s">
        <v>131</v>
      </c>
      <c r="H2" s="86">
        <v>0.1</v>
      </c>
      <c r="I2" s="212" t="s">
        <v>132</v>
      </c>
      <c r="J2" s="86">
        <v>0.15</v>
      </c>
      <c r="K2" s="212" t="s">
        <v>133</v>
      </c>
      <c r="L2" s="89">
        <v>0.05</v>
      </c>
      <c r="M2" s="158"/>
    </row>
    <row r="3" spans="1:16" s="14" customFormat="1" ht="45" customHeight="1" x14ac:dyDescent="0.2">
      <c r="A3" s="168" t="s">
        <v>49</v>
      </c>
      <c r="B3" s="168" t="s">
        <v>118</v>
      </c>
      <c r="C3" s="233"/>
      <c r="D3" s="97" t="s">
        <v>134</v>
      </c>
      <c r="E3" s="233"/>
      <c r="F3" s="97" t="s">
        <v>135</v>
      </c>
      <c r="G3" s="214"/>
      <c r="H3" s="97" t="s">
        <v>136</v>
      </c>
      <c r="I3" s="214"/>
      <c r="J3" s="97" t="s">
        <v>137</v>
      </c>
      <c r="K3" s="214"/>
      <c r="L3" s="97" t="s">
        <v>138</v>
      </c>
      <c r="M3" s="97" t="s">
        <v>139</v>
      </c>
      <c r="O3" s="22"/>
    </row>
    <row r="4" spans="1:16" x14ac:dyDescent="0.3">
      <c r="A4" s="5" t="str">
        <f>'Summary Total'!A3</f>
        <v>Accenture</v>
      </c>
      <c r="B4" s="17">
        <f>_xlfn.RANK.AVG(M4,$M$4:$M$9)</f>
        <v>3</v>
      </c>
      <c r="C4" s="23">
        <f>'U&amp;A Requirement Detail'!E4</f>
        <v>3</v>
      </c>
      <c r="D4" s="23">
        <f>C4/4*D$2*100</f>
        <v>7.5000000000000009</v>
      </c>
      <c r="E4" s="23">
        <f>'U&amp;A Requirement Detail'!I4</f>
        <v>3</v>
      </c>
      <c r="F4" s="23">
        <f>E4/4*F$2*100</f>
        <v>7.5000000000000009</v>
      </c>
      <c r="G4" s="23">
        <f>'U&amp;A Requirement Detail'!M4</f>
        <v>3</v>
      </c>
      <c r="H4" s="23">
        <f>G4/4*H$2*100</f>
        <v>7.5000000000000009</v>
      </c>
      <c r="I4" s="23">
        <f>'U&amp;A Requirement Detail'!R4</f>
        <v>3.25</v>
      </c>
      <c r="J4" s="23">
        <f>I4/4*J$2*100</f>
        <v>12.1875</v>
      </c>
      <c r="K4" s="23">
        <f>'U&amp;A Requirement Detail'!V4</f>
        <v>3.3333333333333335</v>
      </c>
      <c r="L4" s="23">
        <f>K4/4*L$2*100</f>
        <v>4.166666666666667</v>
      </c>
      <c r="M4" s="27">
        <f>SUM(D4,F4,H4,J4,L4)</f>
        <v>38.854166666666664</v>
      </c>
      <c r="N4" s="24"/>
      <c r="O4" s="25"/>
    </row>
    <row r="5" spans="1:16" x14ac:dyDescent="0.3">
      <c r="A5" s="5" t="str">
        <f>'Summary Total'!A4</f>
        <v>Deloitte</v>
      </c>
      <c r="B5" s="17">
        <f>_xlfn.RANK.AVG(M5,$M$4:$M$9)</f>
        <v>2</v>
      </c>
      <c r="C5" s="23">
        <f>'U&amp;A Requirement Detail'!E5</f>
        <v>3.6666666666666665</v>
      </c>
      <c r="D5" s="23">
        <f>C5/4*D$2*100</f>
        <v>9.1666666666666679</v>
      </c>
      <c r="E5" s="23">
        <f>'U&amp;A Requirement Detail'!I5</f>
        <v>3.3333333333333335</v>
      </c>
      <c r="F5" s="23">
        <f>E5/4*F$2*100</f>
        <v>8.3333333333333339</v>
      </c>
      <c r="G5" s="23">
        <f>'U&amp;A Requirement Detail'!M5</f>
        <v>3</v>
      </c>
      <c r="H5" s="23">
        <f>G5/4*H$2*100</f>
        <v>7.5000000000000009</v>
      </c>
      <c r="I5" s="23">
        <f>'U&amp;A Requirement Detail'!R5</f>
        <v>3.5</v>
      </c>
      <c r="J5" s="23">
        <f>I5/4*J$2*100</f>
        <v>13.125</v>
      </c>
      <c r="K5" s="23">
        <f>'U&amp;A Requirement Detail'!V5</f>
        <v>3</v>
      </c>
      <c r="L5" s="23">
        <f>K5/4*L$2*100</f>
        <v>3.7500000000000004</v>
      </c>
      <c r="M5" s="27">
        <f>SUM(D5,F5,H5,J5,L5)</f>
        <v>41.875</v>
      </c>
      <c r="N5" s="24"/>
      <c r="O5" s="25"/>
    </row>
    <row r="6" spans="1:16" x14ac:dyDescent="0.3">
      <c r="A6" s="5" t="str">
        <f>'Summary Total'!A5</f>
        <v>Gainwell</v>
      </c>
      <c r="B6" s="17">
        <f>_xlfn.RANK.AVG(M6,$M$4:$M$9)</f>
        <v>1</v>
      </c>
      <c r="C6" s="23">
        <f>'U&amp;A Requirement Detail'!E6</f>
        <v>3.3333333333333335</v>
      </c>
      <c r="D6" s="23">
        <f>C6/4*D$2*100</f>
        <v>8.3333333333333339</v>
      </c>
      <c r="E6" s="23">
        <f>'U&amp;A Requirement Detail'!I6</f>
        <v>3.3333333333333335</v>
      </c>
      <c r="F6" s="23">
        <f>E6/4*F$2*100</f>
        <v>8.3333333333333339</v>
      </c>
      <c r="G6" s="23">
        <f>'U&amp;A Requirement Detail'!M6</f>
        <v>3</v>
      </c>
      <c r="H6" s="23">
        <f>G6/4*H$2*100</f>
        <v>7.5000000000000009</v>
      </c>
      <c r="I6" s="23">
        <f>'U&amp;A Requirement Detail'!R6</f>
        <v>3.75</v>
      </c>
      <c r="J6" s="23">
        <f>I6/4*J$2*100</f>
        <v>14.0625</v>
      </c>
      <c r="K6" s="23">
        <f>'U&amp;A Requirement Detail'!V6</f>
        <v>3.3333333333333335</v>
      </c>
      <c r="L6" s="23">
        <f>K6/4*L$2*100</f>
        <v>4.166666666666667</v>
      </c>
      <c r="M6" s="27">
        <f>SUM(D6,F6,H6,J6,L6)</f>
        <v>42.395833333333336</v>
      </c>
      <c r="N6" s="24"/>
      <c r="O6" s="25"/>
    </row>
    <row r="7" spans="1:16" x14ac:dyDescent="0.3">
      <c r="A7" s="5" t="str">
        <f>'Summary Total'!A6</f>
        <v>Kyndryl</v>
      </c>
      <c r="B7" s="17">
        <f>_xlfn.RANK.AVG(M7,$M$4:$M$9)</f>
        <v>5</v>
      </c>
      <c r="C7" s="23">
        <f>'U&amp;A Requirement Detail'!E7</f>
        <v>2.6666666666666665</v>
      </c>
      <c r="D7" s="23">
        <f>C7/4*D$2*100</f>
        <v>6.666666666666667</v>
      </c>
      <c r="E7" s="23">
        <f>'U&amp;A Requirement Detail'!I7</f>
        <v>2.3333333333333335</v>
      </c>
      <c r="F7" s="23">
        <f>E7/4*F$2*100</f>
        <v>5.8333333333333339</v>
      </c>
      <c r="G7" s="23">
        <f>'U&amp;A Requirement Detail'!M7</f>
        <v>2.6666666666666665</v>
      </c>
      <c r="H7" s="23">
        <f>G7/4*H$2*100</f>
        <v>6.666666666666667</v>
      </c>
      <c r="I7" s="23">
        <f>'U&amp;A Requirement Detail'!R7</f>
        <v>2.25</v>
      </c>
      <c r="J7" s="23">
        <f>I7/4*J$2*100</f>
        <v>8.4375</v>
      </c>
      <c r="K7" s="23">
        <f>'U&amp;A Requirement Detail'!V7</f>
        <v>3</v>
      </c>
      <c r="L7" s="23">
        <f>K7/4*L$2*100</f>
        <v>3.7500000000000004</v>
      </c>
      <c r="M7" s="27">
        <f>SUM(D7,F7,H7,J7,L7)</f>
        <v>31.354166666666668</v>
      </c>
      <c r="N7" s="24"/>
      <c r="O7" s="25"/>
    </row>
    <row r="8" spans="1:16" x14ac:dyDescent="0.3">
      <c r="A8" s="51" t="str">
        <f>'Summary Total'!A7</f>
        <v>Peraton</v>
      </c>
      <c r="B8" s="17">
        <f>_xlfn.RANK.AVG(M8,$M$4:$M$9)</f>
        <v>4</v>
      </c>
      <c r="C8" s="23">
        <f>'U&amp;A Requirement Detail'!E8</f>
        <v>3</v>
      </c>
      <c r="D8" s="23">
        <f>C8/4*D$2*100</f>
        <v>7.5000000000000009</v>
      </c>
      <c r="E8" s="23">
        <f>'U&amp;A Requirement Detail'!I8</f>
        <v>3.3333333333333335</v>
      </c>
      <c r="F8" s="23">
        <f>E8/4*F$2*100</f>
        <v>8.3333333333333339</v>
      </c>
      <c r="G8" s="23">
        <f>'U&amp;A Requirement Detail'!M8</f>
        <v>3</v>
      </c>
      <c r="H8" s="23">
        <f>G8/4*H$2*100</f>
        <v>7.5000000000000009</v>
      </c>
      <c r="I8" s="23">
        <f>'U&amp;A Requirement Detail'!R8</f>
        <v>2.5</v>
      </c>
      <c r="J8" s="23">
        <f>I8/4*J$2*100</f>
        <v>9.375</v>
      </c>
      <c r="K8" s="23">
        <f>'U&amp;A Requirement Detail'!V8</f>
        <v>3.3333333333333335</v>
      </c>
      <c r="L8" s="23">
        <f>K8/4*L$2*100</f>
        <v>4.166666666666667</v>
      </c>
      <c r="M8" s="27">
        <f>SUM(D8,F8,H8,J8,L8)</f>
        <v>36.875</v>
      </c>
      <c r="N8" s="24"/>
      <c r="O8" s="25"/>
    </row>
    <row r="9" spans="1:16" hidden="1" x14ac:dyDescent="0.3">
      <c r="A9" s="5"/>
      <c r="B9" s="17"/>
      <c r="C9" s="74"/>
      <c r="D9" s="23"/>
      <c r="E9" s="74"/>
      <c r="F9" s="23"/>
      <c r="G9" s="74"/>
      <c r="H9" s="23"/>
      <c r="I9" s="74"/>
      <c r="J9" s="23"/>
      <c r="K9" s="74"/>
      <c r="L9" s="23"/>
      <c r="M9" s="23"/>
      <c r="N9" s="24"/>
    </row>
    <row r="10" spans="1:16" x14ac:dyDescent="0.3">
      <c r="C10" s="70"/>
      <c r="N10" s="24"/>
    </row>
  </sheetData>
  <mergeCells count="7">
    <mergeCell ref="K2:K3"/>
    <mergeCell ref="C1:M1"/>
    <mergeCell ref="A2:B2"/>
    <mergeCell ref="C2:C3"/>
    <mergeCell ref="E2:E3"/>
    <mergeCell ref="G2:G3"/>
    <mergeCell ref="I2:I3"/>
  </mergeCells>
  <pageMargins left="0.7" right="0.7" top="0.75" bottom="0.75" header="0.3" footer="0.3"/>
  <pageSetup scale="81" orientation="landscape" r:id="rId1"/>
  <ignoredErrors>
    <ignoredError sqref="J8 H8 D8 K8 E8 G8 I8 E4:E7 G4:G7 I4:I7 K4:K7" formula="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BF12AC-F908-483B-AA8B-6F82B78F2133}">
  <sheetPr>
    <pageSetUpPr fitToPage="1"/>
  </sheetPr>
  <dimension ref="A1:W8"/>
  <sheetViews>
    <sheetView zoomScale="95" zoomScaleNormal="95" workbookViewId="0">
      <pane xSplit="5" ySplit="1" topLeftCell="F3" activePane="bottomRight" state="frozen"/>
      <selection pane="topRight" activeCell="C1" sqref="C1"/>
      <selection pane="bottomLeft" activeCell="A3" sqref="A3"/>
      <selection pane="bottomRight" activeCell="S17" sqref="S17"/>
    </sheetView>
  </sheetViews>
  <sheetFormatPr defaultColWidth="9.140625" defaultRowHeight="16.5" x14ac:dyDescent="0.3"/>
  <cols>
    <col min="1" max="1" width="18.7109375" style="1" customWidth="1"/>
    <col min="2" max="22" width="9.7109375" style="1" customWidth="1"/>
    <col min="23" max="40" width="10.7109375" style="1" customWidth="1"/>
    <col min="41" max="16384" width="9.140625" style="1"/>
  </cols>
  <sheetData>
    <row r="1" spans="1:23" ht="32.1" customHeight="1" thickBot="1" x14ac:dyDescent="0.35">
      <c r="A1" s="250" t="s">
        <v>140</v>
      </c>
      <c r="B1" s="253" t="s">
        <v>141</v>
      </c>
      <c r="C1" s="254"/>
      <c r="D1" s="254"/>
      <c r="E1" s="255"/>
      <c r="F1" s="253" t="s">
        <v>142</v>
      </c>
      <c r="G1" s="254"/>
      <c r="H1" s="254"/>
      <c r="I1" s="255"/>
      <c r="J1" s="253" t="s">
        <v>143</v>
      </c>
      <c r="K1" s="254"/>
      <c r="L1" s="254"/>
      <c r="M1" s="255"/>
      <c r="N1" s="258" t="s">
        <v>144</v>
      </c>
      <c r="O1" s="222"/>
      <c r="P1" s="222"/>
      <c r="Q1" s="222"/>
      <c r="R1" s="259"/>
      <c r="S1" s="253" t="s">
        <v>145</v>
      </c>
      <c r="T1" s="254"/>
      <c r="U1" s="254"/>
      <c r="V1" s="255"/>
      <c r="W1" s="256" t="s">
        <v>13</v>
      </c>
    </row>
    <row r="2" spans="1:23" ht="18" hidden="1" customHeight="1" x14ac:dyDescent="0.3">
      <c r="A2" s="251"/>
      <c r="B2" s="100"/>
      <c r="C2" s="167"/>
      <c r="D2" s="167"/>
      <c r="E2" s="169"/>
      <c r="F2" s="100"/>
      <c r="G2" s="167"/>
      <c r="H2" s="167"/>
      <c r="I2" s="176"/>
      <c r="J2" s="164"/>
      <c r="K2" s="167"/>
      <c r="L2" s="167"/>
      <c r="M2" s="169"/>
      <c r="N2" s="100"/>
      <c r="O2" s="167"/>
      <c r="P2" s="167"/>
      <c r="Q2" s="167"/>
      <c r="R2" s="169"/>
      <c r="S2" s="100"/>
      <c r="T2" s="167"/>
      <c r="U2" s="167"/>
      <c r="V2" s="176"/>
      <c r="W2" s="256"/>
    </row>
    <row r="3" spans="1:23" ht="32.1" customHeight="1" x14ac:dyDescent="0.3">
      <c r="A3" s="252"/>
      <c r="B3" s="101" t="s">
        <v>146</v>
      </c>
      <c r="C3" s="168" t="s">
        <v>147</v>
      </c>
      <c r="D3" s="168" t="s">
        <v>148</v>
      </c>
      <c r="E3" s="170" t="s">
        <v>129</v>
      </c>
      <c r="F3" s="101" t="s">
        <v>149</v>
      </c>
      <c r="G3" s="168" t="s">
        <v>150</v>
      </c>
      <c r="H3" s="168" t="s">
        <v>151</v>
      </c>
      <c r="I3" s="177" t="s">
        <v>130</v>
      </c>
      <c r="J3" s="165" t="s">
        <v>152</v>
      </c>
      <c r="K3" s="168" t="s">
        <v>153</v>
      </c>
      <c r="L3" s="168" t="s">
        <v>154</v>
      </c>
      <c r="M3" s="170" t="s">
        <v>131</v>
      </c>
      <c r="N3" s="101" t="s">
        <v>155</v>
      </c>
      <c r="O3" s="168" t="s">
        <v>156</v>
      </c>
      <c r="P3" s="168" t="s">
        <v>157</v>
      </c>
      <c r="Q3" s="168" t="s">
        <v>158</v>
      </c>
      <c r="R3" s="170" t="s">
        <v>132</v>
      </c>
      <c r="S3" s="101" t="s">
        <v>159</v>
      </c>
      <c r="T3" s="168" t="s">
        <v>160</v>
      </c>
      <c r="U3" s="168" t="s">
        <v>161</v>
      </c>
      <c r="V3" s="177" t="s">
        <v>133</v>
      </c>
      <c r="W3" s="257"/>
    </row>
    <row r="4" spans="1:23" ht="21" customHeight="1" x14ac:dyDescent="0.3">
      <c r="A4" s="174" t="str">
        <f>' Master'!A5</f>
        <v>Accenture</v>
      </c>
      <c r="B4" s="153">
        <v>3</v>
      </c>
      <c r="C4" s="32">
        <v>3</v>
      </c>
      <c r="D4" s="32">
        <v>3</v>
      </c>
      <c r="E4" s="154">
        <f>AVERAGE(B4:D4)</f>
        <v>3</v>
      </c>
      <c r="F4" s="153">
        <v>3</v>
      </c>
      <c r="G4" s="32">
        <v>3</v>
      </c>
      <c r="H4" s="32">
        <v>3</v>
      </c>
      <c r="I4" s="155">
        <f>AVERAGE(F4:H4)</f>
        <v>3</v>
      </c>
      <c r="J4" s="160">
        <v>3</v>
      </c>
      <c r="K4" s="32">
        <v>3</v>
      </c>
      <c r="L4" s="32">
        <v>3</v>
      </c>
      <c r="M4" s="154">
        <f>AVERAGE(J4:L4)</f>
        <v>3</v>
      </c>
      <c r="N4" s="153">
        <v>3</v>
      </c>
      <c r="O4" s="32">
        <v>3</v>
      </c>
      <c r="P4" s="32">
        <v>4</v>
      </c>
      <c r="Q4" s="32">
        <v>3</v>
      </c>
      <c r="R4" s="154">
        <f>AVERAGE(N4:Q4)</f>
        <v>3.25</v>
      </c>
      <c r="S4" s="153">
        <v>4</v>
      </c>
      <c r="T4" s="32">
        <v>3</v>
      </c>
      <c r="U4" s="32">
        <v>3</v>
      </c>
      <c r="V4" s="155">
        <f>AVERAGE(S4:U4)</f>
        <v>3.3333333333333335</v>
      </c>
      <c r="W4" s="156">
        <f>SUM(E4,I4,M4,R4,V4)</f>
        <v>15.583333333333334</v>
      </c>
    </row>
    <row r="5" spans="1:23" ht="21" customHeight="1" x14ac:dyDescent="0.3">
      <c r="A5" s="174" t="str">
        <f>' Master'!A4</f>
        <v>Deloitte</v>
      </c>
      <c r="B5" s="153">
        <v>4</v>
      </c>
      <c r="C5" s="32">
        <v>3</v>
      </c>
      <c r="D5" s="32">
        <v>4</v>
      </c>
      <c r="E5" s="154">
        <f>AVERAGE(B5:D5)</f>
        <v>3.6666666666666665</v>
      </c>
      <c r="F5" s="153">
        <v>3</v>
      </c>
      <c r="G5" s="32">
        <v>4</v>
      </c>
      <c r="H5" s="32">
        <v>3</v>
      </c>
      <c r="I5" s="155">
        <f>AVERAGE(F5:H5)</f>
        <v>3.3333333333333335</v>
      </c>
      <c r="J5" s="160">
        <v>3</v>
      </c>
      <c r="K5" s="32">
        <v>3</v>
      </c>
      <c r="L5" s="32">
        <v>3</v>
      </c>
      <c r="M5" s="154">
        <f>AVERAGE(J5:L5)</f>
        <v>3</v>
      </c>
      <c r="N5" s="153">
        <v>4</v>
      </c>
      <c r="O5" s="32">
        <v>4</v>
      </c>
      <c r="P5" s="32">
        <v>3</v>
      </c>
      <c r="Q5" s="32">
        <v>3</v>
      </c>
      <c r="R5" s="154">
        <f>AVERAGE(N5:Q5)</f>
        <v>3.5</v>
      </c>
      <c r="S5" s="153">
        <v>3</v>
      </c>
      <c r="T5" s="32">
        <v>3</v>
      </c>
      <c r="U5" s="32">
        <v>3</v>
      </c>
      <c r="V5" s="155">
        <f>AVERAGE(S5:U5)</f>
        <v>3</v>
      </c>
      <c r="W5" s="156">
        <f t="shared" ref="W5:W8" si="0">SUM(E5,I5,M5,R5,V5)</f>
        <v>16.5</v>
      </c>
    </row>
    <row r="6" spans="1:23" ht="21" customHeight="1" x14ac:dyDescent="0.3">
      <c r="A6" s="174" t="str">
        <f>' Master'!A7</f>
        <v>Gainwell</v>
      </c>
      <c r="B6" s="153">
        <v>3</v>
      </c>
      <c r="C6" s="32">
        <v>3</v>
      </c>
      <c r="D6" s="32">
        <v>4</v>
      </c>
      <c r="E6" s="154">
        <f>AVERAGE(B6:D6)</f>
        <v>3.3333333333333335</v>
      </c>
      <c r="F6" s="153">
        <v>4</v>
      </c>
      <c r="G6" s="32">
        <v>3</v>
      </c>
      <c r="H6" s="32">
        <v>3</v>
      </c>
      <c r="I6" s="155">
        <f>AVERAGE(F6:H6)</f>
        <v>3.3333333333333335</v>
      </c>
      <c r="J6" s="160">
        <v>3</v>
      </c>
      <c r="K6" s="32">
        <v>3</v>
      </c>
      <c r="L6" s="32">
        <v>3</v>
      </c>
      <c r="M6" s="154">
        <f>AVERAGE(J6:L6)</f>
        <v>3</v>
      </c>
      <c r="N6" s="153">
        <v>4</v>
      </c>
      <c r="O6" s="32">
        <v>3</v>
      </c>
      <c r="P6" s="32">
        <v>4</v>
      </c>
      <c r="Q6" s="32">
        <v>4</v>
      </c>
      <c r="R6" s="154">
        <f>AVERAGE(N6:Q6)</f>
        <v>3.75</v>
      </c>
      <c r="S6" s="153">
        <v>3</v>
      </c>
      <c r="T6" s="32">
        <v>3</v>
      </c>
      <c r="U6" s="32">
        <v>4</v>
      </c>
      <c r="V6" s="155">
        <f>AVERAGE(S6:U6)</f>
        <v>3.3333333333333335</v>
      </c>
      <c r="W6" s="156">
        <f t="shared" si="0"/>
        <v>16.75</v>
      </c>
    </row>
    <row r="7" spans="1:23" ht="21" customHeight="1" x14ac:dyDescent="0.3">
      <c r="A7" s="174" t="str">
        <f>' Master'!A6</f>
        <v>Kyndryl</v>
      </c>
      <c r="B7" s="153">
        <v>3</v>
      </c>
      <c r="C7" s="32">
        <v>2</v>
      </c>
      <c r="D7" s="32">
        <v>3</v>
      </c>
      <c r="E7" s="154">
        <f>AVERAGE(B7:D7)</f>
        <v>2.6666666666666665</v>
      </c>
      <c r="F7" s="153">
        <v>3</v>
      </c>
      <c r="G7" s="32">
        <v>2</v>
      </c>
      <c r="H7" s="32">
        <v>2</v>
      </c>
      <c r="I7" s="155">
        <f>AVERAGE(F7:H7)</f>
        <v>2.3333333333333335</v>
      </c>
      <c r="J7" s="160">
        <v>2</v>
      </c>
      <c r="K7" s="32">
        <v>3</v>
      </c>
      <c r="L7" s="32">
        <v>3</v>
      </c>
      <c r="M7" s="154">
        <f>AVERAGE(J7:L7)</f>
        <v>2.6666666666666665</v>
      </c>
      <c r="N7" s="153">
        <v>3</v>
      </c>
      <c r="O7" s="32">
        <v>2</v>
      </c>
      <c r="P7" s="32">
        <v>2</v>
      </c>
      <c r="Q7" s="32">
        <v>2</v>
      </c>
      <c r="R7" s="154">
        <f>AVERAGE(N7:Q7)</f>
        <v>2.25</v>
      </c>
      <c r="S7" s="153">
        <v>3</v>
      </c>
      <c r="T7" s="32">
        <v>3</v>
      </c>
      <c r="U7" s="32">
        <v>3</v>
      </c>
      <c r="V7" s="155">
        <f>AVERAGE(S7:U7)</f>
        <v>3</v>
      </c>
      <c r="W7" s="156">
        <f t="shared" si="0"/>
        <v>12.916666666666666</v>
      </c>
    </row>
    <row r="8" spans="1:23" ht="21" customHeight="1" thickBot="1" x14ac:dyDescent="0.35">
      <c r="A8" s="174" t="str">
        <f>' Master'!A3</f>
        <v>Peraton</v>
      </c>
      <c r="B8" s="153">
        <v>3</v>
      </c>
      <c r="C8" s="32">
        <v>3</v>
      </c>
      <c r="D8" s="32">
        <v>3</v>
      </c>
      <c r="E8" s="155">
        <f>AVERAGE(B8:D8)</f>
        <v>3</v>
      </c>
      <c r="F8" s="160">
        <v>3</v>
      </c>
      <c r="G8" s="32">
        <v>3</v>
      </c>
      <c r="H8" s="32">
        <v>4</v>
      </c>
      <c r="I8" s="155">
        <f>AVERAGE(F8:H8)</f>
        <v>3.3333333333333335</v>
      </c>
      <c r="J8" s="160">
        <v>4</v>
      </c>
      <c r="K8" s="32">
        <v>2</v>
      </c>
      <c r="L8" s="32">
        <v>3</v>
      </c>
      <c r="M8" s="154">
        <f>AVERAGE(J8:L8)</f>
        <v>3</v>
      </c>
      <c r="N8" s="153">
        <v>3</v>
      </c>
      <c r="O8" s="32">
        <v>2</v>
      </c>
      <c r="P8" s="32">
        <v>2</v>
      </c>
      <c r="Q8" s="32">
        <v>3</v>
      </c>
      <c r="R8" s="154">
        <f>AVERAGE(N8:Q8)</f>
        <v>2.5</v>
      </c>
      <c r="S8" s="153">
        <v>3</v>
      </c>
      <c r="T8" s="32">
        <v>4</v>
      </c>
      <c r="U8" s="32">
        <v>3</v>
      </c>
      <c r="V8" s="155">
        <f>AVERAGE(S8:U8)</f>
        <v>3.3333333333333335</v>
      </c>
      <c r="W8" s="179">
        <f t="shared" si="0"/>
        <v>15.166666666666668</v>
      </c>
    </row>
  </sheetData>
  <mergeCells count="7">
    <mergeCell ref="A1:A3"/>
    <mergeCell ref="B1:E1"/>
    <mergeCell ref="S1:V1"/>
    <mergeCell ref="W1:W3"/>
    <mergeCell ref="F1:I1"/>
    <mergeCell ref="J1:M1"/>
    <mergeCell ref="N1:R1"/>
  </mergeCells>
  <phoneticPr fontId="11" type="noConversion"/>
  <pageMargins left="0.7" right="0.7" top="0.75" bottom="0.75" header="0.3" footer="0.3"/>
  <pageSetup paperSize="5" scale="68"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7BF6C-DC89-4E4D-8C8D-C6B28BAF1D0E}">
  <sheetPr>
    <pageSetUpPr fitToPage="1"/>
  </sheetPr>
  <dimension ref="A1:F6"/>
  <sheetViews>
    <sheetView zoomScale="95" zoomScaleNormal="95" workbookViewId="0">
      <pane xSplit="1" ySplit="1" topLeftCell="B2" activePane="bottomRight" state="frozen"/>
      <selection pane="topRight" activeCell="C1" sqref="C1"/>
      <selection pane="bottomLeft" activeCell="A3" sqref="A3"/>
      <selection pane="bottomRight" activeCell="G12" sqref="G12"/>
    </sheetView>
  </sheetViews>
  <sheetFormatPr defaultColWidth="9.140625" defaultRowHeight="16.5" x14ac:dyDescent="0.3"/>
  <cols>
    <col min="1" max="1" width="25.7109375" style="1" customWidth="1"/>
    <col min="2" max="6" width="13.28515625" style="1" customWidth="1"/>
    <col min="7" max="24" width="10.7109375" style="1" customWidth="1"/>
    <col min="25" max="16384" width="9.140625" style="1"/>
  </cols>
  <sheetData>
    <row r="1" spans="1:6" ht="32.1" customHeight="1" x14ac:dyDescent="0.3">
      <c r="A1" s="166" t="s">
        <v>162</v>
      </c>
      <c r="B1" s="98" t="s">
        <v>129</v>
      </c>
      <c r="C1" s="98" t="s">
        <v>130</v>
      </c>
      <c r="D1" s="98" t="s">
        <v>131</v>
      </c>
      <c r="E1" s="98" t="s">
        <v>132</v>
      </c>
      <c r="F1" s="98" t="s">
        <v>133</v>
      </c>
    </row>
    <row r="2" spans="1:6" ht="21" customHeight="1" x14ac:dyDescent="0.3">
      <c r="A2" s="68" t="str">
        <f>' Master'!A5</f>
        <v>Accenture</v>
      </c>
      <c r="B2" s="87">
        <f>'U&amp;A Requirement Detail'!E4</f>
        <v>3</v>
      </c>
      <c r="C2" s="87">
        <f>'U&amp;A Requirement Detail'!I4</f>
        <v>3</v>
      </c>
      <c r="D2" s="87">
        <f>'U&amp;A Requirement Detail'!M4</f>
        <v>3</v>
      </c>
      <c r="E2" s="87">
        <f>'U&amp;A Requirement Detail'!R4</f>
        <v>3.25</v>
      </c>
      <c r="F2" s="87">
        <f>'U&amp;A Requirement Detail'!V4</f>
        <v>3.3333333333333335</v>
      </c>
    </row>
    <row r="3" spans="1:6" ht="21" customHeight="1" x14ac:dyDescent="0.3">
      <c r="A3" s="68" t="str">
        <f>' Master'!A4</f>
        <v>Deloitte</v>
      </c>
      <c r="B3" s="87">
        <f>'U&amp;A Requirement Detail'!E5</f>
        <v>3.6666666666666665</v>
      </c>
      <c r="C3" s="87">
        <f>'U&amp;A Requirement Detail'!I5</f>
        <v>3.3333333333333335</v>
      </c>
      <c r="D3" s="87">
        <f>'U&amp;A Requirement Detail'!M5</f>
        <v>3</v>
      </c>
      <c r="E3" s="87">
        <f>'U&amp;A Requirement Detail'!R5</f>
        <v>3.5</v>
      </c>
      <c r="F3" s="87">
        <f>'U&amp;A Requirement Detail'!V5</f>
        <v>3</v>
      </c>
    </row>
    <row r="4" spans="1:6" ht="21" customHeight="1" x14ac:dyDescent="0.3">
      <c r="A4" s="68" t="str">
        <f>' Master'!A7</f>
        <v>Gainwell</v>
      </c>
      <c r="B4" s="87">
        <f>'U&amp;A Requirement Detail'!E6</f>
        <v>3.3333333333333335</v>
      </c>
      <c r="C4" s="87">
        <f>'U&amp;A Requirement Detail'!I6</f>
        <v>3.3333333333333335</v>
      </c>
      <c r="D4" s="87">
        <f>'U&amp;A Requirement Detail'!M6</f>
        <v>3</v>
      </c>
      <c r="E4" s="87">
        <f>'U&amp;A Requirement Detail'!R6</f>
        <v>3.75</v>
      </c>
      <c r="F4" s="87">
        <f>'U&amp;A Requirement Detail'!V6</f>
        <v>3.3333333333333335</v>
      </c>
    </row>
    <row r="5" spans="1:6" ht="21" customHeight="1" x14ac:dyDescent="0.3">
      <c r="A5" s="68" t="str">
        <f>' Master'!A6</f>
        <v>Kyndryl</v>
      </c>
      <c r="B5" s="87">
        <f>'U&amp;A Requirement Detail'!E7</f>
        <v>2.6666666666666665</v>
      </c>
      <c r="C5" s="87">
        <f>'U&amp;A Requirement Detail'!I7</f>
        <v>2.3333333333333335</v>
      </c>
      <c r="D5" s="87">
        <f>'U&amp;A Requirement Detail'!M7</f>
        <v>2.6666666666666665</v>
      </c>
      <c r="E5" s="87">
        <f>'U&amp;A Requirement Detail'!R7</f>
        <v>2.25</v>
      </c>
      <c r="F5" s="87">
        <f>'U&amp;A Requirement Detail'!V7</f>
        <v>3</v>
      </c>
    </row>
    <row r="6" spans="1:6" ht="21" customHeight="1" x14ac:dyDescent="0.3">
      <c r="A6" s="68" t="str">
        <f>' Master'!A3</f>
        <v>Peraton</v>
      </c>
      <c r="B6" s="87">
        <f>'U&amp;A Requirement Detail'!E8</f>
        <v>3</v>
      </c>
      <c r="C6" s="87">
        <f>'U&amp;A Requirement Detail'!I8</f>
        <v>3.3333333333333335</v>
      </c>
      <c r="D6" s="87">
        <f>'U&amp;A Requirement Detail'!M8</f>
        <v>3</v>
      </c>
      <c r="E6" s="87">
        <f>'U&amp;A Requirement Detail'!R8</f>
        <v>2.5</v>
      </c>
      <c r="F6" s="87">
        <f>'U&amp;A Requirement Detail'!V8</f>
        <v>3.3333333333333335</v>
      </c>
    </row>
  </sheetData>
  <phoneticPr fontId="11" type="noConversion"/>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615783-52D3-4449-8471-0D2572E986E5}">
  <dimension ref="A1:B6"/>
  <sheetViews>
    <sheetView workbookViewId="0">
      <selection activeCell="B5" sqref="B5"/>
    </sheetView>
  </sheetViews>
  <sheetFormatPr defaultRowHeight="15" x14ac:dyDescent="0.25"/>
  <cols>
    <col min="1" max="1" width="21.7109375" customWidth="1"/>
    <col min="2" max="2" width="80.5703125" customWidth="1"/>
  </cols>
  <sheetData>
    <row r="1" spans="1:2" x14ac:dyDescent="0.25">
      <c r="A1" s="90" t="s">
        <v>14</v>
      </c>
      <c r="B1" s="90"/>
    </row>
    <row r="2" spans="1:2" x14ac:dyDescent="0.25">
      <c r="A2" s="91" t="s">
        <v>15</v>
      </c>
      <c r="B2" t="s">
        <v>16</v>
      </c>
    </row>
    <row r="3" spans="1:2" ht="30" x14ac:dyDescent="0.25">
      <c r="A3" s="91" t="s">
        <v>17</v>
      </c>
      <c r="B3" s="92" t="s">
        <v>18</v>
      </c>
    </row>
    <row r="4" spans="1:2" ht="30" x14ac:dyDescent="0.25">
      <c r="A4" s="91" t="s">
        <v>19</v>
      </c>
      <c r="B4" s="92" t="s">
        <v>20</v>
      </c>
    </row>
    <row r="5" spans="1:2" ht="161.25" customHeight="1" x14ac:dyDescent="0.25">
      <c r="A5" s="91" t="s">
        <v>21</v>
      </c>
      <c r="B5" s="92" t="s">
        <v>22</v>
      </c>
    </row>
    <row r="6" spans="1:2" ht="60" x14ac:dyDescent="0.25">
      <c r="A6" s="91" t="s">
        <v>23</v>
      </c>
      <c r="B6" s="92" t="s">
        <v>24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Q8"/>
  <sheetViews>
    <sheetView workbookViewId="0">
      <pane xSplit="1" ySplit="2" topLeftCell="B3" activePane="bottomRight" state="frozen"/>
      <selection pane="topRight" activeCell="B1" sqref="B1"/>
      <selection pane="bottomLeft" activeCell="A3" sqref="A3"/>
      <selection pane="bottomRight" activeCell="D17" sqref="D17"/>
    </sheetView>
  </sheetViews>
  <sheetFormatPr defaultColWidth="9.140625" defaultRowHeight="16.5" x14ac:dyDescent="0.3"/>
  <cols>
    <col min="1" max="1" width="18.7109375" style="1" customWidth="1"/>
    <col min="2" max="4" width="16.7109375" style="10" customWidth="1"/>
    <col min="5" max="5" width="9.140625" style="10"/>
    <col min="6" max="6" width="9.140625" style="1"/>
    <col min="7" max="7" width="0" style="1" hidden="1" customWidth="1"/>
    <col min="8" max="8" width="2.5703125" style="1" hidden="1" customWidth="1"/>
    <col min="9" max="9" width="11.7109375" style="1" hidden="1" customWidth="1"/>
    <col min="10" max="10" width="3.7109375" style="1" hidden="1" customWidth="1"/>
    <col min="11" max="13" width="11.7109375" style="1" hidden="1" customWidth="1"/>
    <col min="14" max="14" width="3.7109375" style="1" hidden="1" customWidth="1"/>
    <col min="15" max="16" width="11.7109375" style="1" hidden="1" customWidth="1"/>
    <col min="17" max="17" width="0" style="1" hidden="1" customWidth="1"/>
    <col min="18" max="16384" width="9.140625" style="1"/>
  </cols>
  <sheetData>
    <row r="2" spans="1:17" s="8" customFormat="1" ht="39.950000000000003" customHeight="1" x14ac:dyDescent="0.3">
      <c r="A2" s="97" t="s">
        <v>0</v>
      </c>
      <c r="B2" s="97" t="s">
        <v>25</v>
      </c>
      <c r="C2" s="97" t="s">
        <v>26</v>
      </c>
      <c r="D2" s="97" t="s">
        <v>27</v>
      </c>
      <c r="E2" s="97" t="s">
        <v>28</v>
      </c>
      <c r="G2" s="8" t="s">
        <v>29</v>
      </c>
      <c r="I2" s="8" t="s">
        <v>30</v>
      </c>
      <c r="K2" s="8" t="s">
        <v>31</v>
      </c>
      <c r="L2" s="8" t="s">
        <v>32</v>
      </c>
      <c r="M2" s="8" t="s">
        <v>33</v>
      </c>
      <c r="O2" s="8" t="s">
        <v>34</v>
      </c>
      <c r="P2" s="8" t="s">
        <v>35</v>
      </c>
    </row>
    <row r="3" spans="1:17" x14ac:dyDescent="0.3">
      <c r="A3" s="5" t="str">
        <f>' Master'!A5</f>
        <v>Accenture</v>
      </c>
      <c r="B3" s="9">
        <f>'Business Score'!H4</f>
        <v>66.977270539843673</v>
      </c>
      <c r="C3" s="9">
        <f>'Price Score'!D3</f>
        <v>25.692829746435123</v>
      </c>
      <c r="D3" s="9">
        <f>B3+C3</f>
        <v>92.670100286278796</v>
      </c>
      <c r="E3" s="17">
        <f>_xlfn.RANK.AVG(D3,$D$3:$D$8)</f>
        <v>3</v>
      </c>
      <c r="G3" s="17" t="e">
        <f>_xlfn.RANK.AVG(B3,$B$7:$B$8)</f>
        <v>#N/A</v>
      </c>
      <c r="I3" s="52">
        <f>(MAX(B$7:B$8)-B3)/70</f>
        <v>-8.845059170120341E-2</v>
      </c>
      <c r="K3" s="70">
        <f>'Business Score'!E4</f>
        <v>38.854166666666664</v>
      </c>
      <c r="L3" s="10" t="e">
        <f>_xlfn.RANK.AVG(K3,$K$7:$K$8)</f>
        <v>#N/A</v>
      </c>
      <c r="M3" s="52">
        <f>(MAX(K$7:K$8)-K3)/50</f>
        <v>-3.9583333333333283E-2</v>
      </c>
      <c r="O3" s="70">
        <f>'Business Score'!D4</f>
        <v>8.5</v>
      </c>
      <c r="P3" s="52">
        <f>(MAX(O$7:O$8)-O3)/10</f>
        <v>-0.21249999999999991</v>
      </c>
    </row>
    <row r="4" spans="1:17" x14ac:dyDescent="0.3">
      <c r="A4" s="5" t="str">
        <f>' Master'!A4</f>
        <v>Deloitte</v>
      </c>
      <c r="B4" s="9">
        <f>'Business Score'!H5</f>
        <v>69.649142136376753</v>
      </c>
      <c r="C4" s="9">
        <f>'Price Score'!D4</f>
        <v>26.271608923688344</v>
      </c>
      <c r="D4" s="9">
        <f>B4+C4</f>
        <v>95.920751060065101</v>
      </c>
      <c r="E4" s="17">
        <f t="shared" ref="E4:E7" si="0">_xlfn.RANK.AVG(D4,$D$3:$D$8)</f>
        <v>2</v>
      </c>
      <c r="G4" s="17" t="e">
        <f>_xlfn.RANK.AVG(B4,$B$7:$B$8)</f>
        <v>#N/A</v>
      </c>
      <c r="I4" s="52">
        <f>(MAX(B$7:B$8)-B4)/70</f>
        <v>-0.12662018593739027</v>
      </c>
      <c r="K4" s="70">
        <f>'Business Score'!E5</f>
        <v>41.875</v>
      </c>
      <c r="L4" s="10" t="e">
        <f>_xlfn.RANK.AVG(K4,$K$7:$K$8)</f>
        <v>#N/A</v>
      </c>
      <c r="M4" s="52">
        <f>(MAX(K$7:K$8)-K4)/50</f>
        <v>-0.1</v>
      </c>
      <c r="N4" s="70"/>
      <c r="O4" s="70">
        <f>'Business Score'!D5</f>
        <v>8</v>
      </c>
      <c r="P4" s="52">
        <f>(MAX(O$7:O$8)-O4)/10</f>
        <v>-0.16249999999999992</v>
      </c>
      <c r="Q4" s="70"/>
    </row>
    <row r="5" spans="1:17" x14ac:dyDescent="0.3">
      <c r="A5" s="5" t="str">
        <f>' Master'!A7</f>
        <v>Gainwell</v>
      </c>
      <c r="B5" s="9">
        <f>'Business Score'!H6</f>
        <v>70</v>
      </c>
      <c r="C5" s="9">
        <f>'Price Score'!D5</f>
        <v>28.373620921071925</v>
      </c>
      <c r="D5" s="9">
        <f>B5+C5</f>
        <v>98.373620921071932</v>
      </c>
      <c r="E5" s="17">
        <f t="shared" si="0"/>
        <v>1</v>
      </c>
      <c r="G5" s="17" t="e">
        <f>_xlfn.RANK.AVG(B5,$B$7:$B$8)</f>
        <v>#N/A</v>
      </c>
      <c r="I5" s="52">
        <f>(MAX(B$7:B$8)-B5)/70</f>
        <v>-0.13163244113200809</v>
      </c>
      <c r="K5" s="70">
        <f>'Business Score'!E6</f>
        <v>42.395833333333336</v>
      </c>
      <c r="L5" s="10" t="e">
        <f>_xlfn.RANK.AVG(K5,$K$7:$K$8)</f>
        <v>#N/A</v>
      </c>
      <c r="M5" s="52">
        <f>(MAX(K$7:K$8)-K5)/50</f>
        <v>-0.11041666666666672</v>
      </c>
      <c r="O5" s="70">
        <f>'Business Score'!D6</f>
        <v>7.2500000000000009</v>
      </c>
      <c r="P5" s="52">
        <f>(MAX(O$7:O$8)-O5)/10</f>
        <v>-8.7499999999999994E-2</v>
      </c>
    </row>
    <row r="6" spans="1:17" ht="16.5" customHeight="1" x14ac:dyDescent="0.3">
      <c r="A6" s="5" t="str">
        <f>' Master'!A6</f>
        <v>Kyndryl</v>
      </c>
      <c r="B6" s="9">
        <f>'Business Score'!H7</f>
        <v>53.915515503345837</v>
      </c>
      <c r="C6" s="9">
        <f>'Price Score'!D6</f>
        <v>24.141616098472639</v>
      </c>
      <c r="D6" s="9">
        <f>B6+C6</f>
        <v>78.057131601818469</v>
      </c>
      <c r="E6" s="17">
        <f t="shared" si="0"/>
        <v>5</v>
      </c>
      <c r="G6" s="17" t="e">
        <f>_xlfn.RANK.AVG(B6,$B$7:$B$8)</f>
        <v>#N/A</v>
      </c>
      <c r="I6" s="52">
        <f>(MAX(B$7:B$8)-B6)/70</f>
        <v>9.814590882019425E-2</v>
      </c>
      <c r="K6" s="70">
        <f>'Business Score'!E7</f>
        <v>31.354166666666668</v>
      </c>
      <c r="L6" s="10" t="e">
        <f>_xlfn.RANK.AVG(K6,$K$7:$K$8)</f>
        <v>#N/A</v>
      </c>
      <c r="M6" s="52">
        <f>(MAX(K$7:K$8)-K6)/50</f>
        <v>0.11041666666666665</v>
      </c>
      <c r="O6" s="70">
        <f>'Business Score'!D7</f>
        <v>6.3750000000000009</v>
      </c>
      <c r="P6" s="52">
        <f>(MAX(O$7:O$8)-O6)/10</f>
        <v>0</v>
      </c>
    </row>
    <row r="7" spans="1:17" x14ac:dyDescent="0.3">
      <c r="A7" s="5" t="str">
        <f>' Master'!A3</f>
        <v>Peraton</v>
      </c>
      <c r="B7" s="9">
        <f>'Business Score'!H8</f>
        <v>60.785729120759434</v>
      </c>
      <c r="C7" s="9">
        <f>'Price Score'!D7</f>
        <v>30</v>
      </c>
      <c r="D7" s="9">
        <f>B7+C7</f>
        <v>90.785729120759441</v>
      </c>
      <c r="E7" s="17">
        <f t="shared" si="0"/>
        <v>4</v>
      </c>
      <c r="G7" s="17">
        <f>_xlfn.RANK.AVG(B7,$B$7:$B$8)</f>
        <v>1</v>
      </c>
      <c r="I7" s="52">
        <f>(MAX(B$7:B$8)-B7)/70</f>
        <v>0</v>
      </c>
      <c r="K7" s="70">
        <f>'Business Score'!E8</f>
        <v>36.875</v>
      </c>
      <c r="L7" s="10">
        <f>_xlfn.RANK.AVG(K7,$K$7:$K$8)</f>
        <v>1</v>
      </c>
      <c r="M7" s="52">
        <f>(MAX(K$7:K$8)-K7)/50</f>
        <v>0</v>
      </c>
      <c r="N7" s="70"/>
      <c r="O7" s="70">
        <f>'Business Score'!D8</f>
        <v>6.3750000000000009</v>
      </c>
      <c r="P7" s="52">
        <f>(MAX(O$7:O$8)-O7)/10</f>
        <v>0</v>
      </c>
      <c r="Q7" s="70"/>
    </row>
    <row r="8" spans="1:17" hidden="1" x14ac:dyDescent="0.3">
      <c r="A8" s="5"/>
      <c r="B8" s="9"/>
      <c r="C8" s="9"/>
      <c r="D8" s="9"/>
      <c r="E8" s="17"/>
      <c r="G8" s="17"/>
      <c r="I8" s="52"/>
      <c r="K8" s="70"/>
      <c r="L8" s="10"/>
      <c r="M8" s="52"/>
      <c r="O8" s="70"/>
      <c r="P8" s="52"/>
    </row>
  </sheetData>
  <phoneticPr fontId="11" type="noConversion"/>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8"/>
  <sheetViews>
    <sheetView tabSelected="1" zoomScaleNormal="100" workbookViewId="0">
      <pane xSplit="2" ySplit="1" topLeftCell="C2" activePane="bottomRight" state="frozen"/>
      <selection pane="topRight" activeCell="C1" sqref="C1"/>
      <selection pane="bottomLeft" activeCell="A2" sqref="A2"/>
      <selection pane="bottomRight" activeCell="E20" sqref="E20"/>
    </sheetView>
  </sheetViews>
  <sheetFormatPr defaultColWidth="9.140625" defaultRowHeight="16.5" x14ac:dyDescent="0.3"/>
  <cols>
    <col min="1" max="1" width="3.7109375" style="11" customWidth="1"/>
    <col min="2" max="2" width="42.7109375" style="1" customWidth="1"/>
    <col min="3" max="3" width="14.7109375" style="1" customWidth="1"/>
    <col min="4" max="5" width="11.7109375" style="1" customWidth="1"/>
    <col min="6" max="6" width="2" style="1" customWidth="1"/>
    <col min="7" max="11" width="12.7109375" style="1" customWidth="1"/>
    <col min="12" max="12" width="2.42578125" style="1" customWidth="1"/>
    <col min="13" max="13" width="9.85546875" style="1" customWidth="1"/>
    <col min="14" max="16384" width="9.140625" style="1"/>
  </cols>
  <sheetData>
    <row r="1" spans="1:13" ht="47.1" customHeight="1" x14ac:dyDescent="0.3">
      <c r="A1" s="97"/>
      <c r="B1" s="97" t="s">
        <v>36</v>
      </c>
      <c r="C1" s="97" t="s">
        <v>37</v>
      </c>
      <c r="D1" s="97" t="s">
        <v>38</v>
      </c>
      <c r="E1" s="97" t="s">
        <v>39</v>
      </c>
      <c r="F1" s="166"/>
      <c r="G1" s="97" t="str">
        <f>' Master'!A5</f>
        <v>Accenture</v>
      </c>
      <c r="H1" s="97" t="str">
        <f>' Master'!A4</f>
        <v>Deloitte</v>
      </c>
      <c r="I1" s="97" t="str">
        <f>' Master'!A7</f>
        <v>Gainwell</v>
      </c>
      <c r="J1" s="97" t="str">
        <f>' Master'!A6</f>
        <v>Kyndryl</v>
      </c>
      <c r="K1" s="97" t="str">
        <f>' Master'!A3</f>
        <v>Peraton</v>
      </c>
    </row>
    <row r="2" spans="1:13" s="31" customFormat="1" ht="18" customHeight="1" x14ac:dyDescent="0.25">
      <c r="A2" s="32"/>
      <c r="B2" s="159" t="s">
        <v>40</v>
      </c>
      <c r="C2" s="33"/>
      <c r="D2" s="34">
        <f>SUM(C3:C6)</f>
        <v>0.7</v>
      </c>
      <c r="E2" s="38"/>
      <c r="F2" s="196"/>
      <c r="G2" s="188"/>
      <c r="H2" s="189"/>
      <c r="I2" s="189"/>
      <c r="J2" s="189"/>
      <c r="K2" s="190"/>
    </row>
    <row r="3" spans="1:13" ht="16.5" customHeight="1" x14ac:dyDescent="0.3">
      <c r="A3" s="28">
        <v>1</v>
      </c>
      <c r="B3" s="83" t="str">
        <f>' Master'!C3</f>
        <v>Staff Qualifications and Experience</v>
      </c>
      <c r="C3" s="84">
        <f>' Master'!D3</f>
        <v>0.05</v>
      </c>
      <c r="D3" s="29"/>
      <c r="E3" s="36">
        <v>5</v>
      </c>
      <c r="F3" s="196"/>
      <c r="G3" s="37">
        <f>'Business Score'!B4</f>
        <v>4.2371499999999997</v>
      </c>
      <c r="H3" s="37">
        <f>'Business Score'!B5</f>
        <v>4.4140312499999999</v>
      </c>
      <c r="I3" s="37">
        <f>'Business Score'!B6</f>
        <v>3.9317916666666672</v>
      </c>
      <c r="J3" s="37">
        <f>'Business Score'!B7</f>
        <v>2.6183666666666667</v>
      </c>
      <c r="K3" s="37">
        <f>'Business Score'!B8</f>
        <v>3.7485416666666667</v>
      </c>
    </row>
    <row r="4" spans="1:13" ht="16.5" customHeight="1" x14ac:dyDescent="0.3">
      <c r="A4" s="28">
        <v>2</v>
      </c>
      <c r="B4" s="83" t="str">
        <f>' Master'!C4</f>
        <v>Oral Presentations</v>
      </c>
      <c r="C4" s="84">
        <f>' Master'!D4</f>
        <v>0.05</v>
      </c>
      <c r="D4" s="29"/>
      <c r="E4" s="36">
        <v>5</v>
      </c>
      <c r="F4" s="196"/>
      <c r="G4" s="37">
        <f>'Business Score'!C4</f>
        <v>3.5000000000000004</v>
      </c>
      <c r="H4" s="37">
        <f>'Business Score'!C5</f>
        <v>3.0000000000000004</v>
      </c>
      <c r="I4" s="37">
        <f>'Business Score'!C6</f>
        <v>4</v>
      </c>
      <c r="J4" s="37">
        <f>'Business Score'!C7</f>
        <v>4</v>
      </c>
      <c r="K4" s="37">
        <f>'Business Score'!C8</f>
        <v>3.0000000000000004</v>
      </c>
    </row>
    <row r="5" spans="1:13" ht="16.5" customHeight="1" x14ac:dyDescent="0.3">
      <c r="A5" s="28">
        <v>3</v>
      </c>
      <c r="B5" s="83" t="str">
        <f>' Master'!C5</f>
        <v>Key Staff Interviews</v>
      </c>
      <c r="C5" s="84">
        <f>' Master'!D5</f>
        <v>0.1</v>
      </c>
      <c r="D5" s="29"/>
      <c r="E5" s="36">
        <v>10</v>
      </c>
      <c r="F5" s="196"/>
      <c r="G5" s="37">
        <f>'Business Score'!D4</f>
        <v>8.5</v>
      </c>
      <c r="H5" s="37">
        <f>'Business Score'!D5</f>
        <v>8</v>
      </c>
      <c r="I5" s="37">
        <f>'Business Score'!D6</f>
        <v>7.2500000000000009</v>
      </c>
      <c r="J5" s="37">
        <f>'Business Score'!D7</f>
        <v>6.3750000000000009</v>
      </c>
      <c r="K5" s="37">
        <f>'Business Score'!D8</f>
        <v>6.3750000000000009</v>
      </c>
    </row>
    <row r="6" spans="1:13" ht="16.5" customHeight="1" x14ac:dyDescent="0.3">
      <c r="A6" s="28">
        <v>4</v>
      </c>
      <c r="B6" s="83" t="str">
        <f>' Master'!C6</f>
        <v>Understanding and Approach</v>
      </c>
      <c r="C6" s="84">
        <f>' Master'!D6</f>
        <v>0.5</v>
      </c>
      <c r="D6" s="29"/>
      <c r="E6" s="36">
        <v>50</v>
      </c>
      <c r="F6" s="196"/>
      <c r="G6" s="37">
        <f>'Business Score'!E4</f>
        <v>38.854166666666664</v>
      </c>
      <c r="H6" s="37">
        <f>'Business Score'!E5</f>
        <v>41.875</v>
      </c>
      <c r="I6" s="37">
        <f>'Business Score'!E6</f>
        <v>42.395833333333336</v>
      </c>
      <c r="J6" s="37">
        <f>'Business Score'!E7</f>
        <v>31.354166666666668</v>
      </c>
      <c r="K6" s="37">
        <f>'Business Score'!E8</f>
        <v>36.875</v>
      </c>
    </row>
    <row r="7" spans="1:13" s="31" customFormat="1" ht="18" customHeight="1" x14ac:dyDescent="0.25">
      <c r="A7" s="32"/>
      <c r="B7" s="192" t="s">
        <v>41</v>
      </c>
      <c r="C7" s="192"/>
      <c r="D7" s="39"/>
      <c r="E7" s="40">
        <f>SUM(E3:E6)</f>
        <v>70</v>
      </c>
      <c r="F7" s="196"/>
      <c r="G7" s="41">
        <f>SUM(G3:G6)</f>
        <v>55.091316666666664</v>
      </c>
      <c r="H7" s="41">
        <f>SUM(H3:H6)</f>
        <v>57.289031250000001</v>
      </c>
      <c r="I7" s="41">
        <f>SUM(I3:I6)</f>
        <v>57.577625000000005</v>
      </c>
      <c r="J7" s="41">
        <f>SUM(J3:J6)</f>
        <v>44.347533333333331</v>
      </c>
      <c r="K7" s="41">
        <f t="shared" ref="K7" si="0">SUM(K3:K6)</f>
        <v>49.998541666666668</v>
      </c>
      <c r="M7" s="44"/>
    </row>
    <row r="8" spans="1:13" ht="9" customHeight="1" x14ac:dyDescent="0.3">
      <c r="A8" s="185"/>
      <c r="B8" s="186"/>
      <c r="C8" s="186"/>
      <c r="D8" s="186"/>
      <c r="E8" s="187"/>
      <c r="F8" s="196"/>
      <c r="G8" s="185"/>
      <c r="H8" s="186"/>
      <c r="I8" s="186"/>
      <c r="J8" s="186"/>
      <c r="K8" s="187"/>
    </row>
    <row r="9" spans="1:13" ht="18" customHeight="1" x14ac:dyDescent="0.3">
      <c r="A9" s="32"/>
      <c r="B9" s="192" t="s">
        <v>42</v>
      </c>
      <c r="C9" s="192"/>
      <c r="D9" s="39"/>
      <c r="E9" s="40">
        <f>E7</f>
        <v>70</v>
      </c>
      <c r="F9" s="196"/>
      <c r="G9" s="41">
        <f>'Business Score'!H4</f>
        <v>66.977270539843673</v>
      </c>
      <c r="H9" s="41">
        <f>'Business Score'!H5</f>
        <v>69.649142136376753</v>
      </c>
      <c r="I9" s="41">
        <f>'Business Score'!H6</f>
        <v>70</v>
      </c>
      <c r="J9" s="41">
        <f>'Business Score'!H7</f>
        <v>53.915515503345837</v>
      </c>
      <c r="K9" s="41">
        <f>'Business Score'!H8</f>
        <v>60.785729120759434</v>
      </c>
      <c r="M9" s="44"/>
    </row>
    <row r="10" spans="1:13" ht="9" customHeight="1" x14ac:dyDescent="0.3">
      <c r="A10" s="193"/>
      <c r="B10" s="194"/>
      <c r="C10" s="194"/>
      <c r="D10" s="194"/>
      <c r="E10" s="195"/>
      <c r="F10" s="196"/>
      <c r="G10" s="200"/>
      <c r="H10" s="201"/>
      <c r="I10" s="201"/>
      <c r="J10" s="201"/>
      <c r="K10" s="202"/>
    </row>
    <row r="11" spans="1:13" s="31" customFormat="1" ht="18" customHeight="1" x14ac:dyDescent="0.25">
      <c r="A11" s="32"/>
      <c r="B11" s="159" t="s">
        <v>43</v>
      </c>
      <c r="C11" s="33"/>
      <c r="D11" s="34">
        <f>SUM(C12:C12)</f>
        <v>0.3</v>
      </c>
      <c r="E11" s="35"/>
      <c r="F11" s="196"/>
      <c r="G11" s="198"/>
      <c r="H11" s="199"/>
      <c r="I11" s="199"/>
      <c r="J11" s="199"/>
      <c r="K11" s="199"/>
      <c r="L11" s="116"/>
    </row>
    <row r="12" spans="1:13" ht="33" customHeight="1" x14ac:dyDescent="0.3">
      <c r="A12" s="28">
        <v>5</v>
      </c>
      <c r="B12" s="114" t="s">
        <v>44</v>
      </c>
      <c r="C12" s="29">
        <v>0.3</v>
      </c>
      <c r="D12" s="29"/>
      <c r="E12" s="30">
        <v>30</v>
      </c>
      <c r="F12" s="196"/>
      <c r="G12" s="62">
        <f>'Price Score'!D3</f>
        <v>25.692829746435123</v>
      </c>
      <c r="H12" s="62">
        <f>'Price Score'!D4</f>
        <v>26.271608923688344</v>
      </c>
      <c r="I12" s="62">
        <f>'Price Score'!D5</f>
        <v>28.373620921071925</v>
      </c>
      <c r="J12" s="62">
        <f>'Price Score'!D6</f>
        <v>24.141616098472639</v>
      </c>
      <c r="K12" s="62">
        <f>'Price Score'!D7</f>
        <v>30</v>
      </c>
    </row>
    <row r="13" spans="1:13" s="31" customFormat="1" x14ac:dyDescent="0.25">
      <c r="A13" s="32"/>
      <c r="B13" s="192" t="s">
        <v>45</v>
      </c>
      <c r="C13" s="192"/>
      <c r="D13" s="39"/>
      <c r="E13" s="40">
        <f>SUM(E12:E12)</f>
        <v>30</v>
      </c>
      <c r="F13" s="196"/>
      <c r="G13" s="41">
        <f>SUM(G12:G12)</f>
        <v>25.692829746435123</v>
      </c>
      <c r="H13" s="41">
        <f>SUM(H12:H12)</f>
        <v>26.271608923688344</v>
      </c>
      <c r="I13" s="41">
        <f>SUM(I12:I12)</f>
        <v>28.373620921071925</v>
      </c>
      <c r="J13" s="41">
        <f>SUM(J12:J12)</f>
        <v>24.141616098472639</v>
      </c>
      <c r="K13" s="41">
        <f t="shared" ref="K13" si="1">SUM(K12:K12)</f>
        <v>30</v>
      </c>
      <c r="M13" s="44"/>
    </row>
    <row r="14" spans="1:13" s="31" customFormat="1" ht="19.5" customHeight="1" x14ac:dyDescent="0.25">
      <c r="A14" s="32"/>
      <c r="B14" s="191" t="s">
        <v>46</v>
      </c>
      <c r="C14" s="191"/>
      <c r="D14" s="34">
        <f>SUM(D2,D11)</f>
        <v>1</v>
      </c>
      <c r="E14" s="42">
        <f>SUM(E7,E13)</f>
        <v>100</v>
      </c>
      <c r="F14" s="197"/>
      <c r="G14" s="43">
        <f>SUM(G9,G13)</f>
        <v>92.670100286278796</v>
      </c>
      <c r="H14" s="43">
        <f>SUM(H9,H13)</f>
        <v>95.920751060065101</v>
      </c>
      <c r="I14" s="43">
        <f>SUM(I9,I13)</f>
        <v>98.373620921071932</v>
      </c>
      <c r="J14" s="43">
        <f>SUM(J9,J13)</f>
        <v>78.057131601818469</v>
      </c>
      <c r="K14" s="43">
        <f t="shared" ref="K14" si="2">SUM(K9,K13)</f>
        <v>90.785729120759441</v>
      </c>
      <c r="M14" s="44"/>
    </row>
    <row r="15" spans="1:13" x14ac:dyDescent="0.3">
      <c r="M15" s="44"/>
    </row>
    <row r="16" spans="1:13" x14ac:dyDescent="0.3">
      <c r="I16" s="71"/>
      <c r="M16" s="71"/>
    </row>
    <row r="17" spans="2:9" x14ac:dyDescent="0.3">
      <c r="I17" s="12"/>
    </row>
    <row r="18" spans="2:9" x14ac:dyDescent="0.3">
      <c r="B18" s="13"/>
    </row>
  </sheetData>
  <mergeCells count="11">
    <mergeCell ref="G8:K8"/>
    <mergeCell ref="G2:K2"/>
    <mergeCell ref="B14:C14"/>
    <mergeCell ref="B7:C7"/>
    <mergeCell ref="B9:C9"/>
    <mergeCell ref="B13:C13"/>
    <mergeCell ref="A8:E8"/>
    <mergeCell ref="A10:E10"/>
    <mergeCell ref="F2:F14"/>
    <mergeCell ref="G11:K11"/>
    <mergeCell ref="G10:K10"/>
  </mergeCells>
  <pageMargins left="0.5" right="0.5" top="0.75" bottom="0.75" header="0.3" footer="0.3"/>
  <pageSetup scale="8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17"/>
  <sheetViews>
    <sheetView workbookViewId="0">
      <pane xSplit="1" ySplit="2" topLeftCell="B3" activePane="bottomRight" state="frozen"/>
      <selection pane="topRight" activeCell="B1" sqref="B1"/>
      <selection pane="bottomLeft" activeCell="A4" sqref="A4"/>
      <selection pane="bottomRight" activeCell="H22" sqref="H22"/>
    </sheetView>
  </sheetViews>
  <sheetFormatPr defaultColWidth="9.140625" defaultRowHeight="16.5" x14ac:dyDescent="0.3"/>
  <cols>
    <col min="1" max="2" width="18.7109375" style="1" customWidth="1"/>
    <col min="3" max="3" width="2" style="1" customWidth="1"/>
    <col min="4" max="4" width="14.7109375" style="1" customWidth="1"/>
    <col min="5" max="5" width="2" style="1" customWidth="1"/>
    <col min="6" max="7" width="14.7109375" style="1" customWidth="1"/>
    <col min="8" max="16384" width="9.140625" style="1"/>
  </cols>
  <sheetData>
    <row r="1" spans="1:7" s="13" customFormat="1" ht="32.1" customHeight="1" x14ac:dyDescent="0.2">
      <c r="A1" s="97" t="s">
        <v>47</v>
      </c>
      <c r="B1" s="183" t="s">
        <v>48</v>
      </c>
      <c r="C1" s="184"/>
      <c r="D1" s="97">
        <v>30</v>
      </c>
      <c r="E1" s="97"/>
      <c r="F1" s="97"/>
      <c r="G1" s="97"/>
    </row>
    <row r="2" spans="1:7" s="13" customFormat="1" ht="57" x14ac:dyDescent="0.2">
      <c r="A2" s="97" t="s">
        <v>49</v>
      </c>
      <c r="B2" s="97" t="s">
        <v>50</v>
      </c>
      <c r="C2" s="97"/>
      <c r="D2" s="97" t="s">
        <v>51</v>
      </c>
      <c r="E2" s="97"/>
      <c r="F2" s="97" t="s">
        <v>52</v>
      </c>
      <c r="G2" s="97" t="s">
        <v>53</v>
      </c>
    </row>
    <row r="3" spans="1:7" x14ac:dyDescent="0.3">
      <c r="A3" s="80" t="str">
        <f>' Master'!A5</f>
        <v>Accenture</v>
      </c>
      <c r="B3" s="81">
        <f>'Price Details'!B13</f>
        <v>506737076.78934187</v>
      </c>
      <c r="C3" s="173"/>
      <c r="D3" s="9">
        <f>$B$10/B3*$D$1</f>
        <v>25.692829746435123</v>
      </c>
      <c r="E3" s="121"/>
      <c r="F3" s="53">
        <f>B3/6</f>
        <v>84456179.464890316</v>
      </c>
      <c r="G3" s="53">
        <f>B3/72</f>
        <v>7038014.9554075263</v>
      </c>
    </row>
    <row r="4" spans="1:7" x14ac:dyDescent="0.3">
      <c r="A4" s="80" t="str">
        <f>' Master'!A4</f>
        <v>Deloitte</v>
      </c>
      <c r="B4" s="81">
        <f>'Price Details'!C13</f>
        <v>495573357.45872307</v>
      </c>
      <c r="C4" s="173"/>
      <c r="D4" s="9">
        <f>$B$10/B4*$D$1</f>
        <v>26.271608923688344</v>
      </c>
      <c r="E4" s="121"/>
      <c r="F4" s="53">
        <f>B4/6</f>
        <v>82595559.57645385</v>
      </c>
      <c r="G4" s="53">
        <f>B4/72</f>
        <v>6882963.2980378205</v>
      </c>
    </row>
    <row r="5" spans="1:7" x14ac:dyDescent="0.3">
      <c r="A5" s="80" t="str">
        <f>' Master'!A7</f>
        <v>Gainwell</v>
      </c>
      <c r="B5" s="81">
        <f>'Price Details'!D13</f>
        <v>458859638.5484845</v>
      </c>
      <c r="C5" s="173"/>
      <c r="D5" s="9">
        <f>$B$10/B5*$D$1</f>
        <v>28.373620921071925</v>
      </c>
      <c r="E5" s="121"/>
      <c r="F5" s="53">
        <f>B5/6</f>
        <v>76476606.424747422</v>
      </c>
      <c r="G5" s="53">
        <f>B5/72</f>
        <v>6373050.5353956185</v>
      </c>
    </row>
    <row r="6" spans="1:7" x14ac:dyDescent="0.3">
      <c r="A6" s="80" t="str">
        <f>' Master'!A6</f>
        <v>Kyndryl</v>
      </c>
      <c r="B6" s="81">
        <f>'Price Details'!E13</f>
        <v>539297343.93293095</v>
      </c>
      <c r="C6" s="173"/>
      <c r="D6" s="9">
        <f>$B$10/B6*$D$1</f>
        <v>24.141616098472639</v>
      </c>
      <c r="E6" s="121"/>
      <c r="F6" s="53">
        <f>B6/6</f>
        <v>89882890.655488491</v>
      </c>
      <c r="G6" s="53">
        <f>B6/72</f>
        <v>7490240.8879573746</v>
      </c>
    </row>
    <row r="7" spans="1:7" x14ac:dyDescent="0.3">
      <c r="A7" s="80" t="str">
        <f>' Master'!A3</f>
        <v>Peraton</v>
      </c>
      <c r="B7" s="81">
        <f>'Price Details'!F13</f>
        <v>433983648.00515938</v>
      </c>
      <c r="C7" s="173"/>
      <c r="D7" s="9">
        <f>$B$10/B7*$D$1</f>
        <v>30</v>
      </c>
      <c r="E7" s="121"/>
      <c r="F7" s="53">
        <f>B7/6</f>
        <v>72330608.000859901</v>
      </c>
      <c r="G7" s="53">
        <f>B7/72</f>
        <v>6027550.6667383248</v>
      </c>
    </row>
    <row r="8" spans="1:7" ht="17.25" customHeight="1" x14ac:dyDescent="0.3">
      <c r="A8" s="120"/>
      <c r="B8" s="60"/>
      <c r="D8" s="60"/>
    </row>
    <row r="9" spans="1:7" ht="17.25" hidden="1" customHeight="1" x14ac:dyDescent="0.3">
      <c r="A9" s="118"/>
      <c r="B9" s="119"/>
    </row>
    <row r="10" spans="1:7" hidden="1" x14ac:dyDescent="0.3">
      <c r="A10" s="51" t="s">
        <v>54</v>
      </c>
      <c r="B10" s="78">
        <f>MIN(B3:B7)</f>
        <v>433983648.00515938</v>
      </c>
      <c r="C10" s="82"/>
      <c r="D10" s="203"/>
      <c r="E10" s="203"/>
      <c r="F10" s="203"/>
      <c r="G10" s="203"/>
    </row>
    <row r="11" spans="1:7" hidden="1" x14ac:dyDescent="0.3">
      <c r="A11" s="51" t="s">
        <v>55</v>
      </c>
      <c r="B11" s="78">
        <f>MAX(B3:B7)</f>
        <v>539297343.93293095</v>
      </c>
      <c r="C11" s="82"/>
    </row>
    <row r="12" spans="1:7" hidden="1" x14ac:dyDescent="0.3">
      <c r="A12" s="63"/>
      <c r="B12" s="56"/>
    </row>
    <row r="13" spans="1:7" hidden="1" x14ac:dyDescent="0.3">
      <c r="A13" s="76"/>
      <c r="B13" s="77"/>
      <c r="D13" s="70"/>
    </row>
    <row r="14" spans="1:7" ht="15.95" customHeight="1" x14ac:dyDescent="0.3">
      <c r="A14" s="63"/>
      <c r="B14" s="77"/>
    </row>
    <row r="15" spans="1:7" ht="15.75" customHeight="1" x14ac:dyDescent="0.3">
      <c r="A15" s="63"/>
    </row>
    <row r="16" spans="1:7" ht="16.5" customHeight="1" x14ac:dyDescent="0.3">
      <c r="B16" s="16"/>
    </row>
    <row r="17" spans="2:2" x14ac:dyDescent="0.3">
      <c r="B17" s="56"/>
    </row>
  </sheetData>
  <mergeCells count="2">
    <mergeCell ref="B1:C1"/>
    <mergeCell ref="D10:G10"/>
  </mergeCells>
  <phoneticPr fontId="11" type="noConversion"/>
  <pageMargins left="0.7" right="0.7" top="0.75" bottom="0.75" header="0.3" footer="0.3"/>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0195E-2312-4692-9A89-2395203A0404}">
  <sheetPr>
    <pageSetUpPr fitToPage="1"/>
  </sheetPr>
  <dimension ref="A1:G39"/>
  <sheetViews>
    <sheetView workbookViewId="0">
      <pane xSplit="1" ySplit="2" topLeftCell="B3" activePane="bottomRight" state="frozen"/>
      <selection pane="topRight" activeCell="B1" sqref="B1"/>
      <selection pane="bottomLeft" activeCell="A4" sqref="A4"/>
      <selection pane="bottomRight" activeCell="F23" sqref="A1:F23"/>
    </sheetView>
  </sheetViews>
  <sheetFormatPr defaultColWidth="9.140625" defaultRowHeight="16.5" x14ac:dyDescent="0.3"/>
  <cols>
    <col min="1" max="1" width="75.7109375" style="1" customWidth="1"/>
    <col min="2" max="6" width="15.7109375" style="1" customWidth="1"/>
    <col min="7" max="7" width="2.42578125" style="1" customWidth="1"/>
    <col min="8" max="16384" width="9.140625" style="1"/>
  </cols>
  <sheetData>
    <row r="1" spans="1:7" s="13" customFormat="1" ht="24" customHeight="1" x14ac:dyDescent="0.2">
      <c r="A1" s="97" t="s">
        <v>56</v>
      </c>
      <c r="B1" s="97"/>
      <c r="C1" s="97"/>
      <c r="D1" s="97" t="s">
        <v>57</v>
      </c>
      <c r="E1" s="89">
        <v>0.3</v>
      </c>
      <c r="F1" s="97"/>
    </row>
    <row r="2" spans="1:7" s="13" customFormat="1" ht="20.100000000000001" customHeight="1" x14ac:dyDescent="0.2">
      <c r="A2" s="97" t="s">
        <v>58</v>
      </c>
      <c r="B2" s="97" t="str">
        <f>'Price Score'!A3</f>
        <v>Accenture</v>
      </c>
      <c r="C2" s="97" t="str">
        <f>'Price Score'!A4</f>
        <v>Deloitte</v>
      </c>
      <c r="D2" s="97" t="str">
        <f>'Price Score'!A5</f>
        <v>Gainwell</v>
      </c>
      <c r="E2" s="97" t="str">
        <f>'Price Score'!A6</f>
        <v>Kyndryl</v>
      </c>
      <c r="F2" s="97" t="str">
        <f>'Price Score'!A7</f>
        <v>Peraton</v>
      </c>
    </row>
    <row r="3" spans="1:7" s="13" customFormat="1" x14ac:dyDescent="0.3">
      <c r="A3" s="79" t="s">
        <v>59</v>
      </c>
      <c r="B3" s="53">
        <v>2533178.9743408328</v>
      </c>
      <c r="C3" s="53">
        <v>1414705.78</v>
      </c>
      <c r="D3" s="53">
        <v>3765068.07</v>
      </c>
      <c r="E3" s="53">
        <v>22395106.5483681</v>
      </c>
      <c r="F3" s="53">
        <v>3949959.4439000003</v>
      </c>
    </row>
    <row r="4" spans="1:7" x14ac:dyDescent="0.3">
      <c r="A4" s="79" t="s">
        <v>60</v>
      </c>
      <c r="B4" s="53">
        <v>10799341.9432425</v>
      </c>
      <c r="C4" s="53">
        <v>13476933.900000002</v>
      </c>
      <c r="D4" s="53">
        <v>8718271.6900000013</v>
      </c>
      <c r="E4" s="53">
        <v>0</v>
      </c>
      <c r="F4" s="53">
        <v>7899918.8878000006</v>
      </c>
      <c r="G4" s="46"/>
    </row>
    <row r="5" spans="1:7" x14ac:dyDescent="0.3">
      <c r="A5" s="79" t="s">
        <v>61</v>
      </c>
      <c r="B5" s="53">
        <v>62970438</v>
      </c>
      <c r="C5" s="53">
        <v>62678021.190323457</v>
      </c>
      <c r="D5" s="53">
        <v>73549722.37461713</v>
      </c>
      <c r="E5" s="53">
        <v>56301246.547028087</v>
      </c>
      <c r="F5" s="53">
        <v>51635843.991250485</v>
      </c>
      <c r="G5" s="46"/>
    </row>
    <row r="6" spans="1:7" x14ac:dyDescent="0.3">
      <c r="A6" s="79" t="s">
        <v>62</v>
      </c>
      <c r="B6" s="53">
        <v>201546269.24723482</v>
      </c>
      <c r="C6" s="53">
        <v>203385863.88641894</v>
      </c>
      <c r="D6" s="53">
        <v>146798303.3893778</v>
      </c>
      <c r="E6" s="53">
        <v>180098351.28022233</v>
      </c>
      <c r="F6" s="53">
        <v>216925373.18650049</v>
      </c>
      <c r="G6" s="46"/>
    </row>
    <row r="7" spans="1:7" x14ac:dyDescent="0.3">
      <c r="A7" s="79" t="s">
        <v>63</v>
      </c>
      <c r="B7" s="53">
        <v>16394042.000132054</v>
      </c>
      <c r="C7" s="53">
        <v>9998213.9019806404</v>
      </c>
      <c r="D7" s="53">
        <v>15256056.000000004</v>
      </c>
      <c r="E7" s="53">
        <v>3508160.1600000006</v>
      </c>
      <c r="F7" s="53">
        <v>8556604.6129999999</v>
      </c>
    </row>
    <row r="8" spans="1:7" x14ac:dyDescent="0.3">
      <c r="A8" s="79" t="s">
        <v>64</v>
      </c>
      <c r="B8" s="53">
        <v>220318348.12041664</v>
      </c>
      <c r="C8" s="53">
        <v>218550058.48000005</v>
      </c>
      <c r="D8" s="53">
        <v>217979910.19999999</v>
      </c>
      <c r="E8" s="53">
        <v>284097153.48207271</v>
      </c>
      <c r="F8" s="53">
        <v>154878586.48919997</v>
      </c>
    </row>
    <row r="9" spans="1:7" x14ac:dyDescent="0.3">
      <c r="A9" s="79" t="s">
        <v>65</v>
      </c>
      <c r="B9" s="53">
        <v>5507979.4215583382</v>
      </c>
      <c r="C9" s="53">
        <v>961200</v>
      </c>
      <c r="D9" s="53">
        <v>5275646.5844895933</v>
      </c>
      <c r="E9" s="53">
        <v>15292432.463607803</v>
      </c>
      <c r="F9" s="53">
        <v>1987239.7252084515</v>
      </c>
    </row>
    <row r="10" spans="1:7" ht="6.95" customHeight="1" x14ac:dyDescent="0.3">
      <c r="A10" s="161"/>
      <c r="B10" s="204"/>
      <c r="C10" s="204"/>
      <c r="D10" s="204"/>
      <c r="E10" s="204"/>
      <c r="F10" s="204"/>
    </row>
    <row r="11" spans="1:7" ht="28.5" x14ac:dyDescent="0.3">
      <c r="A11" s="104" t="s">
        <v>66</v>
      </c>
      <c r="B11" s="53">
        <f>SUM(B3:B9)</f>
        <v>520069597.70692521</v>
      </c>
      <c r="C11" s="53">
        <f>SUM(C3:C9)</f>
        <v>510464997.13872313</v>
      </c>
      <c r="D11" s="53">
        <f>SUM(D3:D9)</f>
        <v>471342978.30848449</v>
      </c>
      <c r="E11" s="53">
        <f>SUM(E3:E9)</f>
        <v>561692450.48129904</v>
      </c>
      <c r="F11" s="53">
        <f>SUM(F3:F9)</f>
        <v>445833526.33685941</v>
      </c>
    </row>
    <row r="12" spans="1:7" ht="9.9499999999999993" customHeight="1" x14ac:dyDescent="0.3">
      <c r="A12" s="152"/>
      <c r="B12" s="206"/>
      <c r="C12" s="206"/>
      <c r="D12" s="206"/>
      <c r="E12" s="206"/>
      <c r="F12" s="206"/>
    </row>
    <row r="13" spans="1:7" ht="33" customHeight="1" x14ac:dyDescent="0.3">
      <c r="A13" s="104" t="s">
        <v>67</v>
      </c>
      <c r="B13" s="105">
        <v>506737076.78934187</v>
      </c>
      <c r="C13" s="105">
        <v>495573357.45872307</v>
      </c>
      <c r="D13" s="105">
        <v>458859638.5484845</v>
      </c>
      <c r="E13" s="105">
        <v>539297343.93293095</v>
      </c>
      <c r="F13" s="105">
        <v>433983648.00515938</v>
      </c>
    </row>
    <row r="14" spans="1:7" ht="9.9499999999999993" customHeight="1" x14ac:dyDescent="0.3">
      <c r="A14" s="152"/>
      <c r="B14" s="206"/>
      <c r="C14" s="206"/>
      <c r="D14" s="206"/>
      <c r="E14" s="206"/>
      <c r="F14" s="206"/>
    </row>
    <row r="15" spans="1:7" ht="20.100000000000001" customHeight="1" x14ac:dyDescent="0.3">
      <c r="A15" s="68" t="s">
        <v>68</v>
      </c>
      <c r="B15" s="53">
        <f>B11-B3</f>
        <v>517536418.73258436</v>
      </c>
      <c r="C15" s="53">
        <f>C11-C3</f>
        <v>509050291.35872316</v>
      </c>
      <c r="D15" s="53">
        <f>D11-D3</f>
        <v>467577910.2384845</v>
      </c>
      <c r="E15" s="53">
        <f>E11-E3</f>
        <v>539297343.93293095</v>
      </c>
      <c r="F15" s="53">
        <f>F11-F3</f>
        <v>441883566.89295942</v>
      </c>
    </row>
    <row r="16" spans="1:7" ht="9.9499999999999993" customHeight="1" x14ac:dyDescent="0.3">
      <c r="A16" s="162"/>
      <c r="B16" s="205"/>
      <c r="C16" s="205"/>
      <c r="D16" s="205"/>
      <c r="E16" s="205"/>
      <c r="F16" s="205"/>
    </row>
    <row r="17" spans="1:6" ht="20.100000000000001" customHeight="1" x14ac:dyDescent="0.3">
      <c r="A17" s="68" t="s">
        <v>69</v>
      </c>
      <c r="B17" s="53">
        <v>340984147.79968876</v>
      </c>
      <c r="C17" s="53">
        <v>328885871.17665863</v>
      </c>
      <c r="D17" s="53">
        <v>304343108.44647491</v>
      </c>
      <c r="E17" s="53">
        <v>336128467.07580209</v>
      </c>
      <c r="F17" s="53">
        <v>262845319.37031889</v>
      </c>
    </row>
    <row r="18" spans="1:6" ht="9.9499999999999993" customHeight="1" x14ac:dyDescent="0.3">
      <c r="A18" s="162"/>
      <c r="B18" s="205"/>
      <c r="C18" s="205"/>
      <c r="D18" s="205"/>
      <c r="E18" s="205"/>
      <c r="F18" s="205"/>
    </row>
    <row r="19" spans="1:6" ht="20.100000000000001" customHeight="1" x14ac:dyDescent="0.3">
      <c r="A19" s="68" t="s">
        <v>70</v>
      </c>
      <c r="B19" s="53">
        <f>B11+B17</f>
        <v>861053745.50661397</v>
      </c>
      <c r="C19" s="53">
        <f>C11+C17</f>
        <v>839350868.31538177</v>
      </c>
      <c r="D19" s="53">
        <f>D11+D17</f>
        <v>775686086.75495934</v>
      </c>
      <c r="E19" s="53">
        <f>E11+E17</f>
        <v>897820917.55710113</v>
      </c>
      <c r="F19" s="53">
        <f>F11+F17</f>
        <v>708678845.70717835</v>
      </c>
    </row>
    <row r="20" spans="1:6" ht="9.9499999999999993" customHeight="1" x14ac:dyDescent="0.3">
      <c r="A20" s="162"/>
      <c r="B20" s="205"/>
      <c r="C20" s="205"/>
      <c r="D20" s="205"/>
      <c r="E20" s="205"/>
      <c r="F20" s="205"/>
    </row>
    <row r="21" spans="1:6" ht="20.100000000000001" customHeight="1" x14ac:dyDescent="0.3">
      <c r="A21" s="104" t="s">
        <v>71</v>
      </c>
      <c r="B21" s="106">
        <f>'Price Score'!D3</f>
        <v>25.692829746435123</v>
      </c>
      <c r="C21" s="106">
        <f>'Price Score'!D4</f>
        <v>26.271608923688344</v>
      </c>
      <c r="D21" s="106">
        <f>'Price Score'!D5</f>
        <v>28.373620921071925</v>
      </c>
      <c r="E21" s="106">
        <f>'Price Score'!D6</f>
        <v>24.141616098472639</v>
      </c>
      <c r="F21" s="106">
        <f>'Price Score'!D7</f>
        <v>30</v>
      </c>
    </row>
    <row r="22" spans="1:6" ht="9.9499999999999993" customHeight="1" x14ac:dyDescent="0.3">
      <c r="B22" s="10"/>
    </row>
    <row r="23" spans="1:6" ht="20.100000000000001" customHeight="1" x14ac:dyDescent="0.3">
      <c r="A23" s="68" t="s">
        <v>72</v>
      </c>
      <c r="B23" s="123">
        <v>121.30427361096383</v>
      </c>
      <c r="C23" s="123">
        <v>111.71847997476814</v>
      </c>
      <c r="D23" s="123">
        <v>96.178073878627956</v>
      </c>
      <c r="E23" s="123">
        <v>98.09948259971425</v>
      </c>
      <c r="F23" s="123">
        <v>77.229085713070162</v>
      </c>
    </row>
    <row r="25" spans="1:6" hidden="1" x14ac:dyDescent="0.3"/>
    <row r="26" spans="1:6" hidden="1" x14ac:dyDescent="0.3">
      <c r="A26" s="108" t="s">
        <v>59</v>
      </c>
      <c r="B26" s="113">
        <v>2533178.9743408328</v>
      </c>
      <c r="C26" s="113">
        <v>1414705.78</v>
      </c>
      <c r="D26" s="113">
        <v>3765068.07</v>
      </c>
      <c r="E26" s="113">
        <v>22395106.5483681</v>
      </c>
      <c r="F26" s="109">
        <v>3949959.4439000003</v>
      </c>
    </row>
    <row r="27" spans="1:6" hidden="1" x14ac:dyDescent="0.3">
      <c r="A27" s="108" t="s">
        <v>60</v>
      </c>
      <c r="B27" s="113">
        <v>10799341.9432425</v>
      </c>
      <c r="C27" s="113">
        <v>13476933.900000002</v>
      </c>
      <c r="D27" s="113">
        <v>8718271.6900000013</v>
      </c>
      <c r="E27" s="113">
        <v>0</v>
      </c>
      <c r="F27" s="109">
        <v>7899918.8878000006</v>
      </c>
    </row>
    <row r="28" spans="1:6" hidden="1" x14ac:dyDescent="0.3">
      <c r="A28" s="108" t="s">
        <v>61</v>
      </c>
      <c r="B28" s="113">
        <v>62970438</v>
      </c>
      <c r="C28" s="113">
        <v>62678021.190323457</v>
      </c>
      <c r="D28" s="113">
        <v>73549722.37461713</v>
      </c>
      <c r="E28" s="113">
        <v>56301246.547028087</v>
      </c>
      <c r="F28" s="109">
        <v>51635843.991250485</v>
      </c>
    </row>
    <row r="29" spans="1:6" hidden="1" x14ac:dyDescent="0.3">
      <c r="A29" s="108" t="s">
        <v>62</v>
      </c>
      <c r="B29" s="113">
        <v>201546269.24723482</v>
      </c>
      <c r="C29" s="113">
        <v>203385863.88641894</v>
      </c>
      <c r="D29" s="113">
        <v>146798303.3893778</v>
      </c>
      <c r="E29" s="113">
        <v>180098351.28022233</v>
      </c>
      <c r="F29" s="109">
        <v>216925373.18650049</v>
      </c>
    </row>
    <row r="30" spans="1:6" hidden="1" x14ac:dyDescent="0.3">
      <c r="A30" s="108" t="s">
        <v>63</v>
      </c>
      <c r="B30" s="113">
        <v>16394042.000132054</v>
      </c>
      <c r="C30" s="113">
        <v>9998213.9019806404</v>
      </c>
      <c r="D30" s="113">
        <v>15256056.000000004</v>
      </c>
      <c r="E30" s="113">
        <v>3508160.1600000006</v>
      </c>
      <c r="F30" s="109">
        <v>8556604.6129999999</v>
      </c>
    </row>
    <row r="31" spans="1:6" hidden="1" x14ac:dyDescent="0.3">
      <c r="A31" s="108" t="s">
        <v>64</v>
      </c>
      <c r="B31" s="113">
        <v>220318348.12041664</v>
      </c>
      <c r="C31" s="113">
        <v>218550058.48000005</v>
      </c>
      <c r="D31" s="113">
        <v>217979910.19999999</v>
      </c>
      <c r="E31" s="113">
        <v>284097153.48207271</v>
      </c>
      <c r="F31" s="109">
        <v>154878586.48919997</v>
      </c>
    </row>
    <row r="32" spans="1:6" hidden="1" x14ac:dyDescent="0.3">
      <c r="A32" s="108" t="s">
        <v>65</v>
      </c>
      <c r="B32" s="113">
        <v>5507979.4215583382</v>
      </c>
      <c r="C32" s="113">
        <v>961200</v>
      </c>
      <c r="D32" s="113">
        <v>5275646.5844895933</v>
      </c>
      <c r="E32" s="113">
        <v>15292432.463607803</v>
      </c>
      <c r="F32" s="109">
        <v>1987239.7252084515</v>
      </c>
    </row>
    <row r="33" spans="1:6" hidden="1" x14ac:dyDescent="0.3"/>
    <row r="34" spans="1:6" ht="23.25" hidden="1" customHeight="1" thickBot="1" x14ac:dyDescent="0.35">
      <c r="A34" s="110" t="s">
        <v>73</v>
      </c>
      <c r="B34" s="113">
        <v>506737076.78934187</v>
      </c>
      <c r="C34" s="113">
        <v>495573357.45872307</v>
      </c>
      <c r="D34" s="113">
        <v>458859638.5484845</v>
      </c>
      <c r="E34" s="113">
        <v>539297343.93293095</v>
      </c>
      <c r="F34" s="112">
        <v>433983648.00515938</v>
      </c>
    </row>
    <row r="35" spans="1:6" hidden="1" x14ac:dyDescent="0.3"/>
    <row r="36" spans="1:6" ht="17.25" hidden="1" thickBot="1" x14ac:dyDescent="0.35">
      <c r="A36" s="111" t="s">
        <v>69</v>
      </c>
      <c r="B36" s="113">
        <v>340984147.79968876</v>
      </c>
      <c r="C36" s="113">
        <v>328885871.17665863</v>
      </c>
      <c r="D36" s="113">
        <v>304343108.44647491</v>
      </c>
      <c r="E36" s="113">
        <v>336128467.07580209</v>
      </c>
      <c r="F36" s="113">
        <v>262845319.37031889</v>
      </c>
    </row>
    <row r="37" spans="1:6" hidden="1" x14ac:dyDescent="0.3"/>
    <row r="38" spans="1:6" hidden="1" x14ac:dyDescent="0.3">
      <c r="A38" s="1" t="s">
        <v>72</v>
      </c>
      <c r="B38" s="113">
        <v>121.30427361096383</v>
      </c>
      <c r="C38" s="113">
        <v>111.71847997476814</v>
      </c>
      <c r="D38" s="113">
        <v>96.178073878627956</v>
      </c>
      <c r="E38" s="113">
        <v>98.09948259971425</v>
      </c>
      <c r="F38" s="113">
        <v>77.229085713070162</v>
      </c>
    </row>
    <row r="39" spans="1:6" hidden="1" x14ac:dyDescent="0.3"/>
  </sheetData>
  <mergeCells count="6">
    <mergeCell ref="B10:F10"/>
    <mergeCell ref="B20:F20"/>
    <mergeCell ref="B18:F18"/>
    <mergeCell ref="B16:F16"/>
    <mergeCell ref="B14:F14"/>
    <mergeCell ref="B12:F12"/>
  </mergeCells>
  <pageMargins left="0.7" right="0.7" top="0.75" bottom="0.75" header="0.3" footer="0.3"/>
  <pageSetup scale="7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DE38D7-957B-4F18-8BD8-C6AC864B4ACB}">
  <sheetPr>
    <pageSetUpPr fitToPage="1"/>
  </sheetPr>
  <dimension ref="A1:F8"/>
  <sheetViews>
    <sheetView zoomScaleNormal="100" workbookViewId="0">
      <selection activeCell="B15" sqref="B15"/>
    </sheetView>
  </sheetViews>
  <sheetFormatPr defaultColWidth="9.140625" defaultRowHeight="15" x14ac:dyDescent="0.25"/>
  <cols>
    <col min="1" max="1" width="7.7109375" customWidth="1"/>
    <col min="2" max="2" width="18.7109375" customWidth="1"/>
    <col min="3" max="3" width="18.7109375" style="94" customWidth="1"/>
    <col min="4" max="6" width="18.7109375" customWidth="1"/>
    <col min="7" max="7" width="9.140625" customWidth="1"/>
  </cols>
  <sheetData>
    <row r="1" spans="1:6" ht="18.75" customHeight="1" x14ac:dyDescent="0.25">
      <c r="A1" s="207" t="s">
        <v>74</v>
      </c>
      <c r="B1" s="207"/>
      <c r="C1" s="207"/>
      <c r="D1" s="207"/>
      <c r="E1" s="207"/>
      <c r="F1" s="207"/>
    </row>
    <row r="2" spans="1:6" ht="57.75" x14ac:dyDescent="0.25">
      <c r="A2" s="97"/>
      <c r="B2" s="97" t="s">
        <v>49</v>
      </c>
      <c r="C2" s="97" t="s">
        <v>75</v>
      </c>
      <c r="D2" s="97" t="s">
        <v>76</v>
      </c>
      <c r="E2" s="97" t="s">
        <v>77</v>
      </c>
      <c r="F2" s="97" t="s">
        <v>78</v>
      </c>
    </row>
    <row r="3" spans="1:6" s="1" customFormat="1" ht="17.100000000000001" customHeight="1" x14ac:dyDescent="0.3">
      <c r="A3" s="97"/>
      <c r="B3" s="93" t="s">
        <v>6</v>
      </c>
      <c r="C3" s="102">
        <f>'Price Score'!B3</f>
        <v>506737076.78934187</v>
      </c>
      <c r="D3" s="103">
        <f>'Price Details'!B15</f>
        <v>517536418.73258436</v>
      </c>
      <c r="E3" s="103">
        <f>'Price Details'!B17</f>
        <v>340984147.79968876</v>
      </c>
      <c r="F3" s="103">
        <f>D3+E3</f>
        <v>858520566.53227305</v>
      </c>
    </row>
    <row r="4" spans="1:6" s="1" customFormat="1" ht="17.100000000000001" customHeight="1" x14ac:dyDescent="0.3">
      <c r="A4" s="97"/>
      <c r="B4" s="93" t="s">
        <v>4</v>
      </c>
      <c r="C4" s="102">
        <f>'Price Score'!B4</f>
        <v>495573357.45872307</v>
      </c>
      <c r="D4" s="103">
        <f>'Price Details'!C15</f>
        <v>509050291.35872316</v>
      </c>
      <c r="E4" s="103">
        <f>'Price Details'!C17</f>
        <v>328885871.17665863</v>
      </c>
      <c r="F4" s="103">
        <f>D4+E4</f>
        <v>837936162.53538179</v>
      </c>
    </row>
    <row r="5" spans="1:6" s="1" customFormat="1" ht="17.100000000000001" customHeight="1" x14ac:dyDescent="0.3">
      <c r="A5" s="97"/>
      <c r="B5" s="93" t="s">
        <v>10</v>
      </c>
      <c r="C5" s="102">
        <f>'Price Score'!B5</f>
        <v>458859638.5484845</v>
      </c>
      <c r="D5" s="103">
        <f>'Price Details'!D15</f>
        <v>467577910.2384845</v>
      </c>
      <c r="E5" s="103">
        <f>'Price Details'!D17</f>
        <v>304343108.44647491</v>
      </c>
      <c r="F5" s="103">
        <f>D5+E5</f>
        <v>771921018.68495941</v>
      </c>
    </row>
    <row r="6" spans="1:6" s="1" customFormat="1" ht="17.100000000000001" customHeight="1" x14ac:dyDescent="0.3">
      <c r="A6" s="97"/>
      <c r="B6" s="93" t="s">
        <v>8</v>
      </c>
      <c r="C6" s="102">
        <f>'Price Score'!B6</f>
        <v>539297343.93293095</v>
      </c>
      <c r="D6" s="103">
        <f>'Price Details'!E15</f>
        <v>539297343.93293095</v>
      </c>
      <c r="E6" s="103">
        <f>'Price Details'!E17</f>
        <v>336128467.07580209</v>
      </c>
      <c r="F6" s="103">
        <f>D6+E6</f>
        <v>875425811.00873303</v>
      </c>
    </row>
    <row r="7" spans="1:6" s="1" customFormat="1" ht="17.100000000000001" customHeight="1" x14ac:dyDescent="0.3">
      <c r="A7" s="97"/>
      <c r="B7" s="93" t="s">
        <v>2</v>
      </c>
      <c r="C7" s="102">
        <f>'Price Score'!B7</f>
        <v>433983648.00515938</v>
      </c>
      <c r="D7" s="103">
        <f>'Price Details'!F15</f>
        <v>441883566.89295942</v>
      </c>
      <c r="E7" s="103">
        <f>'Price Details'!F17</f>
        <v>262845319.37031889</v>
      </c>
      <c r="F7" s="103">
        <f>D7+E7</f>
        <v>704728886.26327825</v>
      </c>
    </row>
    <row r="8" spans="1:6" x14ac:dyDescent="0.25">
      <c r="D8" s="94"/>
      <c r="E8" s="94"/>
      <c r="F8" s="94"/>
    </row>
  </sheetData>
  <mergeCells count="1">
    <mergeCell ref="A1:F1"/>
  </mergeCells>
  <pageMargins left="0.7" right="0.7" top="0.75" bottom="0.75" header="0.3" footer="0.3"/>
  <pageSetup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940834-EAAC-458F-B5D6-4E7077224BA8}">
  <sheetPr>
    <pageSetUpPr fitToPage="1"/>
  </sheetPr>
  <dimension ref="A2:G9"/>
  <sheetViews>
    <sheetView zoomScaleNormal="100" workbookViewId="0">
      <pane xSplit="1" ySplit="3" topLeftCell="B4" activePane="bottomRight" state="frozen"/>
      <selection pane="topRight" activeCell="B1" sqref="B1"/>
      <selection pane="bottomLeft" activeCell="A4" sqref="A4"/>
      <selection pane="bottomRight" activeCell="G25" sqref="G25"/>
    </sheetView>
  </sheetViews>
  <sheetFormatPr defaultColWidth="9.140625" defaultRowHeight="16.5" x14ac:dyDescent="0.3"/>
  <cols>
    <col min="1" max="3" width="16.7109375" style="1" customWidth="1"/>
    <col min="4" max="4" width="2" style="1" customWidth="1"/>
    <col min="5" max="5" width="16.7109375" style="1" customWidth="1"/>
    <col min="6" max="6" width="2" style="1" customWidth="1"/>
    <col min="7" max="8" width="17.7109375" style="1" customWidth="1"/>
    <col min="9" max="16384" width="9.140625" style="1"/>
  </cols>
  <sheetData>
    <row r="2" spans="1:7" ht="16.5" customHeight="1" x14ac:dyDescent="0.3">
      <c r="A2" s="183" t="s">
        <v>79</v>
      </c>
      <c r="B2" s="208"/>
      <c r="C2" s="208"/>
      <c r="D2" s="208"/>
      <c r="E2" s="208"/>
      <c r="F2" s="208"/>
      <c r="G2" s="208"/>
    </row>
    <row r="3" spans="1:7" s="13" customFormat="1" ht="57" x14ac:dyDescent="0.2">
      <c r="A3" s="97" t="s">
        <v>49</v>
      </c>
      <c r="B3" s="97" t="s">
        <v>80</v>
      </c>
      <c r="C3" s="97" t="s">
        <v>52</v>
      </c>
      <c r="D3" s="97"/>
      <c r="E3" s="97" t="s">
        <v>81</v>
      </c>
      <c r="F3" s="97"/>
      <c r="G3" s="97" t="s">
        <v>82</v>
      </c>
    </row>
    <row r="4" spans="1:7" x14ac:dyDescent="0.3">
      <c r="A4" s="5" t="str">
        <f>'Summary Total'!A3</f>
        <v>Accenture</v>
      </c>
      <c r="B4" s="53">
        <f>'Price Score'!B3</f>
        <v>506737076.78934187</v>
      </c>
      <c r="C4" s="53">
        <f>B4/6</f>
        <v>84456179.464890316</v>
      </c>
      <c r="D4" s="209"/>
      <c r="E4" s="53">
        <v>68544910</v>
      </c>
      <c r="F4" s="209"/>
      <c r="G4" s="53">
        <f>E4-C4</f>
        <v>-15911269.464890316</v>
      </c>
    </row>
    <row r="5" spans="1:7" ht="16.5" customHeight="1" x14ac:dyDescent="0.3">
      <c r="A5" s="5" t="str">
        <f>'Summary Total'!A4</f>
        <v>Deloitte</v>
      </c>
      <c r="B5" s="53">
        <f>'Price Score'!B4</f>
        <v>495573357.45872307</v>
      </c>
      <c r="C5" s="53">
        <f>B5/6</f>
        <v>82595559.57645385</v>
      </c>
      <c r="D5" s="210"/>
      <c r="E5" s="53">
        <v>68544910</v>
      </c>
      <c r="F5" s="210"/>
      <c r="G5" s="53">
        <f>E5-C5</f>
        <v>-14050649.57645385</v>
      </c>
    </row>
    <row r="6" spans="1:7" x14ac:dyDescent="0.3">
      <c r="A6" s="5" t="str">
        <f>'Summary Total'!A5</f>
        <v>Gainwell</v>
      </c>
      <c r="B6" s="53">
        <f>'Price Score'!B5</f>
        <v>458859638.5484845</v>
      </c>
      <c r="C6" s="53">
        <f>B6/6</f>
        <v>76476606.424747422</v>
      </c>
      <c r="D6" s="210"/>
      <c r="E6" s="53">
        <v>68544910</v>
      </c>
      <c r="F6" s="210"/>
      <c r="G6" s="53">
        <f>E6-C6</f>
        <v>-7931696.4247474223</v>
      </c>
    </row>
    <row r="7" spans="1:7" x14ac:dyDescent="0.3">
      <c r="A7" s="5" t="str">
        <f>'Summary Total'!A6</f>
        <v>Kyndryl</v>
      </c>
      <c r="B7" s="53">
        <f>'Price Score'!B6</f>
        <v>539297343.93293095</v>
      </c>
      <c r="C7" s="53">
        <f>B7/6</f>
        <v>89882890.655488491</v>
      </c>
      <c r="D7" s="210"/>
      <c r="E7" s="53">
        <v>68544910</v>
      </c>
      <c r="F7" s="210"/>
      <c r="G7" s="53">
        <f>E7-C7</f>
        <v>-21337980.655488491</v>
      </c>
    </row>
    <row r="8" spans="1:7" x14ac:dyDescent="0.3">
      <c r="A8" s="5" t="str">
        <f>'Summary Total'!A7</f>
        <v>Peraton</v>
      </c>
      <c r="B8" s="53">
        <f>'Price Score'!B7</f>
        <v>433983648.00515938</v>
      </c>
      <c r="C8" s="53">
        <f>B8/6</f>
        <v>72330608.000859901</v>
      </c>
      <c r="D8" s="211"/>
      <c r="E8" s="53">
        <v>68544910</v>
      </c>
      <c r="F8" s="211"/>
      <c r="G8" s="53">
        <f>E8-C8</f>
        <v>-3785698.0008599013</v>
      </c>
    </row>
    <row r="9" spans="1:7" ht="16.5" hidden="1" customHeight="1" x14ac:dyDescent="0.3">
      <c r="A9" s="5">
        <f>'Summary Total'!A8</f>
        <v>0</v>
      </c>
      <c r="B9" s="53" t="e">
        <f>'Price Score'!#REF!</f>
        <v>#REF!</v>
      </c>
      <c r="C9" s="53"/>
      <c r="D9" s="122"/>
      <c r="E9" s="122"/>
    </row>
  </sheetData>
  <mergeCells count="3">
    <mergeCell ref="A2:G2"/>
    <mergeCell ref="D4:D8"/>
    <mergeCell ref="F4:F8"/>
  </mergeCells>
  <pageMargins left="0.7" right="0.7" top="0.75" bottom="0.7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7"/>
  <sheetViews>
    <sheetView workbookViewId="0">
      <pane xSplit="1" ySplit="5" topLeftCell="B6" activePane="bottomRight" state="frozen"/>
      <selection pane="topRight" activeCell="B1" sqref="B1"/>
      <selection pane="bottomLeft" activeCell="A4" sqref="A4"/>
      <selection pane="bottomRight" activeCell="H19" sqref="H19"/>
    </sheetView>
  </sheetViews>
  <sheetFormatPr defaultColWidth="9.140625" defaultRowHeight="16.5" x14ac:dyDescent="0.3"/>
  <cols>
    <col min="1" max="3" width="16.7109375" style="1" customWidth="1"/>
    <col min="4" max="4" width="15.7109375" style="1" customWidth="1"/>
    <col min="5" max="5" width="14.7109375" style="1" customWidth="1"/>
    <col min="6" max="6" width="2" style="1" customWidth="1"/>
    <col min="7" max="7" width="16.7109375" style="1" customWidth="1"/>
    <col min="8" max="8" width="15.7109375" style="1" customWidth="1"/>
    <col min="9" max="9" width="13.7109375" style="1" customWidth="1"/>
    <col min="10" max="10" width="2" style="1" customWidth="1"/>
    <col min="11" max="12" width="15.7109375" style="1" customWidth="1"/>
    <col min="13" max="13" width="13.7109375" style="1" customWidth="1"/>
    <col min="14" max="15" width="15.7109375" style="1" customWidth="1"/>
    <col min="16" max="16384" width="9.140625" style="1"/>
  </cols>
  <sheetData>
    <row r="1" spans="1:13" x14ac:dyDescent="0.3">
      <c r="A1" s="215"/>
      <c r="B1" s="216"/>
      <c r="C1" s="216"/>
      <c r="D1" s="216"/>
      <c r="E1" s="217"/>
      <c r="F1" s="212"/>
      <c r="G1" s="228" t="s">
        <v>83</v>
      </c>
      <c r="H1" s="229"/>
      <c r="I1" s="230"/>
      <c r="J1" s="212"/>
      <c r="K1" s="228" t="s">
        <v>84</v>
      </c>
      <c r="L1" s="229"/>
      <c r="M1" s="230"/>
    </row>
    <row r="2" spans="1:13" ht="18" customHeight="1" x14ac:dyDescent="0.3">
      <c r="A2" s="212" t="s">
        <v>49</v>
      </c>
      <c r="B2" s="224" t="s">
        <v>85</v>
      </c>
      <c r="C2" s="221" t="s">
        <v>86</v>
      </c>
      <c r="D2" s="221" t="s">
        <v>87</v>
      </c>
      <c r="E2" s="221" t="s">
        <v>88</v>
      </c>
      <c r="F2" s="213"/>
      <c r="G2" s="221" t="s">
        <v>86</v>
      </c>
      <c r="H2" s="221" t="s">
        <v>89</v>
      </c>
      <c r="I2" s="231" t="s">
        <v>90</v>
      </c>
      <c r="J2" s="213"/>
      <c r="K2" s="221" t="s">
        <v>86</v>
      </c>
      <c r="L2" s="221" t="s">
        <v>91</v>
      </c>
      <c r="M2" s="231" t="s">
        <v>91</v>
      </c>
    </row>
    <row r="3" spans="1:13" ht="18" customHeight="1" x14ac:dyDescent="0.3">
      <c r="A3" s="213"/>
      <c r="B3" s="225"/>
      <c r="C3" s="222"/>
      <c r="D3" s="222"/>
      <c r="E3" s="222"/>
      <c r="F3" s="213"/>
      <c r="G3" s="222"/>
      <c r="H3" s="222"/>
      <c r="I3" s="232"/>
      <c r="J3" s="213"/>
      <c r="K3" s="222"/>
      <c r="L3" s="222"/>
      <c r="M3" s="232"/>
    </row>
    <row r="4" spans="1:13" s="13" customFormat="1" ht="30" customHeight="1" x14ac:dyDescent="0.2">
      <c r="A4" s="213"/>
      <c r="B4" s="225"/>
      <c r="C4" s="222"/>
      <c r="D4" s="222"/>
      <c r="E4" s="222"/>
      <c r="F4" s="213"/>
      <c r="G4" s="222"/>
      <c r="H4" s="222"/>
      <c r="I4" s="232"/>
      <c r="J4" s="213"/>
      <c r="K4" s="222"/>
      <c r="L4" s="222"/>
      <c r="M4" s="232"/>
    </row>
    <row r="5" spans="1:13" s="13" customFormat="1" ht="14.25" customHeight="1" x14ac:dyDescent="0.2">
      <c r="A5" s="214"/>
      <c r="B5" s="226"/>
      <c r="C5" s="223"/>
      <c r="D5" s="223"/>
      <c r="E5" s="223"/>
      <c r="F5" s="214"/>
      <c r="G5" s="223"/>
      <c r="H5" s="223"/>
      <c r="I5" s="233"/>
      <c r="J5" s="214"/>
      <c r="K5" s="223"/>
      <c r="L5" s="223"/>
      <c r="M5" s="233"/>
    </row>
    <row r="6" spans="1:13" x14ac:dyDescent="0.3">
      <c r="A6" s="5" t="str">
        <f>'Summary Total'!A3</f>
        <v>Accenture</v>
      </c>
      <c r="B6" s="53">
        <v>621056363.53993917</v>
      </c>
      <c r="C6" s="53">
        <f>'Price Score'!B3</f>
        <v>506737076.78934187</v>
      </c>
      <c r="D6" s="53">
        <f>B6-C6</f>
        <v>114319286.7505973</v>
      </c>
      <c r="E6" s="55">
        <f>(B6-C6)/B6</f>
        <v>0.18407232171165991</v>
      </c>
      <c r="G6" s="53">
        <f>C6</f>
        <v>506737076.78934187</v>
      </c>
      <c r="H6" s="53">
        <f>G6-$G$10</f>
        <v>72753428.784182489</v>
      </c>
      <c r="I6" s="55">
        <f>H6/$G$9</f>
        <v>0.13490411106721562</v>
      </c>
      <c r="J6" s="121"/>
      <c r="K6" s="53">
        <f>C6</f>
        <v>506737076.78934187</v>
      </c>
      <c r="L6" s="53">
        <f>K6-$K$8</f>
        <v>47877438.240857363</v>
      </c>
      <c r="M6" s="55">
        <f>L6/$K$8</f>
        <v>0.10434005133314528</v>
      </c>
    </row>
    <row r="7" spans="1:13" x14ac:dyDescent="0.3">
      <c r="A7" s="5" t="str">
        <f>'Summary Total'!A4</f>
        <v>Deloitte</v>
      </c>
      <c r="B7" s="53">
        <v>405027855.88876426</v>
      </c>
      <c r="C7" s="53">
        <f>'Price Score'!B4</f>
        <v>495573357.45872307</v>
      </c>
      <c r="D7" s="53">
        <f>B7-C7</f>
        <v>-90545501.569958806</v>
      </c>
      <c r="E7" s="55">
        <f>(B7-C7)/B7</f>
        <v>-0.22355376365724824</v>
      </c>
      <c r="G7" s="53">
        <f>C7</f>
        <v>495573357.45872307</v>
      </c>
      <c r="H7" s="53">
        <f>G7-$G$10</f>
        <v>61589709.45356369</v>
      </c>
      <c r="I7" s="55">
        <f>H7/$G$9</f>
        <v>0.11420362096428796</v>
      </c>
      <c r="J7" s="121"/>
      <c r="K7" s="53">
        <f>C7</f>
        <v>495573357.45872307</v>
      </c>
      <c r="L7" s="53">
        <f>K7-$K$8</f>
        <v>36713718.910238564</v>
      </c>
      <c r="M7" s="55">
        <f>L7/$K$8</f>
        <v>8.001078287551168E-2</v>
      </c>
    </row>
    <row r="8" spans="1:13" x14ac:dyDescent="0.3">
      <c r="A8" s="5" t="str">
        <f>'Summary Total'!A5</f>
        <v>Gainwell</v>
      </c>
      <c r="B8" s="53">
        <v>488050952.01369196</v>
      </c>
      <c r="C8" s="53">
        <f>'Price Score'!B5</f>
        <v>458859638.5484845</v>
      </c>
      <c r="D8" s="53">
        <f>B8-C8</f>
        <v>29191313.465207458</v>
      </c>
      <c r="E8" s="55">
        <f>(B8-C8)/B8</f>
        <v>5.9812020332640423E-2</v>
      </c>
      <c r="G8" s="53">
        <f>C8</f>
        <v>458859638.5484845</v>
      </c>
      <c r="H8" s="53">
        <f>G8-$G$10</f>
        <v>24875990.543325126</v>
      </c>
      <c r="I8" s="55">
        <f>H8/$G$9</f>
        <v>4.6126669866222811E-2</v>
      </c>
      <c r="J8" s="121"/>
      <c r="K8" s="53">
        <f>C8</f>
        <v>458859638.5484845</v>
      </c>
      <c r="L8" s="53">
        <f>K8-$K$8</f>
        <v>0</v>
      </c>
      <c r="M8" s="55">
        <f>L8/$K$8</f>
        <v>0</v>
      </c>
    </row>
    <row r="9" spans="1:13" x14ac:dyDescent="0.3">
      <c r="A9" s="5" t="str">
        <f>'Summary Total'!A6</f>
        <v>Kyndryl</v>
      </c>
      <c r="B9" s="53">
        <v>447975365.28769773</v>
      </c>
      <c r="C9" s="53">
        <f>'Price Score'!B6</f>
        <v>539297343.93293095</v>
      </c>
      <c r="D9" s="53">
        <f>B9-C9</f>
        <v>-91321978.645233214</v>
      </c>
      <c r="E9" s="55">
        <f>(B9-C9)/B9</f>
        <v>-0.20385491194718847</v>
      </c>
      <c r="G9" s="53">
        <f>C9</f>
        <v>539297343.93293095</v>
      </c>
      <c r="H9" s="53">
        <f>G9-$G$10</f>
        <v>105313695.92777157</v>
      </c>
      <c r="I9" s="55">
        <f>H9/$G$9</f>
        <v>0.19527946338424537</v>
      </c>
      <c r="J9" s="121"/>
      <c r="K9" s="53">
        <f>C9</f>
        <v>539297343.93293095</v>
      </c>
      <c r="L9" s="53">
        <f>K9-$K$8</f>
        <v>80437705.384446442</v>
      </c>
      <c r="M9" s="55">
        <f>L9/$K$8</f>
        <v>0.1752991516946138</v>
      </c>
    </row>
    <row r="10" spans="1:13" x14ac:dyDescent="0.3">
      <c r="A10" s="5" t="str">
        <f>'Summary Total'!A7</f>
        <v>Peraton</v>
      </c>
      <c r="B10" s="53">
        <v>463213428.00148386</v>
      </c>
      <c r="C10" s="53">
        <f>'Price Score'!B7</f>
        <v>433983648.00515938</v>
      </c>
      <c r="D10" s="53">
        <f>B10-C10</f>
        <v>29229779.99632448</v>
      </c>
      <c r="E10" s="55">
        <f>(B10-C10)/B10</f>
        <v>6.3102186226412338E-2</v>
      </c>
      <c r="G10" s="53">
        <f>C10</f>
        <v>433983648.00515938</v>
      </c>
      <c r="H10" s="53">
        <f>G10-$G$10</f>
        <v>0</v>
      </c>
      <c r="I10" s="55">
        <f>H10/$G$9</f>
        <v>0</v>
      </c>
      <c r="J10" s="121"/>
      <c r="K10" s="53">
        <f>C10</f>
        <v>433983648.00515938</v>
      </c>
      <c r="L10" s="53">
        <f>K10-$K$8</f>
        <v>-24875990.543325126</v>
      </c>
      <c r="M10" s="55">
        <f>L10/$K$8</f>
        <v>-5.4212635964269174E-2</v>
      </c>
    </row>
    <row r="11" spans="1:13" ht="6.95" customHeight="1" x14ac:dyDescent="0.3">
      <c r="A11" s="227"/>
      <c r="B11" s="205"/>
      <c r="C11" s="205"/>
      <c r="D11" s="205"/>
      <c r="E11" s="205"/>
    </row>
    <row r="12" spans="1:13" hidden="1" x14ac:dyDescent="0.3">
      <c r="A12" s="6"/>
      <c r="B12" s="218" t="s">
        <v>92</v>
      </c>
      <c r="C12" s="219"/>
      <c r="D12" s="220"/>
      <c r="E12" s="54">
        <f>AVERAGE(E10:E10)</f>
        <v>6.3102186226412338E-2</v>
      </c>
    </row>
    <row r="13" spans="1:13" x14ac:dyDescent="0.3">
      <c r="D13" s="15"/>
    </row>
    <row r="14" spans="1:13" x14ac:dyDescent="0.3">
      <c r="D14" s="15"/>
    </row>
    <row r="15" spans="1:13" x14ac:dyDescent="0.3">
      <c r="A15" s="1" t="s">
        <v>93</v>
      </c>
      <c r="D15" s="15"/>
      <c r="I15" s="56"/>
    </row>
    <row r="16" spans="1:13" x14ac:dyDescent="0.3">
      <c r="D16" s="45"/>
    </row>
    <row r="17" spans="4:4" x14ac:dyDescent="0.3">
      <c r="D17" s="15"/>
    </row>
  </sheetData>
  <mergeCells count="18">
    <mergeCell ref="G1:I1"/>
    <mergeCell ref="K1:M1"/>
    <mergeCell ref="G2:G5"/>
    <mergeCell ref="K2:K5"/>
    <mergeCell ref="L2:L5"/>
    <mergeCell ref="M2:M5"/>
    <mergeCell ref="H2:H5"/>
    <mergeCell ref="I2:I5"/>
    <mergeCell ref="J1:J5"/>
    <mergeCell ref="F1:F5"/>
    <mergeCell ref="A2:A5"/>
    <mergeCell ref="A1:E1"/>
    <mergeCell ref="B12:D12"/>
    <mergeCell ref="C2:C5"/>
    <mergeCell ref="B2:B5"/>
    <mergeCell ref="D2:D5"/>
    <mergeCell ref="E2:E5"/>
    <mergeCell ref="A11:E1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_dlc_DocId xmlns="500343c0-af67-4d55-b6f3-a7838e163d14">PROCURE-1039933742-2573</_dlc_DocId>
    <_dlc_DocIdUrl xmlns="500343c0-af67-4d55-b6f3-a7838e163d14">
      <Url>https://osicagov.sharepoint.com/sites/Procurement/CalSAWS/_layouts/15/DocIdRedir.aspx?ID=PROCURE-1039933742-2573</Url>
      <Description>PROCURE-1039933742-2573</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DAA9B18646CA547AA0211C62BE25688" ma:contentTypeVersion="10" ma:contentTypeDescription="Create a new document." ma:contentTypeScope="" ma:versionID="a26dd4920e6a7af0a23a108fdd398b34">
  <xsd:schema xmlns:xsd="http://www.w3.org/2001/XMLSchema" xmlns:xs="http://www.w3.org/2001/XMLSchema" xmlns:p="http://schemas.microsoft.com/office/2006/metadata/properties" xmlns:ns2="500343c0-af67-4d55-b6f3-a7838e163d14" xmlns:ns3="4ec7b936-c78e-4e69-b316-5df51d9cc692" targetNamespace="http://schemas.microsoft.com/office/2006/metadata/properties" ma:root="true" ma:fieldsID="1bf0ff0181ed50f16477b8326e512fb2" ns2:_="" ns3:_="">
    <xsd:import namespace="500343c0-af67-4d55-b6f3-a7838e163d14"/>
    <xsd:import namespace="4ec7b936-c78e-4e69-b316-5df51d9cc692"/>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0343c0-af67-4d55-b6f3-a7838e163d1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4ec7b936-c78e-4e69-b316-5df51d9cc692"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5bce90d6-5a2c-47e0-8337-aac7acda0e97" ContentTypeId="0x0101" PreviousValue="false"/>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461B983-F387-4033-9D02-45492384EFEA}">
  <ds:schemaRefs>
    <ds:schemaRef ds:uri="http://schemas.microsoft.com/sharepoint/events"/>
  </ds:schemaRefs>
</ds:datastoreItem>
</file>

<file path=customXml/itemProps2.xml><?xml version="1.0" encoding="utf-8"?>
<ds:datastoreItem xmlns:ds="http://schemas.openxmlformats.org/officeDocument/2006/customXml" ds:itemID="{CCD3F22F-56F3-4094-B35C-266BB4A31C9E}">
  <ds:schemaRefs>
    <ds:schemaRef ds:uri="http://schemas.microsoft.com/office/2006/metadata/properties"/>
    <ds:schemaRef ds:uri="http://schemas.microsoft.com/office/infopath/2007/PartnerControls"/>
    <ds:schemaRef ds:uri="500343c0-af67-4d55-b6f3-a7838e163d14"/>
  </ds:schemaRefs>
</ds:datastoreItem>
</file>

<file path=customXml/itemProps3.xml><?xml version="1.0" encoding="utf-8"?>
<ds:datastoreItem xmlns:ds="http://schemas.openxmlformats.org/officeDocument/2006/customXml" ds:itemID="{5CB3E8C3-15B2-4485-B03E-2C24D66467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0343c0-af67-4d55-b6f3-a7838e163d14"/>
    <ds:schemaRef ds:uri="4ec7b936-c78e-4e69-b316-5df51d9cc69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5F8C816-29DB-4230-B27A-9C8AD0856B43}">
  <ds:schemaRefs>
    <ds:schemaRef ds:uri="Microsoft.SharePoint.Taxonomy.ContentTypeSync"/>
  </ds:schemaRefs>
</ds:datastoreItem>
</file>

<file path=customXml/itemProps5.xml><?xml version="1.0" encoding="utf-8"?>
<ds:datastoreItem xmlns:ds="http://schemas.openxmlformats.org/officeDocument/2006/customXml" ds:itemID="{4582B1E7-CE09-4D16-8B7C-8827E5C520F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14</vt:i4>
      </vt:variant>
    </vt:vector>
  </HeadingPairs>
  <TitlesOfParts>
    <vt:vector size="33" baseType="lpstr">
      <vt:lpstr> Master</vt:lpstr>
      <vt:lpstr>Directions</vt:lpstr>
      <vt:lpstr>Summary Total</vt:lpstr>
      <vt:lpstr>Overall Proposal Scores</vt:lpstr>
      <vt:lpstr>Price Score</vt:lpstr>
      <vt:lpstr>Price Details</vt:lpstr>
      <vt:lpstr>Price Summary</vt:lpstr>
      <vt:lpstr>Price Metrics</vt:lpstr>
      <vt:lpstr>BAFO Variances</vt:lpstr>
      <vt:lpstr>Business Score</vt:lpstr>
      <vt:lpstr>Staff Quals-Exp</vt:lpstr>
      <vt:lpstr>Business Score Before v After </vt:lpstr>
      <vt:lpstr>Staff Quals &amp; Exp Vertical</vt:lpstr>
      <vt:lpstr>Oral Presentations</vt:lpstr>
      <vt:lpstr>Key Staff Interviews</vt:lpstr>
      <vt:lpstr>KSI and Orals Vertical</vt:lpstr>
      <vt:lpstr>Understanding &amp; Approach</vt:lpstr>
      <vt:lpstr>U&amp;A Requirement Detail</vt:lpstr>
      <vt:lpstr>Requirements Summary</vt:lpstr>
      <vt:lpstr>' Master'!Print_Area</vt:lpstr>
      <vt:lpstr>'Business Score'!Print_Area</vt:lpstr>
      <vt:lpstr>'Business Score Before v After '!Print_Area</vt:lpstr>
      <vt:lpstr>'KSI and Orals Vertical'!Print_Area</vt:lpstr>
      <vt:lpstr>'Oral Presentations'!Print_Area</vt:lpstr>
      <vt:lpstr>'Overall Proposal Scores'!Print_Area</vt:lpstr>
      <vt:lpstr>'Price Details'!Print_Area</vt:lpstr>
      <vt:lpstr>'Price Metrics'!Print_Area</vt:lpstr>
      <vt:lpstr>'Price Score'!Print_Area</vt:lpstr>
      <vt:lpstr>'Price Summary'!Print_Area</vt:lpstr>
      <vt:lpstr>'Staff Quals &amp; Exp Vertical'!Print_Area</vt:lpstr>
      <vt:lpstr>'Summary Total'!Print_Area</vt:lpstr>
      <vt:lpstr>'U&amp;A Requirement Detail'!Print_Area</vt:lpstr>
      <vt:lpstr>'Understanding &amp; Approach'!Print_Area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2024-02-13T19:28:22Z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0x010100BDAA9B18646CA547AA0211C62BE25688</vt:lpwstr>
  </property>
  <property fmtid="{D5CDD505-2E9C-101B-9397-08002B2CF9AE}" pid="3" name="_dlc_DocIdItemGuid">
    <vt:lpwstr>3dfe37f2-c3f8-491a-b74e-efc88bb758b0</vt:lpwstr>
  </property>
  <property fmtid="{D5CDD505-2E9C-101B-9397-08002B2CF9AE}" pid="4" name="AuthorIds_UIVersion_2048">
    <vt:lpwstr>550</vt:lpwstr>
  </property>
  <property fmtid="{D5CDD505-2E9C-101B-9397-08002B2CF9AE}" pid="5" name="AuthorIds_UIVersion_2560">
    <vt:lpwstr>550</vt:lpwstr>
  </property>
</Properties>
</file>