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/>
  <xr:revisionPtr revIDLastSave="0" documentId="8_{0EABC5B8-E457-449E-91A1-5B754077148A}" xr6:coauthVersionLast="47" xr6:coauthVersionMax="47" xr10:uidLastSave="{00000000-0000-0000-0000-000000000000}"/>
  <bookViews>
    <workbookView xWindow="-120" yWindow="-120" windowWidth="29040" windowHeight="15720" tabRatio="840" xr2:uid="{00000000-000D-0000-FFFF-FFFF00000000}"/>
  </bookViews>
  <sheets>
    <sheet name=" Master" sheetId="8" r:id="rId1"/>
    <sheet name="Directions" sheetId="21" state="hidden" r:id="rId2"/>
    <sheet name="Summary Total" sheetId="1" r:id="rId3"/>
    <sheet name="Overall Proposal Scores" sheetId="11" r:id="rId4"/>
    <sheet name="Price Score" sheetId="2" r:id="rId5"/>
    <sheet name="Price Details" sheetId="25" r:id="rId6"/>
    <sheet name="Price Metrics" sheetId="20" r:id="rId7"/>
    <sheet name="BAFO Variances" sheetId="13" state="hidden" r:id="rId8"/>
    <sheet name="Business Score" sheetId="3" r:id="rId9"/>
    <sheet name="Business Score Before v After" sheetId="26" r:id="rId10"/>
    <sheet name="Staff Quals-Exp" sheetId="4" state="hidden" r:id="rId11"/>
    <sheet name="Staff Quals &amp; Exp Vertical" sheetId="24" r:id="rId12"/>
    <sheet name="Oral Presentations" sheetId="5" r:id="rId13"/>
    <sheet name="Key Staff Interviews" sheetId="7" state="hidden" r:id="rId14"/>
    <sheet name="KSI and Orals Vertical" sheetId="23" r:id="rId15"/>
    <sheet name="Understanding &amp; Approach" sheetId="18" r:id="rId16"/>
    <sheet name="U&amp;A Requirement Detail" sheetId="22" r:id="rId17"/>
  </sheets>
  <definedNames>
    <definedName name="BusinessSub">#REF!</definedName>
    <definedName name="DR">#REF!</definedName>
    <definedName name="keystaff">#REF!</definedName>
    <definedName name="_xlnm.Print_Area" localSheetId="0">' Master'!$A$1:$D$13</definedName>
    <definedName name="_xlnm.Print_Area" localSheetId="8">'Business Score'!$A$1:$J$6</definedName>
    <definedName name="_xlnm.Print_Area" localSheetId="9">'Business Score Before v After'!$A$1:$M$7</definedName>
    <definedName name="_xlnm.Print_Area" localSheetId="14">'KSI and Orals Vertical'!$A$1:$D$21</definedName>
    <definedName name="_xlnm.Print_Area" localSheetId="12">'Oral Presentations'!$A$1:$F$5</definedName>
    <definedName name="_xlnm.Print_Area" localSheetId="3">'Overall Proposal Scores'!$A$1:$I$15</definedName>
    <definedName name="_xlnm.Print_Area" localSheetId="5">'Price Details'!$A$1:$D$29</definedName>
    <definedName name="_xlnm.Print_Area" localSheetId="6">'Price Metrics'!$A$2:$G$6</definedName>
    <definedName name="_xlnm.Print_Area" localSheetId="4">'Price Score'!$A$1:$L$5</definedName>
    <definedName name="_xlnm.Print_Area" localSheetId="11">'Staff Quals &amp; Exp Vertical'!$A$1:$D$22</definedName>
    <definedName name="_xlnm.Print_Area" localSheetId="2">'Summary Total'!$A$1:$E$5</definedName>
    <definedName name="_xlnm.Print_Area" localSheetId="16">'U&amp;A Requirement Detail'!$A$1:$Z$6</definedName>
    <definedName name="_xlnm.Print_Area" localSheetId="15">'Understanding &amp; Approach'!$A$1:$M$6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6" l="1"/>
  <c r="D4" i="26" l="1"/>
  <c r="B3" i="26"/>
  <c r="E2" i="26"/>
  <c r="D2" i="26"/>
  <c r="C2" i="26"/>
  <c r="B2" i="26"/>
  <c r="A4" i="2" l="1"/>
  <c r="A3" i="2"/>
  <c r="H1" i="11"/>
  <c r="G1" i="11"/>
  <c r="A4" i="1"/>
  <c r="A3" i="1"/>
  <c r="A1" i="7" l="1"/>
  <c r="D1" i="7"/>
  <c r="R3" i="7"/>
  <c r="R4" i="7"/>
  <c r="R3" i="4"/>
  <c r="R4" i="4"/>
  <c r="Y4" i="22"/>
  <c r="U4" i="22"/>
  <c r="Q4" i="22"/>
  <c r="K4" i="22"/>
  <c r="E4" i="22"/>
  <c r="Y5" i="22"/>
  <c r="U5" i="22"/>
  <c r="Q5" i="22"/>
  <c r="K5" i="22"/>
  <c r="E5" i="22"/>
  <c r="Z5" i="22" s="1"/>
  <c r="Z4" i="22" l="1"/>
  <c r="E14" i="11" l="1"/>
  <c r="D11" i="11"/>
  <c r="I1" i="2" l="1"/>
  <c r="F5" i="2"/>
  <c r="F4" i="2"/>
  <c r="F3" i="2"/>
  <c r="B5" i="2"/>
  <c r="B4" i="2"/>
  <c r="B3" i="2"/>
  <c r="F9" i="2" l="1"/>
  <c r="C6" i="13"/>
  <c r="F8" i="2"/>
  <c r="D11" i="25"/>
  <c r="G3" i="2" l="1"/>
  <c r="G5" i="2"/>
  <c r="G4" i="2"/>
  <c r="C11" i="25"/>
  <c r="B11" i="25"/>
  <c r="L5" i="2"/>
  <c r="K5" i="2"/>
  <c r="L4" i="2"/>
  <c r="L3" i="2"/>
  <c r="C25" i="25" l="1"/>
  <c r="H13" i="11"/>
  <c r="D25" i="25"/>
  <c r="I13" i="11"/>
  <c r="B25" i="25"/>
  <c r="G13" i="11"/>
  <c r="K3" i="2"/>
  <c r="K4" i="2"/>
  <c r="D18" i="24"/>
  <c r="C18" i="24"/>
  <c r="B18" i="24"/>
  <c r="E18" i="24" s="1"/>
  <c r="D14" i="24"/>
  <c r="C14" i="24"/>
  <c r="B14" i="24"/>
  <c r="D13" i="24"/>
  <c r="C13" i="24"/>
  <c r="B13" i="24"/>
  <c r="D12" i="24"/>
  <c r="C12" i="24"/>
  <c r="B12" i="24"/>
  <c r="E12" i="24" s="1"/>
  <c r="D11" i="24"/>
  <c r="C11" i="24"/>
  <c r="B11" i="24"/>
  <c r="D10" i="24"/>
  <c r="C10" i="24"/>
  <c r="B10" i="24"/>
  <c r="D9" i="24"/>
  <c r="C9" i="24"/>
  <c r="B9" i="24"/>
  <c r="D8" i="24"/>
  <c r="C8" i="24"/>
  <c r="B8" i="24"/>
  <c r="D7" i="24"/>
  <c r="C7" i="24"/>
  <c r="B7" i="24"/>
  <c r="D6" i="24"/>
  <c r="C6" i="24"/>
  <c r="B6" i="24"/>
  <c r="D5" i="24"/>
  <c r="C5" i="24"/>
  <c r="B5" i="24"/>
  <c r="D4" i="24"/>
  <c r="C4" i="24"/>
  <c r="B4" i="24"/>
  <c r="D3" i="24"/>
  <c r="C3" i="24"/>
  <c r="B3" i="24"/>
  <c r="D1" i="24"/>
  <c r="A1" i="24"/>
  <c r="C20" i="23"/>
  <c r="B20" i="23"/>
  <c r="E14" i="24" l="1"/>
  <c r="E4" i="24"/>
  <c r="E10" i="24"/>
  <c r="E8" i="24"/>
  <c r="E9" i="24"/>
  <c r="E3" i="24"/>
  <c r="B16" i="24"/>
  <c r="B20" i="24" s="1"/>
  <c r="B22" i="24" s="1"/>
  <c r="E11" i="24"/>
  <c r="D16" i="24"/>
  <c r="D20" i="24" s="1"/>
  <c r="D22" i="24" s="1"/>
  <c r="E13" i="24"/>
  <c r="E5" i="24"/>
  <c r="E6" i="24"/>
  <c r="C16" i="24"/>
  <c r="C20" i="24" s="1"/>
  <c r="C22" i="24" s="1"/>
  <c r="E7" i="24"/>
  <c r="E16" i="24" l="1"/>
  <c r="E20" i="24" s="1"/>
  <c r="E22" i="24" s="1"/>
  <c r="D16" i="23"/>
  <c r="C16" i="23"/>
  <c r="B16" i="23"/>
  <c r="D1" i="23"/>
  <c r="A1" i="23"/>
  <c r="D18" i="23" l="1"/>
  <c r="C18" i="23"/>
  <c r="B18" i="23"/>
  <c r="R5" i="7" l="1"/>
  <c r="Q6" i="22" l="1"/>
  <c r="G6" i="18" s="1"/>
  <c r="G5" i="18"/>
  <c r="G4" i="18"/>
  <c r="K6" i="22"/>
  <c r="E6" i="18" s="1"/>
  <c r="E4" i="18"/>
  <c r="E5" i="18" l="1"/>
  <c r="Y6" i="22"/>
  <c r="K6" i="18" s="1"/>
  <c r="U6" i="22"/>
  <c r="I6" i="18" s="1"/>
  <c r="E6" i="22"/>
  <c r="K5" i="18"/>
  <c r="I5" i="18"/>
  <c r="C5" i="18"/>
  <c r="K4" i="18"/>
  <c r="I4" i="18"/>
  <c r="H2" i="7"/>
  <c r="I2" i="7"/>
  <c r="J2" i="7"/>
  <c r="K2" i="7"/>
  <c r="L2" i="7"/>
  <c r="M2" i="7"/>
  <c r="N2" i="7"/>
  <c r="O2" i="7"/>
  <c r="P2" i="7"/>
  <c r="Q2" i="7"/>
  <c r="I1" i="11"/>
  <c r="C6" i="18" l="1"/>
  <c r="Z6" i="22"/>
  <c r="C4" i="18"/>
  <c r="A5" i="2"/>
  <c r="A5" i="1"/>
  <c r="G2" i="7"/>
  <c r="F2" i="7"/>
  <c r="C5" i="5"/>
  <c r="D20" i="23" s="1"/>
  <c r="A7" i="26" l="1"/>
  <c r="D2" i="25"/>
  <c r="D2" i="24"/>
  <c r="D2" i="23"/>
  <c r="A5" i="5"/>
  <c r="A5" i="7"/>
  <c r="A6" i="22"/>
  <c r="A6" i="13"/>
  <c r="C3" i="7"/>
  <c r="C4" i="7"/>
  <c r="C5" i="7"/>
  <c r="R5" i="4"/>
  <c r="C5" i="4" s="1"/>
  <c r="C3" i="4"/>
  <c r="C4" i="4"/>
  <c r="F4" i="18" l="1"/>
  <c r="H4" i="18"/>
  <c r="J4" i="18"/>
  <c r="L4" i="18"/>
  <c r="F5" i="18"/>
  <c r="H5" i="18"/>
  <c r="J5" i="18"/>
  <c r="L5" i="18"/>
  <c r="F6" i="18"/>
  <c r="H6" i="18"/>
  <c r="J6" i="18"/>
  <c r="L6" i="18"/>
  <c r="E3" i="3"/>
  <c r="D3" i="3"/>
  <c r="C3" i="3"/>
  <c r="B3" i="3"/>
  <c r="B4" i="11"/>
  <c r="C4" i="11"/>
  <c r="B5" i="11"/>
  <c r="C5" i="11"/>
  <c r="B6" i="11"/>
  <c r="C6" i="11"/>
  <c r="C3" i="11"/>
  <c r="B3" i="11"/>
  <c r="A6" i="18"/>
  <c r="A5" i="4"/>
  <c r="A6" i="3"/>
  <c r="A6" i="20"/>
  <c r="D6" i="18" l="1"/>
  <c r="M6" i="18" s="1"/>
  <c r="F7" i="26" s="1"/>
  <c r="D4" i="18"/>
  <c r="M4" i="18" s="1"/>
  <c r="F5" i="26" s="1"/>
  <c r="D5" i="18"/>
  <c r="M5" i="18" s="1"/>
  <c r="F6" i="26" s="1"/>
  <c r="B6" i="18" l="1"/>
  <c r="B5" i="18"/>
  <c r="B4" i="18"/>
  <c r="E6" i="3"/>
  <c r="E5" i="3"/>
  <c r="E4" i="3"/>
  <c r="B5" i="20" l="1"/>
  <c r="B6" i="20"/>
  <c r="C5" i="20" l="1"/>
  <c r="G5" i="20" s="1"/>
  <c r="C6" i="20"/>
  <c r="G6" i="20" s="1"/>
  <c r="K6" i="13"/>
  <c r="G6" i="13"/>
  <c r="H6" i="13" s="1"/>
  <c r="I6" i="13" s="1"/>
  <c r="E6" i="13"/>
  <c r="D6" i="13"/>
  <c r="B4" i="20" l="1"/>
  <c r="B9" i="2"/>
  <c r="B8" i="2"/>
  <c r="D3" i="2" s="1"/>
  <c r="B21" i="25" s="1"/>
  <c r="C4" i="20" l="1"/>
  <c r="G4" i="20" s="1"/>
  <c r="G12" i="11"/>
  <c r="G14" i="11" s="1"/>
  <c r="D5" i="2"/>
  <c r="I12" i="11" s="1"/>
  <c r="I14" i="11" s="1"/>
  <c r="D4" i="2"/>
  <c r="C21" i="25" s="1"/>
  <c r="H12" i="11" l="1"/>
  <c r="H14" i="11" s="1"/>
  <c r="I3" i="2"/>
  <c r="C3" i="1" s="1"/>
  <c r="I4" i="2"/>
  <c r="C4" i="1" s="1"/>
  <c r="D21" i="25"/>
  <c r="I5" i="2"/>
  <c r="C5" i="1" s="1"/>
  <c r="B27" i="25" l="1"/>
  <c r="D27" i="25"/>
  <c r="C27" i="25"/>
  <c r="A1" i="18" l="1"/>
  <c r="I6" i="11" l="1"/>
  <c r="C4" i="13"/>
  <c r="C5" i="13" l="1"/>
  <c r="D2" i="11" l="1"/>
  <c r="K5" i="13" l="1"/>
  <c r="K4" i="13"/>
  <c r="G5" i="13"/>
  <c r="H5" i="13" s="1"/>
  <c r="I5" i="13" s="1"/>
  <c r="G4" i="13"/>
  <c r="H4" i="13" s="1"/>
  <c r="I4" i="13" s="1"/>
  <c r="L4" i="13" l="1"/>
  <c r="M4" i="13" s="1"/>
  <c r="L6" i="13"/>
  <c r="M6" i="13" s="1"/>
  <c r="L5" i="13"/>
  <c r="M5" i="13" s="1"/>
  <c r="D5" i="13"/>
  <c r="E5" i="13"/>
  <c r="E4" i="13"/>
  <c r="D4" i="13"/>
  <c r="E8" i="13" l="1"/>
  <c r="E7" i="11"/>
  <c r="E9" i="11" s="1"/>
  <c r="D15" i="11"/>
  <c r="E15" i="11" l="1"/>
  <c r="A1" i="4" l="1"/>
  <c r="D1" i="4" l="1"/>
  <c r="D1" i="5"/>
  <c r="E2" i="3"/>
  <c r="D2" i="3"/>
  <c r="C2" i="3"/>
  <c r="B2" i="3"/>
  <c r="A1" i="5"/>
  <c r="D9" i="8"/>
  <c r="D13" i="8" s="1"/>
  <c r="D5" i="7" l="1"/>
  <c r="D5" i="5"/>
  <c r="C7" i="26" s="1"/>
  <c r="D3" i="4"/>
  <c r="B5" i="26" s="1"/>
  <c r="D4" i="4"/>
  <c r="B6" i="26" s="1"/>
  <c r="D5" i="4"/>
  <c r="A4" i="20"/>
  <c r="A5" i="20"/>
  <c r="D3" i="5"/>
  <c r="G6" i="11"/>
  <c r="D4" i="5"/>
  <c r="D4" i="7"/>
  <c r="D6" i="26" s="1"/>
  <c r="D3" i="7"/>
  <c r="D5" i="26" s="1"/>
  <c r="C21" i="23" l="1"/>
  <c r="C6" i="26"/>
  <c r="B21" i="23"/>
  <c r="C5" i="26"/>
  <c r="G5" i="26" s="1"/>
  <c r="B6" i="3"/>
  <c r="B7" i="26"/>
  <c r="G6" i="26"/>
  <c r="H6" i="26"/>
  <c r="D6" i="3"/>
  <c r="D7" i="26"/>
  <c r="C6" i="3"/>
  <c r="I4" i="11" s="1"/>
  <c r="D21" i="23"/>
  <c r="B5" i="7"/>
  <c r="B4" i="7"/>
  <c r="B3" i="7"/>
  <c r="B4" i="5"/>
  <c r="B3" i="5"/>
  <c r="B5" i="5"/>
  <c r="B4" i="4"/>
  <c r="B5" i="4"/>
  <c r="B3" i="4"/>
  <c r="I5" i="11"/>
  <c r="D4" i="3"/>
  <c r="D5" i="3"/>
  <c r="C4" i="3"/>
  <c r="G4" i="11" s="1"/>
  <c r="C5" i="3"/>
  <c r="H4" i="11" s="1"/>
  <c r="B5" i="3"/>
  <c r="H3" i="11" s="1"/>
  <c r="B4" i="3"/>
  <c r="G3" i="11" s="1"/>
  <c r="I3" i="11"/>
  <c r="H6" i="11"/>
  <c r="H5" i="26" l="1"/>
  <c r="G7" i="26"/>
  <c r="H7" i="26"/>
  <c r="H5" i="11"/>
  <c r="H7" i="11" s="1"/>
  <c r="G5" i="11"/>
  <c r="G7" i="11" s="1"/>
  <c r="F4" i="3"/>
  <c r="F6" i="3"/>
  <c r="I7" i="11"/>
  <c r="F5" i="3"/>
  <c r="H11" i="26" l="1"/>
  <c r="H12" i="26"/>
  <c r="F8" i="3"/>
  <c r="F9" i="3"/>
  <c r="K6" i="26" l="1"/>
  <c r="K5" i="26"/>
  <c r="K7" i="26"/>
  <c r="H6" i="3"/>
  <c r="H4" i="3"/>
  <c r="H5" i="3"/>
  <c r="M7" i="26" l="1"/>
  <c r="M6" i="26"/>
  <c r="M5" i="26"/>
  <c r="J6" i="3"/>
  <c r="B5" i="1"/>
  <c r="D5" i="1" s="1"/>
  <c r="J5" i="3"/>
  <c r="I9" i="11"/>
  <c r="I15" i="11" s="1"/>
  <c r="J4" i="3"/>
  <c r="G9" i="11"/>
  <c r="G15" i="11" s="1"/>
  <c r="B4" i="1"/>
  <c r="B3" i="1"/>
  <c r="H9" i="11"/>
  <c r="H15" i="11" s="1"/>
  <c r="D4" i="1" l="1"/>
  <c r="D3" i="1"/>
  <c r="E4" i="1" l="1"/>
  <c r="E3" i="1"/>
  <c r="E5" i="1"/>
</calcChain>
</file>

<file path=xl/sharedStrings.xml><?xml version="1.0" encoding="utf-8"?>
<sst xmlns="http://schemas.openxmlformats.org/spreadsheetml/2006/main" count="258" uniqueCount="171">
  <si>
    <t>Vendors</t>
  </si>
  <si>
    <t>Proposal Evaluation Weight Distribution</t>
  </si>
  <si>
    <t>Deloitte</t>
  </si>
  <si>
    <t>Staff Qualifications and Experience</t>
  </si>
  <si>
    <t>Accenture</t>
  </si>
  <si>
    <t>Oral Presentations</t>
  </si>
  <si>
    <t>Gainwell</t>
  </si>
  <si>
    <t>Key Staff Interviews</t>
  </si>
  <si>
    <t xml:space="preserve"> </t>
  </si>
  <si>
    <t>Understanding and Approach</t>
  </si>
  <si>
    <t>Business Proposal Weight</t>
  </si>
  <si>
    <t>Price Proposal Weight</t>
  </si>
  <si>
    <t>Total</t>
  </si>
  <si>
    <t>Worksheet 05B - CalSAWS M&amp;E Proposal Scoring Summary Workbook Master</t>
  </si>
  <si>
    <t>Owner:</t>
  </si>
  <si>
    <t>CalSAWS Procurement Team</t>
  </si>
  <si>
    <t>Source File(s):</t>
  </si>
  <si>
    <t>02B-CalSAWS M&amp;E Price Proposal Workbook - Vendor Template
04B-CalSAWS M&amp;E Business Proposal Scoring Workbook - Vendor Template</t>
  </si>
  <si>
    <t>Target Files(s):</t>
  </si>
  <si>
    <t>Results from this Worksheet will be transferred into the 06-CalSAWS Consolidated Proposal   Scoring Workbook by the CalSAWS Procurement Team.</t>
  </si>
  <si>
    <t>Directions:</t>
  </si>
  <si>
    <t xml:space="preserve">The Procurement Team will complete a single 05B - CalSAWS M&amp;E Proposal Scoring Summary Workbook Master Worksheet for all M&amp;E Business Proposals submitted.
The Price Metrics tab will be populated based upon the results of the 02B source file.
The Staff Quals-Exp, Oral Presentations, Key Staff Interviews, and Understanding &amp; Approach tabs will be populated based upon the results of the 04B source file.
The M&amp;E Procurement Team will populate the BAFO  Variances file upon completion of the BAFO results.   </t>
  </si>
  <si>
    <t>Additional Notes:</t>
  </si>
  <si>
    <t>No Updates or adjustments should be made to the Master, Summary Total, Overall Proposal Scores, Price Score, Business Score, U&amp;A Summary, or Requirements Summary tabs.   These tabs will populate directly from the source tabs respectively through embedded formulas.</t>
  </si>
  <si>
    <t>Business Score: 70%</t>
  </si>
  <si>
    <t>Price Score: 
30%</t>
  </si>
  <si>
    <t>Total Score</t>
  </si>
  <si>
    <t>Rank</t>
  </si>
  <si>
    <t>Category/Subcategory</t>
  </si>
  <si>
    <t>Subcategory Weight</t>
  </si>
  <si>
    <t>Overall Weight</t>
  </si>
  <si>
    <t>Total Possible Points</t>
  </si>
  <si>
    <t>Business Proposal</t>
  </si>
  <si>
    <t>Business Proposal Raw Scores</t>
  </si>
  <si>
    <t>Business Proposal Normalized Scores</t>
  </si>
  <si>
    <t>Price Proposal</t>
  </si>
  <si>
    <t>6-Year Base Contract Period (Excluding Deliverables Paid During Transition-In)</t>
  </si>
  <si>
    <t>SCR Price</t>
  </si>
  <si>
    <t>Price Proposal Scores</t>
  </si>
  <si>
    <t>Business Proposal + Price Proposal Total</t>
  </si>
  <si>
    <t>Price Score</t>
  </si>
  <si>
    <t>Weight</t>
  </si>
  <si>
    <t>Vendor</t>
  </si>
  <si>
    <t>6-Year Base Contract Period - Transition-In Deliverables</t>
  </si>
  <si>
    <t>M&amp;E Price Points</t>
  </si>
  <si>
    <t>M&amp;E SCR Price</t>
  </si>
  <si>
    <t>M&amp;E SCR Price Points</t>
  </si>
  <si>
    <t>Total Weighted M&amp;E Price Points</t>
  </si>
  <si>
    <t>Average Annual Price</t>
  </si>
  <si>
    <t>Average Monthly Price</t>
  </si>
  <si>
    <t>Lowest Price</t>
  </si>
  <si>
    <t>Highest Price</t>
  </si>
  <si>
    <t>M&amp;E Price Score</t>
  </si>
  <si>
    <t>M&amp;E Price Schedule Line Items</t>
  </si>
  <si>
    <t>M&amp;E  Transition-In Deliverables</t>
  </si>
  <si>
    <t>M&amp;E Base Deliverables</t>
  </si>
  <si>
    <t>M&amp;E Database Migration Price</t>
  </si>
  <si>
    <t>M&amp;E Task Management Price</t>
  </si>
  <si>
    <t>M&amp;E Software Price</t>
  </si>
  <si>
    <t>M&amp;E Services: May 2025 - April 2031</t>
  </si>
  <si>
    <t>M&amp;E Other Price</t>
  </si>
  <si>
    <t>M&amp;E 12-Month Transition-In + Initial 6-Year Contract Term Price Subtotal</t>
  </si>
  <si>
    <t>M&amp;E Initial 6-Year Contract Term Price Excluding Deliverables Paid During the Transition-In Period Subtotal: Evaluated Price</t>
  </si>
  <si>
    <t>M&amp;E Initial 6-Year Contract Term Price Subtotal</t>
  </si>
  <si>
    <t>M&amp;E Four 1-Year Optional Extensions Price Subtotal</t>
  </si>
  <si>
    <t>M&amp;E Maximum Price Including Four 1-Year Optional Extensions</t>
  </si>
  <si>
    <t>Weighted Price Score</t>
  </si>
  <si>
    <t>M&amp;E SCR Price Subtotal</t>
  </si>
  <si>
    <t>SCR Weighted Price Score</t>
  </si>
  <si>
    <t>Total Weighted Price Score</t>
  </si>
  <si>
    <t>Average Hourly Rate</t>
  </si>
  <si>
    <t>M&amp;E BAFO 2 Price Comparison to Current IAPDU Budget</t>
  </si>
  <si>
    <t>6-Year Base Period Excluding Transition-In</t>
  </si>
  <si>
    <t>Current IAPDU Annual Budget</t>
  </si>
  <si>
    <t>Variance to IAPDU Budget</t>
  </si>
  <si>
    <t>Variance to Low Price</t>
  </si>
  <si>
    <t>Variance to Selected Vendor Price</t>
  </si>
  <si>
    <t>Original M&amp;E Base Period Evaluated Price</t>
  </si>
  <si>
    <t>BAFO 2 M&amp;E Base Period Evaluated Price</t>
  </si>
  <si>
    <t>BAFO 2 Price Difference</t>
  </si>
  <si>
    <t>BAFO 2            % Price Difference</t>
  </si>
  <si>
    <t>BAFO 2 Total Variance to Low Price</t>
  </si>
  <si>
    <t>BAFO 2 Total Variance to Low Price %</t>
  </si>
  <si>
    <t>BAFO 2 Variance to Selected Vendor</t>
  </si>
  <si>
    <t>BAFO 2 Variance to Selected Vendor %</t>
  </si>
  <si>
    <t>Average BAFO 2 % Reduction</t>
  </si>
  <si>
    <t>BAFO 2 Price Proposals were submitted on November 29, 2023</t>
  </si>
  <si>
    <t>Business Proposal Score</t>
  </si>
  <si>
    <t>Maximum Business Points</t>
  </si>
  <si>
    <t>Weights</t>
  </si>
  <si>
    <t>Total Normalized Business Score</t>
  </si>
  <si>
    <t>Total Raw Business Score</t>
  </si>
  <si>
    <t>Maximum Raw Score</t>
  </si>
  <si>
    <t>Minimum Raw Score</t>
  </si>
  <si>
    <t>Initial Score</t>
  </si>
  <si>
    <t>BAFO 1 Score</t>
  </si>
  <si>
    <t>Staff Quals/ Experience Rank</t>
  </si>
  <si>
    <t>Staff Quals/ Experience Points</t>
  </si>
  <si>
    <t>Staff Quals/ Experience Weighted Business Score</t>
  </si>
  <si>
    <t>M&amp;E Project Manager</t>
  </si>
  <si>
    <t>M&amp;E PMO Lead</t>
  </si>
  <si>
    <t>M&amp;E Delivery Integration Manager</t>
  </si>
  <si>
    <t>M&amp;E Transition Manager</t>
  </si>
  <si>
    <t>M&amp;E Innovation Lead</t>
  </si>
  <si>
    <t>M&amp;E Enterprise Architect</t>
  </si>
  <si>
    <t>M&amp;E Technical Manager</t>
  </si>
  <si>
    <t>M&amp;E Application Manager</t>
  </si>
  <si>
    <t>M&amp;E Security Manager</t>
  </si>
  <si>
    <t>M&amp;E Testing Manager</t>
  </si>
  <si>
    <t>M&amp;E Release Manager</t>
  </si>
  <si>
    <t>M&amp;E Project Scheduler</t>
  </si>
  <si>
    <t>Average Key Staff Qualifications Score</t>
  </si>
  <si>
    <t>Average Key Staff Reference Score</t>
  </si>
  <si>
    <t>`</t>
  </si>
  <si>
    <t>Key Staff Position</t>
  </si>
  <si>
    <t>Average</t>
  </si>
  <si>
    <t>Staff Qualifications Average Score</t>
  </si>
  <si>
    <t>Key Staff References Average Score</t>
  </si>
  <si>
    <t>Staff Quals Score = Staff Quals Average * Key Staff References Average Score</t>
  </si>
  <si>
    <t>Staff Qualifications Weighted Score</t>
  </si>
  <si>
    <t xml:space="preserve"> Rank</t>
  </si>
  <si>
    <t xml:space="preserve"> Points</t>
  </si>
  <si>
    <t>Oral Presentations Weighted Business Score</t>
  </si>
  <si>
    <t>Oral Presentation Rating</t>
  </si>
  <si>
    <t>Key Staff Interviews Weighted Score</t>
  </si>
  <si>
    <t>Average Key Staff Interviews Rating</t>
  </si>
  <si>
    <t>Key Staff Interviews Rating Justification</t>
  </si>
  <si>
    <t>Oral Presentation Score: Weight 5.0%</t>
  </si>
  <si>
    <t>Oral Presentation Weighted Score</t>
  </si>
  <si>
    <t>Weight  50%</t>
  </si>
  <si>
    <t>U&amp;A-1</t>
  </si>
  <si>
    <t>U&amp;A-2</t>
  </si>
  <si>
    <t>U&amp;A-3</t>
  </si>
  <si>
    <t>U&amp;A-4</t>
  </si>
  <si>
    <t>U&amp;A-5</t>
  </si>
  <si>
    <t>U&amp;A-1
Business Points</t>
  </si>
  <si>
    <t>U&amp;A-2
Business Points</t>
  </si>
  <si>
    <t>U&amp;A-3
Business Points</t>
  </si>
  <si>
    <t>U&amp;A-4
Business Points</t>
  </si>
  <si>
    <t>U&amp;A-5
Business Points</t>
  </si>
  <si>
    <t>Total Business Points</t>
  </si>
  <si>
    <t>U&amp;A Requirements Detail</t>
  </si>
  <si>
    <t>U&amp;A-1: Multi-Contractor Environment</t>
  </si>
  <si>
    <t>U&amp;A-2: Approach to Application Evolution</t>
  </si>
  <si>
    <t>U&amp;A-3: Approach to System Change Requests (SCRs)</t>
  </si>
  <si>
    <t>U&amp;A 4: Approach to Innovation</t>
  </si>
  <si>
    <t>U&amp;A 5: Approach to Transition-In</t>
  </si>
  <si>
    <t>M-UA1</t>
  </si>
  <si>
    <t>M-UA2</t>
  </si>
  <si>
    <t>M-UA3</t>
  </si>
  <si>
    <t>U&amp;A-1 Average</t>
  </si>
  <si>
    <t>M-UA4</t>
  </si>
  <si>
    <t>M-UA5</t>
  </si>
  <si>
    <t>M-UA6</t>
  </si>
  <si>
    <t>M-UA7</t>
  </si>
  <si>
    <t>M-UA8</t>
  </si>
  <si>
    <t>U&amp;A-2 Average</t>
  </si>
  <si>
    <t>M-UA9</t>
  </si>
  <si>
    <t>M-UA10</t>
  </si>
  <si>
    <t>M-UA11</t>
  </si>
  <si>
    <t>M-UA12</t>
  </si>
  <si>
    <t>M-UA13</t>
  </si>
  <si>
    <t>U&amp;A-3 Average</t>
  </si>
  <si>
    <t>M-UA14</t>
  </si>
  <si>
    <t>M-UA15</t>
  </si>
  <si>
    <t>M-UA16</t>
  </si>
  <si>
    <t>U&amp;A-4 Average</t>
  </si>
  <si>
    <t>M-UA17</t>
  </si>
  <si>
    <t>M-UA18</t>
  </si>
  <si>
    <t>M-UA19</t>
  </si>
  <si>
    <t>U&amp;A-5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</si>
</sst>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  <numFmt numFmtId="167" formatCode="_(* #,##0.0_);_(* \(#,##0.0\);_(* &quot;-&quot;?_);_(@_)"/>
    <numFmt numFmtId="168" formatCode="_(* #,##0.00_);_(* \(#,##0.00\);_(* &quot;-&quot;?_);_(@_)"/>
    <numFmt numFmtId="169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1"/>
      <color rgb="FF0070C0"/>
      <name val="Century Gothic"/>
      <family val="2"/>
    </font>
    <font>
      <sz val="8"/>
      <name val="Calibri"/>
      <family val="2"/>
      <scheme val="minor"/>
    </font>
    <font>
      <b/>
      <sz val="11"/>
      <color rgb="FFFFFFFF"/>
      <name val="Century Gothic"/>
      <family val="2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A329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9" fontId="3" fillId="2" borderId="1" xfId="3" applyFont="1" applyFill="1" applyBorder="1"/>
    <xf numFmtId="0" fontId="2" fillId="2" borderId="1" xfId="0" applyFont="1" applyFill="1" applyBorder="1"/>
    <xf numFmtId="0" fontId="3" fillId="0" borderId="1" xfId="0" applyFont="1" applyBorder="1"/>
    <xf numFmtId="0" fontId="2" fillId="0" borderId="1" xfId="0" applyFont="1" applyBorder="1"/>
    <xf numFmtId="9" fontId="3" fillId="0" borderId="1" xfId="3" applyFont="1" applyBorder="1"/>
    <xf numFmtId="0" fontId="3" fillId="0" borderId="0" xfId="0" applyFont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3" fontId="2" fillId="0" borderId="1" xfId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3" fillId="0" borderId="8" xfId="0" applyNumberFormat="1" applyFont="1" applyBorder="1" applyAlignment="1">
      <alignment horizontal="center"/>
    </xf>
    <xf numFmtId="165" fontId="3" fillId="0" borderId="0" xfId="1" applyNumberFormat="1" applyFont="1"/>
    <xf numFmtId="2" fontId="3" fillId="0" borderId="0" xfId="0" applyNumberFormat="1" applyFont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left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167" fontId="4" fillId="3" borderId="1" xfId="1" applyNumberFormat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10" fontId="3" fillId="0" borderId="0" xfId="3" applyNumberFormat="1" applyFont="1" applyFill="1" applyAlignment="1">
      <alignment vertical="center"/>
    </xf>
    <xf numFmtId="0" fontId="8" fillId="0" borderId="0" xfId="0" applyFont="1" applyAlignment="1">
      <alignment wrapText="1"/>
    </xf>
    <xf numFmtId="1" fontId="3" fillId="0" borderId="0" xfId="0" applyNumberFormat="1" applyFont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10" fontId="3" fillId="0" borderId="0" xfId="3" applyNumberFormat="1" applyFont="1"/>
    <xf numFmtId="169" fontId="3" fillId="0" borderId="1" xfId="2" applyNumberFormat="1" applyFont="1" applyFill="1" applyBorder="1"/>
    <xf numFmtId="10" fontId="2" fillId="0" borderId="1" xfId="3" applyNumberFormat="1" applyFont="1" applyBorder="1"/>
    <xf numFmtId="10" fontId="3" fillId="0" borderId="1" xfId="3" applyNumberFormat="1" applyFont="1" applyFill="1" applyBorder="1"/>
    <xf numFmtId="169" fontId="3" fillId="0" borderId="0" xfId="0" applyNumberFormat="1" applyFont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2" xfId="0" applyFont="1" applyFill="1" applyBorder="1"/>
    <xf numFmtId="0" fontId="3" fillId="0" borderId="11" xfId="0" applyFont="1" applyBorder="1"/>
    <xf numFmtId="0" fontId="10" fillId="0" borderId="0" xfId="0" applyFont="1"/>
    <xf numFmtId="0" fontId="9" fillId="0" borderId="0" xfId="0" applyFont="1"/>
    <xf numFmtId="168" fontId="5" fillId="0" borderId="1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6" fontId="6" fillId="4" borderId="1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left" wrapText="1"/>
    </xf>
    <xf numFmtId="2" fontId="3" fillId="0" borderId="0" xfId="0" applyNumberFormat="1" applyFont="1"/>
    <xf numFmtId="43" fontId="3" fillId="0" borderId="0" xfId="0" applyNumberFormat="1" applyFont="1"/>
    <xf numFmtId="0" fontId="3" fillId="0" borderId="0" xfId="0" applyFont="1" applyAlignment="1">
      <alignment vertical="top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2" fillId="4" borderId="0" xfId="0" applyFont="1" applyFill="1"/>
    <xf numFmtId="0" fontId="9" fillId="0" borderId="0" xfId="0" applyFont="1" applyAlignment="1">
      <alignment horizontal="left" wrapText="1"/>
    </xf>
    <xf numFmtId="9" fontId="3" fillId="0" borderId="0" xfId="3" applyFont="1"/>
    <xf numFmtId="169" fontId="3" fillId="0" borderId="2" xfId="0" applyNumberFormat="1" applyFont="1" applyBorder="1"/>
    <xf numFmtId="0" fontId="3" fillId="0" borderId="3" xfId="0" applyFont="1" applyBorder="1"/>
    <xf numFmtId="169" fontId="3" fillId="0" borderId="1" xfId="0" applyNumberFormat="1" applyFont="1" applyBorder="1"/>
    <xf numFmtId="0" fontId="3" fillId="0" borderId="1" xfId="0" applyFont="1" applyBorder="1" applyAlignment="1">
      <alignment vertical="top"/>
    </xf>
    <xf numFmtId="169" fontId="3" fillId="0" borderId="1" xfId="2" applyNumberFormat="1" applyFont="1" applyFill="1" applyBorder="1" applyAlignment="1">
      <alignment vertical="top"/>
    </xf>
    <xf numFmtId="0" fontId="3" fillId="0" borderId="12" xfId="0" applyFont="1" applyBorder="1"/>
    <xf numFmtId="9" fontId="5" fillId="0" borderId="1" xfId="3" applyFont="1" applyFill="1" applyBorder="1" applyAlignment="1">
      <alignment horizontal="left" vertical="top" wrapText="1" indent="1"/>
    </xf>
    <xf numFmtId="9" fontId="5" fillId="0" borderId="1" xfId="3" applyFont="1" applyFill="1" applyBorder="1" applyAlignment="1">
      <alignment horizontal="center" vertical="top" wrapText="1"/>
    </xf>
    <xf numFmtId="9" fontId="6" fillId="4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/>
    </xf>
    <xf numFmtId="9" fontId="6" fillId="4" borderId="1" xfId="0" applyNumberFormat="1" applyFont="1" applyFill="1" applyBorder="1" applyAlignment="1">
      <alignment horizontal="center" wrapText="1"/>
    </xf>
    <xf numFmtId="0" fontId="6" fillId="4" borderId="0" xfId="0" applyFont="1" applyFill="1"/>
    <xf numFmtId="164" fontId="3" fillId="0" borderId="1" xfId="0" applyNumberFormat="1" applyFont="1" applyBorder="1" applyAlignment="1">
      <alignment horizontal="center"/>
    </xf>
    <xf numFmtId="4" fontId="6" fillId="4" borderId="1" xfId="0" applyNumberFormat="1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wrapText="1"/>
    </xf>
    <xf numFmtId="166" fontId="6" fillId="4" borderId="15" xfId="0" applyNumberFormat="1" applyFont="1" applyFill="1" applyBorder="1" applyAlignment="1">
      <alignment horizontal="center" vertical="top" wrapText="1"/>
    </xf>
    <xf numFmtId="169" fontId="2" fillId="0" borderId="1" xfId="2" applyNumberFormat="1" applyFont="1" applyFill="1" applyBorder="1"/>
    <xf numFmtId="2" fontId="2" fillId="0" borderId="1" xfId="2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 indent="1"/>
    </xf>
    <xf numFmtId="44" fontId="3" fillId="0" borderId="1" xfId="2" applyFont="1" applyFill="1" applyBorder="1"/>
    <xf numFmtId="0" fontId="2" fillId="0" borderId="0" xfId="0" applyFont="1" applyAlignment="1">
      <alignment horizontal="right"/>
    </xf>
    <xf numFmtId="43" fontId="2" fillId="0" borderId="0" xfId="1" applyFont="1" applyBorder="1"/>
    <xf numFmtId="0" fontId="12" fillId="4" borderId="1" xfId="0" applyFont="1" applyFill="1" applyBorder="1" applyAlignment="1">
      <alignment vertical="top"/>
    </xf>
    <xf numFmtId="2" fontId="3" fillId="0" borderId="11" xfId="0" applyNumberFormat="1" applyFont="1" applyBorder="1" applyAlignment="1">
      <alignment horizontal="center"/>
    </xf>
    <xf numFmtId="169" fontId="3" fillId="0" borderId="0" xfId="2" applyNumberFormat="1" applyFont="1" applyFill="1" applyBorder="1" applyAlignment="1">
      <alignment vertical="top"/>
    </xf>
    <xf numFmtId="169" fontId="3" fillId="0" borderId="0" xfId="2" applyNumberFormat="1" applyFont="1" applyFill="1" applyBorder="1"/>
    <xf numFmtId="0" fontId="3" fillId="0" borderId="9" xfId="0" applyFont="1" applyBorder="1" applyAlignment="1">
      <alignment vertical="top"/>
    </xf>
    <xf numFmtId="169" fontId="3" fillId="0" borderId="11" xfId="2" applyNumberFormat="1" applyFont="1" applyFill="1" applyBorder="1" applyAlignment="1">
      <alignment vertical="top"/>
    </xf>
    <xf numFmtId="0" fontId="3" fillId="0" borderId="8" xfId="0" applyFont="1" applyBorder="1"/>
    <xf numFmtId="0" fontId="3" fillId="0" borderId="10" xfId="0" applyFont="1" applyBorder="1"/>
    <xf numFmtId="166" fontId="6" fillId="4" borderId="6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4" borderId="7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4" borderId="6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4" fillId="0" borderId="0" xfId="0" applyFont="1"/>
    <xf numFmtId="0" fontId="13" fillId="0" borderId="1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67" fontId="5" fillId="3" borderId="3" xfId="1" applyNumberFormat="1" applyFont="1" applyFill="1" applyBorder="1" applyAlignment="1">
      <alignment horizontal="center" vertical="center" wrapText="1"/>
    </xf>
    <xf numFmtId="167" fontId="5" fillId="3" borderId="7" xfId="1" applyNumberFormat="1" applyFont="1" applyFill="1" applyBorder="1" applyAlignment="1">
      <alignment horizontal="center" vertical="center" wrapText="1"/>
    </xf>
    <xf numFmtId="167" fontId="5" fillId="3" borderId="4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8" fontId="4" fillId="0" borderId="9" xfId="1" applyNumberFormat="1" applyFont="1" applyFill="1" applyBorder="1" applyAlignment="1">
      <alignment horizontal="center" vertical="center" wrapText="1"/>
    </xf>
    <xf numFmtId="168" fontId="4" fillId="0" borderId="11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6" fillId="4" borderId="7" xfId="0" applyFont="1" applyFill="1" applyBorder="1" applyAlignment="1">
      <alignment horizontal="center" wrapText="1"/>
    </xf>
    <xf numFmtId="169" fontId="3" fillId="0" borderId="5" xfId="2" applyNumberFormat="1" applyFont="1" applyFill="1" applyBorder="1" applyAlignment="1">
      <alignment horizontal="center"/>
    </xf>
    <xf numFmtId="169" fontId="3" fillId="0" borderId="6" xfId="2" applyNumberFormat="1" applyFont="1" applyFill="1" applyBorder="1" applyAlignment="1">
      <alignment horizontal="center"/>
    </xf>
    <xf numFmtId="169" fontId="3" fillId="0" borderId="2" xfId="2" applyNumberFormat="1" applyFont="1" applyFill="1" applyBorder="1" applyAlignment="1">
      <alignment horizontal="center"/>
    </xf>
    <xf numFmtId="169" fontId="2" fillId="0" borderId="3" xfId="0" applyNumberFormat="1" applyFont="1" applyBorder="1" applyAlignment="1">
      <alignment horizontal="right"/>
    </xf>
    <xf numFmtId="169" fontId="2" fillId="0" borderId="7" xfId="0" applyNumberFormat="1" applyFont="1" applyBorder="1" applyAlignment="1">
      <alignment horizontal="right"/>
    </xf>
    <xf numFmtId="169" fontId="2" fillId="0" borderId="4" xfId="0" applyNumberFormat="1" applyFont="1" applyBorder="1" applyAlignment="1">
      <alignment horizontal="right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6" fillId="4" borderId="17" xfId="0" applyNumberFormat="1" applyFont="1" applyFill="1" applyBorder="1" applyAlignment="1">
      <alignment horizontal="center" vertical="center" wrapText="1"/>
    </xf>
    <xf numFmtId="166" fontId="6" fillId="4" borderId="18" xfId="0" applyNumberFormat="1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right" wrapText="1"/>
    </xf>
    <xf numFmtId="0" fontId="6" fillId="4" borderId="7" xfId="0" applyFont="1" applyFill="1" applyBorder="1" applyAlignment="1">
      <alignment horizontal="right" wrapText="1"/>
    </xf>
    <xf numFmtId="0" fontId="6" fillId="4" borderId="4" xfId="0" applyFont="1" applyFill="1" applyBorder="1" applyAlignment="1">
      <alignment horizontal="right" wrapText="1"/>
    </xf>
    <xf numFmtId="0" fontId="6" fillId="4" borderId="6" xfId="0" applyFont="1" applyFill="1" applyBorder="1" applyAlignment="1">
      <alignment horizontal="center" wrapText="1"/>
    </xf>
    <xf numFmtId="0" fontId="6" fillId="4" borderId="19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4" borderId="10" xfId="0" applyFont="1" applyFill="1" applyBorder="1" applyAlignment="1">
      <alignment horizontal="left" wrapText="1"/>
    </xf>
    <xf numFmtId="0" fontId="6" fillId="4" borderId="13" xfId="0" applyFont="1" applyFill="1" applyBorder="1" applyAlignment="1">
      <alignment horizontal="center" wrapText="1"/>
    </xf>
    <xf numFmtId="0" fontId="6" fillId="4" borderId="14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1A3292"/>
      <color rgb="FF548DD4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26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5" sqref="D15"/>
    </sheetView>
  </sheetViews>
  <sheetFormatPr defaultColWidth="9.140625" defaultRowHeight="16.5" x14ac:dyDescent="0.3"/>
  <cols>
    <col min="1" max="1" width="18.7109375" style="1" customWidth="1"/>
    <col min="2" max="2" width="2.7109375" style="1" customWidth="1"/>
    <col min="3" max="3" width="51.85546875" style="1" customWidth="1"/>
    <col min="4" max="16384" width="9.140625" style="1"/>
  </cols>
  <sheetData>
    <row r="2" spans="1:5" ht="20.100000000000001" customHeight="1" x14ac:dyDescent="0.3">
      <c r="A2" s="129" t="s">
        <v>0</v>
      </c>
      <c r="B2" s="129"/>
      <c r="C2" s="133" t="s">
        <v>1</v>
      </c>
      <c r="D2" s="134"/>
      <c r="E2" s="59"/>
    </row>
    <row r="3" spans="1:5" x14ac:dyDescent="0.3">
      <c r="A3" s="2" t="s">
        <v>2</v>
      </c>
      <c r="B3" s="55"/>
      <c r="C3" s="2" t="s">
        <v>3</v>
      </c>
      <c r="D3" s="3">
        <v>0.05</v>
      </c>
    </row>
    <row r="4" spans="1:5" x14ac:dyDescent="0.3">
      <c r="A4" s="2" t="s">
        <v>4</v>
      </c>
      <c r="B4" s="56"/>
      <c r="C4" s="2" t="s">
        <v>5</v>
      </c>
      <c r="D4" s="3">
        <v>0.05</v>
      </c>
    </row>
    <row r="5" spans="1:5" x14ac:dyDescent="0.3">
      <c r="A5" s="2" t="s">
        <v>6</v>
      </c>
      <c r="B5" s="56"/>
      <c r="C5" s="2" t="s">
        <v>7</v>
      </c>
      <c r="D5" s="3">
        <v>0.1</v>
      </c>
    </row>
    <row r="6" spans="1:5" x14ac:dyDescent="0.3">
      <c r="A6" s="2" t="s">
        <v>8</v>
      </c>
      <c r="B6" s="57"/>
      <c r="C6" s="70" t="s">
        <v>9</v>
      </c>
      <c r="D6" s="3">
        <v>0.5</v>
      </c>
    </row>
    <row r="7" spans="1:5" x14ac:dyDescent="0.3">
      <c r="A7" s="2" t="s">
        <v>8</v>
      </c>
      <c r="B7" s="46"/>
      <c r="C7" s="46"/>
      <c r="D7" s="47"/>
    </row>
    <row r="8" spans="1:5" x14ac:dyDescent="0.3">
      <c r="A8" s="2" t="s">
        <v>8</v>
      </c>
      <c r="B8" s="46"/>
      <c r="C8" s="46"/>
      <c r="D8" s="47"/>
    </row>
    <row r="9" spans="1:5" x14ac:dyDescent="0.3">
      <c r="A9" s="84"/>
      <c r="B9" s="2"/>
      <c r="C9" s="4" t="s">
        <v>10</v>
      </c>
      <c r="D9" s="3">
        <f>SUM(D3:D7)</f>
        <v>0.7</v>
      </c>
    </row>
    <row r="10" spans="1:5" ht="6.95" customHeight="1" x14ac:dyDescent="0.3">
      <c r="A10" s="2"/>
      <c r="B10" s="46"/>
      <c r="C10" s="46"/>
      <c r="D10" s="47"/>
    </row>
    <row r="11" spans="1:5" x14ac:dyDescent="0.3">
      <c r="A11" s="45"/>
      <c r="B11" s="2"/>
      <c r="C11" s="4" t="s">
        <v>11</v>
      </c>
      <c r="D11" s="3">
        <v>0.3</v>
      </c>
    </row>
    <row r="12" spans="1:5" ht="6.95" customHeight="1" x14ac:dyDescent="0.3">
      <c r="A12" s="2"/>
      <c r="B12" s="120"/>
      <c r="C12" s="120"/>
      <c r="D12" s="125"/>
    </row>
    <row r="13" spans="1:5" x14ac:dyDescent="0.3">
      <c r="A13" s="124"/>
      <c r="B13" s="5"/>
      <c r="C13" s="6" t="s">
        <v>12</v>
      </c>
      <c r="D13" s="7">
        <f>SUM(D9:D12)</f>
        <v>1</v>
      </c>
    </row>
  </sheetData>
  <mergeCells count="1">
    <mergeCell ref="C2:D2"/>
  </mergeCells>
  <phoneticPr fontId="11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5E578-C76F-4A8B-BBBA-5C296EFAF381}">
  <sheetPr>
    <pageSetUpPr fitToPage="1"/>
  </sheetPr>
  <dimension ref="A1:M1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9" sqref="M9"/>
    </sheetView>
  </sheetViews>
  <sheetFormatPr defaultColWidth="9.140625" defaultRowHeight="16.5" x14ac:dyDescent="0.3"/>
  <cols>
    <col min="1" max="1" width="16.7109375" style="1" customWidth="1"/>
    <col min="2" max="2" width="15.7109375" style="1" customWidth="1"/>
    <col min="3" max="4" width="14.7109375" style="1" customWidth="1"/>
    <col min="5" max="8" width="11.7109375" style="1" customWidth="1"/>
    <col min="9" max="9" width="1.85546875" style="1" customWidth="1"/>
    <col min="10" max="11" width="11.7109375" style="1" customWidth="1"/>
    <col min="12" max="12" width="1.85546875" style="1" customWidth="1"/>
    <col min="13" max="13" width="11.7109375" style="1" customWidth="1"/>
    <col min="14" max="16384" width="9.140625" style="1"/>
  </cols>
  <sheetData>
    <row r="1" spans="1:13" s="12" customFormat="1" ht="20.100000000000001" customHeight="1" x14ac:dyDescent="0.2">
      <c r="A1" s="133" t="s">
        <v>87</v>
      </c>
      <c r="B1" s="134"/>
      <c r="C1" s="128"/>
      <c r="D1" s="180" t="s">
        <v>88</v>
      </c>
      <c r="E1" s="181"/>
      <c r="F1" s="181"/>
      <c r="G1" s="182"/>
      <c r="H1" s="128">
        <v>70</v>
      </c>
      <c r="I1" s="128"/>
      <c r="J1" s="133"/>
      <c r="K1" s="134"/>
      <c r="L1" s="121"/>
      <c r="M1" s="114"/>
    </row>
    <row r="2" spans="1:13" s="10" customFormat="1" ht="17.100000000000001" customHeight="1" x14ac:dyDescent="0.3">
      <c r="A2" s="91" t="s">
        <v>89</v>
      </c>
      <c r="B2" s="92">
        <f>' Master'!D3</f>
        <v>0.05</v>
      </c>
      <c r="C2" s="92">
        <f>' Master'!D4</f>
        <v>0.05</v>
      </c>
      <c r="D2" s="92">
        <f>' Master'!D5</f>
        <v>0.1</v>
      </c>
      <c r="E2" s="92">
        <f>' Master'!D6</f>
        <v>0.5</v>
      </c>
      <c r="F2" s="92"/>
      <c r="G2" s="92"/>
      <c r="H2" s="91"/>
      <c r="I2" s="164"/>
      <c r="J2" s="122"/>
      <c r="K2" s="122"/>
      <c r="L2" s="164"/>
      <c r="M2" s="164" t="s">
        <v>27</v>
      </c>
    </row>
    <row r="3" spans="1:13" s="10" customFormat="1" ht="27.95" customHeight="1" x14ac:dyDescent="0.3">
      <c r="A3" s="127"/>
      <c r="B3" s="184" t="str">
        <f>' Master'!C3</f>
        <v>Staff Qualifications and Experience</v>
      </c>
      <c r="C3" s="107"/>
      <c r="D3" s="107"/>
      <c r="E3" s="176" t="s">
        <v>9</v>
      </c>
      <c r="F3" s="177"/>
      <c r="G3" s="176" t="s">
        <v>91</v>
      </c>
      <c r="H3" s="177"/>
      <c r="I3" s="183"/>
      <c r="J3" s="178" t="s">
        <v>90</v>
      </c>
      <c r="K3" s="179"/>
      <c r="L3" s="183"/>
      <c r="M3" s="183"/>
    </row>
    <row r="4" spans="1:13" s="12" customFormat="1" ht="39.950000000000003" customHeight="1" x14ac:dyDescent="0.2">
      <c r="A4" s="123" t="s">
        <v>42</v>
      </c>
      <c r="B4" s="165"/>
      <c r="C4" s="123" t="str">
        <f>' Master'!C4</f>
        <v>Oral Presentations</v>
      </c>
      <c r="D4" s="123" t="str">
        <f>' Master'!C5</f>
        <v>Key Staff Interviews</v>
      </c>
      <c r="E4" s="123" t="s">
        <v>94</v>
      </c>
      <c r="F4" s="127" t="s">
        <v>95</v>
      </c>
      <c r="G4" s="123" t="s">
        <v>94</v>
      </c>
      <c r="H4" s="127" t="s">
        <v>95</v>
      </c>
      <c r="I4" s="165"/>
      <c r="J4" s="123" t="s">
        <v>94</v>
      </c>
      <c r="K4" s="127" t="s">
        <v>95</v>
      </c>
      <c r="L4" s="165"/>
      <c r="M4" s="165"/>
    </row>
    <row r="5" spans="1:13" x14ac:dyDescent="0.3">
      <c r="A5" s="5" t="s">
        <v>4</v>
      </c>
      <c r="B5" s="9">
        <f>'Staff Quals-Exp'!D3</f>
        <v>4.6805555555555562</v>
      </c>
      <c r="C5" s="9">
        <f>'Oral Presentations'!D3</f>
        <v>4</v>
      </c>
      <c r="D5" s="9">
        <f>'Key Staff Interviews'!D3</f>
        <v>8.4166666666666661</v>
      </c>
      <c r="E5" s="9">
        <v>37.5</v>
      </c>
      <c r="F5" s="9">
        <f>'Understanding &amp; Approach'!M4</f>
        <v>36.75</v>
      </c>
      <c r="G5" s="9">
        <f>SUM(B5:E5)</f>
        <v>54.597222222222221</v>
      </c>
      <c r="H5" s="9">
        <f>SUM(B5:D5,F5)</f>
        <v>53.847222222222221</v>
      </c>
      <c r="I5" s="150"/>
      <c r="J5" s="9">
        <v>68.702808483524748</v>
      </c>
      <c r="K5" s="9">
        <f>H5/$H$11*$H$1</f>
        <v>65.124920150642311</v>
      </c>
      <c r="L5" s="150"/>
      <c r="M5" s="16">
        <f>_xlfn.RANK.AVG(K5,$K$5:$K$7)</f>
        <v>2</v>
      </c>
    </row>
    <row r="6" spans="1:13" x14ac:dyDescent="0.3">
      <c r="A6" s="5" t="s">
        <v>2</v>
      </c>
      <c r="B6" s="9">
        <f>'Staff Quals-Exp'!D4</f>
        <v>4.3780833333333344</v>
      </c>
      <c r="C6" s="9">
        <f>'Oral Presentations'!D4</f>
        <v>3.5000000000000004</v>
      </c>
      <c r="D6" s="9">
        <f>'Key Staff Interviews'!D4</f>
        <v>8.25</v>
      </c>
      <c r="E6" s="9">
        <v>39.5</v>
      </c>
      <c r="F6" s="9">
        <f>'Understanding &amp; Approach'!M5</f>
        <v>41.75</v>
      </c>
      <c r="G6" s="9">
        <f t="shared" ref="G6:G7" si="0">SUM(B6:E6)</f>
        <v>55.628083333333336</v>
      </c>
      <c r="H6" s="9">
        <f t="shared" ref="H6:H7" si="1">SUM(B6:D6,F6)</f>
        <v>57.878083333333336</v>
      </c>
      <c r="I6" s="151"/>
      <c r="J6" s="9">
        <v>70</v>
      </c>
      <c r="K6" s="9">
        <f>H6/$H$11*$H$1</f>
        <v>70</v>
      </c>
      <c r="L6" s="151"/>
      <c r="M6" s="16">
        <f>_xlfn.RANK.AVG(K6,$K$5:$K$7)</f>
        <v>1</v>
      </c>
    </row>
    <row r="7" spans="1:13" x14ac:dyDescent="0.3">
      <c r="A7" s="5" t="str">
        <f>'Summary Total'!A5</f>
        <v>Gainwell</v>
      </c>
      <c r="B7" s="9">
        <f>'Staff Quals-Exp'!D5</f>
        <v>4.3262222222222233</v>
      </c>
      <c r="C7" s="9">
        <f>'Oral Presentations'!D5</f>
        <v>3.0000000000000004</v>
      </c>
      <c r="D7" s="9">
        <f>'Key Staff Interviews'!D5</f>
        <v>6.9166666666666679</v>
      </c>
      <c r="E7" s="9">
        <v>33.583333333333336</v>
      </c>
      <c r="F7" s="9">
        <f>'Understanding &amp; Approach'!M6</f>
        <v>33.583333333333336</v>
      </c>
      <c r="G7" s="9">
        <f t="shared" si="0"/>
        <v>47.826222222222228</v>
      </c>
      <c r="H7" s="9">
        <f t="shared" si="1"/>
        <v>47.826222222222228</v>
      </c>
      <c r="I7" s="151"/>
      <c r="J7" s="9">
        <v>60.182471783087188</v>
      </c>
      <c r="K7" s="9">
        <f>H7/$H$11*$H$1</f>
        <v>57.842889099740795</v>
      </c>
      <c r="L7" s="151"/>
      <c r="M7" s="16">
        <f>_xlfn.RANK.AVG(K7,$K$5:$K$7)</f>
        <v>3</v>
      </c>
    </row>
    <row r="8" spans="1:13" ht="8.1" customHeight="1" x14ac:dyDescent="0.3">
      <c r="A8" s="173"/>
      <c r="B8" s="174"/>
      <c r="C8" s="174"/>
      <c r="D8" s="174"/>
      <c r="E8" s="174"/>
      <c r="F8" s="174"/>
      <c r="G8" s="174"/>
      <c r="H8" s="174"/>
      <c r="I8" s="175"/>
      <c r="J8" s="174"/>
      <c r="K8" s="174"/>
    </row>
    <row r="9" spans="1:13" ht="15.95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3" ht="15.95" hidden="1" customHeight="1" x14ac:dyDescent="0.3">
      <c r="A10" s="108"/>
      <c r="B10" s="109"/>
      <c r="C10" s="109"/>
      <c r="D10" s="109"/>
      <c r="E10" s="109"/>
      <c r="F10" s="109"/>
      <c r="G10" s="109"/>
      <c r="H10" s="109"/>
      <c r="I10" s="109"/>
      <c r="J10" s="109"/>
      <c r="K10" s="109"/>
    </row>
    <row r="11" spans="1:13" hidden="1" x14ac:dyDescent="0.3">
      <c r="A11" s="168"/>
      <c r="B11" s="155"/>
      <c r="C11" s="172"/>
      <c r="D11" s="5"/>
      <c r="E11" s="18" t="s">
        <v>92</v>
      </c>
      <c r="F11" s="18"/>
      <c r="G11" s="18"/>
      <c r="H11" s="19">
        <f>MAX(H5:H7)</f>
        <v>57.878083333333336</v>
      </c>
      <c r="I11" s="5"/>
      <c r="J11" s="5"/>
      <c r="K11" s="5"/>
      <c r="L11" s="5"/>
      <c r="M11" s="5"/>
    </row>
    <row r="12" spans="1:13" hidden="1" x14ac:dyDescent="0.3">
      <c r="D12" s="76"/>
      <c r="E12" s="18" t="s">
        <v>93</v>
      </c>
      <c r="F12" s="18"/>
      <c r="G12" s="18"/>
      <c r="H12" s="19">
        <f>MIN(H5:H7)</f>
        <v>47.826222222222228</v>
      </c>
    </row>
    <row r="13" spans="1:13" hidden="1" x14ac:dyDescent="0.3">
      <c r="E13" s="97"/>
      <c r="F13" s="97"/>
      <c r="G13" s="97"/>
      <c r="H13" s="98"/>
    </row>
  </sheetData>
  <mergeCells count="14">
    <mergeCell ref="D1:G1"/>
    <mergeCell ref="A1:B1"/>
    <mergeCell ref="I2:I4"/>
    <mergeCell ref="L2:L4"/>
    <mergeCell ref="M2:M4"/>
    <mergeCell ref="J1:K1"/>
    <mergeCell ref="B3:B4"/>
    <mergeCell ref="I5:I7"/>
    <mergeCell ref="L5:L7"/>
    <mergeCell ref="A8:K8"/>
    <mergeCell ref="A11:C11"/>
    <mergeCell ref="E3:F3"/>
    <mergeCell ref="G3:H3"/>
    <mergeCell ref="J3:K3"/>
  </mergeCells>
  <pageMargins left="0.7" right="0.7" top="0.75" bottom="0.75" header="0.3" footer="0.3"/>
  <pageSetup scale="8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5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3" sqref="D3"/>
    </sheetView>
  </sheetViews>
  <sheetFormatPr defaultColWidth="9.140625" defaultRowHeight="16.5" x14ac:dyDescent="0.3"/>
  <cols>
    <col min="1" max="1" width="16.7109375" style="1" customWidth="1"/>
    <col min="2" max="2" width="13.7109375" style="10" customWidth="1"/>
    <col min="3" max="3" width="13.7109375" style="1" customWidth="1"/>
    <col min="4" max="4" width="15.28515625" style="1" customWidth="1"/>
    <col min="5" max="5" width="1.85546875" style="1" customWidth="1"/>
    <col min="6" max="17" width="13.28515625" style="1" customWidth="1"/>
    <col min="18" max="19" width="15.28515625" style="1" customWidth="1"/>
    <col min="20" max="22" width="9.140625" style="1" customWidth="1"/>
    <col min="23" max="16384" width="9.140625" style="1"/>
  </cols>
  <sheetData>
    <row r="1" spans="1:22" s="12" customFormat="1" ht="30" customHeight="1" x14ac:dyDescent="0.2">
      <c r="A1" s="185" t="str">
        <f>' Master'!C3</f>
        <v>Staff Qualifications and Experience</v>
      </c>
      <c r="B1" s="186"/>
      <c r="C1" s="128" t="s">
        <v>41</v>
      </c>
      <c r="D1" s="63">
        <f>' Master'!D3</f>
        <v>0.05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V1" s="20"/>
    </row>
    <row r="2" spans="1:22" s="13" customFormat="1" ht="71.25" x14ac:dyDescent="0.2">
      <c r="A2" s="128" t="s">
        <v>42</v>
      </c>
      <c r="B2" s="128" t="s">
        <v>96</v>
      </c>
      <c r="C2" s="128" t="s">
        <v>97</v>
      </c>
      <c r="D2" s="128" t="s">
        <v>98</v>
      </c>
      <c r="E2" s="122"/>
      <c r="F2" s="122" t="s">
        <v>99</v>
      </c>
      <c r="G2" s="122" t="s">
        <v>100</v>
      </c>
      <c r="H2" s="122" t="s">
        <v>101</v>
      </c>
      <c r="I2" s="122" t="s">
        <v>102</v>
      </c>
      <c r="J2" s="122" t="s">
        <v>103</v>
      </c>
      <c r="K2" s="122" t="s">
        <v>104</v>
      </c>
      <c r="L2" s="122" t="s">
        <v>105</v>
      </c>
      <c r="M2" s="122" t="s">
        <v>106</v>
      </c>
      <c r="N2" s="122" t="s">
        <v>107</v>
      </c>
      <c r="O2" s="122" t="s">
        <v>108</v>
      </c>
      <c r="P2" s="122" t="s">
        <v>109</v>
      </c>
      <c r="Q2" s="122" t="s">
        <v>110</v>
      </c>
      <c r="R2" s="128" t="s">
        <v>111</v>
      </c>
      <c r="S2" s="128" t="s">
        <v>112</v>
      </c>
      <c r="V2" s="21"/>
    </row>
    <row r="3" spans="1:22" x14ac:dyDescent="0.3">
      <c r="A3" s="49" t="s">
        <v>4</v>
      </c>
      <c r="B3" s="16">
        <f>_xlfn.RANK.AVG(D3,$D$3:$D$5)</f>
        <v>1</v>
      </c>
      <c r="C3" s="25">
        <f>R3*S3</f>
        <v>28.083333333333336</v>
      </c>
      <c r="D3" s="25">
        <f>C3/30*$D$1*100</f>
        <v>4.6805555555555562</v>
      </c>
      <c r="E3" s="151"/>
      <c r="F3" s="16">
        <v>2.6</v>
      </c>
      <c r="G3" s="87">
        <v>2.7</v>
      </c>
      <c r="H3" s="87">
        <v>3</v>
      </c>
      <c r="I3" s="87">
        <v>3</v>
      </c>
      <c r="J3" s="87">
        <v>3</v>
      </c>
      <c r="K3" s="87">
        <v>2.8</v>
      </c>
      <c r="L3" s="87">
        <v>2.2999999999999998</v>
      </c>
      <c r="M3" s="87">
        <v>3</v>
      </c>
      <c r="N3" s="87">
        <v>2.8</v>
      </c>
      <c r="O3" s="87">
        <v>3</v>
      </c>
      <c r="P3" s="87">
        <v>2.5</v>
      </c>
      <c r="Q3" s="87">
        <v>3</v>
      </c>
      <c r="R3" s="48">
        <f>AVERAGE(F3:Q3)</f>
        <v>2.8083333333333336</v>
      </c>
      <c r="S3" s="25">
        <v>10</v>
      </c>
      <c r="T3" s="23"/>
      <c r="V3" s="24"/>
    </row>
    <row r="4" spans="1:22" x14ac:dyDescent="0.3">
      <c r="A4" s="5" t="s">
        <v>2</v>
      </c>
      <c r="B4" s="16">
        <f>_xlfn.RANK.AVG(D4,$D$3:$D$5)</f>
        <v>2</v>
      </c>
      <c r="C4" s="25">
        <f t="shared" ref="C4:C5" si="0">R4*S4</f>
        <v>26.268500000000003</v>
      </c>
      <c r="D4" s="25">
        <f t="shared" ref="D4:D5" si="1">C4/30*$D$1*100</f>
        <v>4.3780833333333344</v>
      </c>
      <c r="E4" s="151"/>
      <c r="F4" s="16">
        <v>1.6</v>
      </c>
      <c r="G4" s="87">
        <v>2.7</v>
      </c>
      <c r="H4" s="87">
        <v>3</v>
      </c>
      <c r="I4" s="87">
        <v>3</v>
      </c>
      <c r="J4" s="87">
        <v>2.2999999999999998</v>
      </c>
      <c r="K4" s="87">
        <v>2</v>
      </c>
      <c r="L4" s="87">
        <v>3</v>
      </c>
      <c r="M4" s="87">
        <v>2.7</v>
      </c>
      <c r="N4" s="87">
        <v>2.8</v>
      </c>
      <c r="O4" s="87">
        <v>3</v>
      </c>
      <c r="P4" s="87">
        <v>3</v>
      </c>
      <c r="Q4" s="87">
        <v>3</v>
      </c>
      <c r="R4" s="48">
        <f t="shared" ref="R4" si="2">AVERAGE(F4:Q4)</f>
        <v>2.6750000000000003</v>
      </c>
      <c r="S4" s="9">
        <v>9.82</v>
      </c>
      <c r="T4" s="23"/>
      <c r="V4" s="24"/>
    </row>
    <row r="5" spans="1:22" x14ac:dyDescent="0.3">
      <c r="A5" s="5" t="str">
        <f>'Summary Total'!A5</f>
        <v>Gainwell</v>
      </c>
      <c r="B5" s="16">
        <f>_xlfn.RANK.AVG(D5,$D$3:$D$5)</f>
        <v>3</v>
      </c>
      <c r="C5" s="25">
        <f t="shared" si="0"/>
        <v>25.957333333333334</v>
      </c>
      <c r="D5" s="25">
        <f t="shared" si="1"/>
        <v>4.3262222222222233</v>
      </c>
      <c r="E5" s="151"/>
      <c r="F5" s="16">
        <v>2.2000000000000002</v>
      </c>
      <c r="G5" s="87">
        <v>2.2999999999999998</v>
      </c>
      <c r="H5" s="87">
        <v>2.8</v>
      </c>
      <c r="I5" s="87">
        <v>3</v>
      </c>
      <c r="J5" s="87">
        <v>2.7</v>
      </c>
      <c r="K5" s="87">
        <v>2.8</v>
      </c>
      <c r="L5" s="87">
        <v>2.2999999999999998</v>
      </c>
      <c r="M5" s="87">
        <v>2.7</v>
      </c>
      <c r="N5" s="87">
        <v>2.8</v>
      </c>
      <c r="O5" s="87">
        <v>2.8</v>
      </c>
      <c r="P5" s="87">
        <v>2</v>
      </c>
      <c r="Q5" s="87">
        <v>3</v>
      </c>
      <c r="R5" s="48">
        <f t="shared" ref="R5" si="3">AVERAGE(F5:Q5)</f>
        <v>2.6166666666666667</v>
      </c>
      <c r="S5" s="9">
        <v>9.92</v>
      </c>
      <c r="T5" s="23"/>
      <c r="V5" s="24"/>
    </row>
    <row r="6" spans="1:22" x14ac:dyDescent="0.3">
      <c r="B6" s="126"/>
      <c r="T6" s="23"/>
    </row>
    <row r="7" spans="1:22" x14ac:dyDescent="0.3">
      <c r="T7" s="23"/>
    </row>
    <row r="15" spans="1:22" x14ac:dyDescent="0.3">
      <c r="P15" s="1" t="s">
        <v>113</v>
      </c>
    </row>
  </sheetData>
  <mergeCells count="2">
    <mergeCell ref="E3:E5"/>
    <mergeCell ref="A1:B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CEF96-F8D8-48A6-8E16-78437B638E44}">
  <sheetPr>
    <pageSetUpPr fitToPage="1"/>
  </sheetPr>
  <dimension ref="A1:G2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24" sqref="D24"/>
    </sheetView>
  </sheetViews>
  <sheetFormatPr defaultColWidth="9.140625" defaultRowHeight="16.5" x14ac:dyDescent="0.3"/>
  <cols>
    <col min="1" max="1" width="45.7109375" style="1" customWidth="1"/>
    <col min="2" max="2" width="14.7109375" style="10" customWidth="1"/>
    <col min="3" max="4" width="14.7109375" style="1" customWidth="1"/>
    <col min="5" max="5" width="14" style="1" hidden="1" customWidth="1"/>
    <col min="6" max="7" width="9.140625" style="1" customWidth="1"/>
    <col min="8" max="16384" width="9.140625" style="1"/>
  </cols>
  <sheetData>
    <row r="1" spans="1:7" s="12" customFormat="1" ht="20.25" customHeight="1" x14ac:dyDescent="0.2">
      <c r="A1" s="185" t="str">
        <f>' Master'!C3</f>
        <v>Staff Qualifications and Experience</v>
      </c>
      <c r="B1" s="186"/>
      <c r="C1" s="128" t="s">
        <v>41</v>
      </c>
      <c r="D1" s="63">
        <f>' Master'!D3</f>
        <v>0.05</v>
      </c>
      <c r="E1" s="88"/>
      <c r="G1" s="20"/>
    </row>
    <row r="2" spans="1:7" s="13" customFormat="1" ht="24.95" customHeight="1" x14ac:dyDescent="0.2">
      <c r="A2" s="128" t="s">
        <v>114</v>
      </c>
      <c r="B2" s="128" t="s">
        <v>4</v>
      </c>
      <c r="C2" s="128" t="s">
        <v>2</v>
      </c>
      <c r="D2" s="128" t="str">
        <f>'Summary Total'!A5</f>
        <v>Gainwell</v>
      </c>
      <c r="E2" s="128" t="s">
        <v>115</v>
      </c>
      <c r="G2" s="21"/>
    </row>
    <row r="3" spans="1:7" x14ac:dyDescent="0.3">
      <c r="A3" s="5" t="s">
        <v>99</v>
      </c>
      <c r="B3" s="16">
        <f>'Staff Quals-Exp'!F3</f>
        <v>2.6</v>
      </c>
      <c r="C3" s="16">
        <f>'Staff Quals-Exp'!F4</f>
        <v>1.6</v>
      </c>
      <c r="D3" s="16">
        <f>'Staff Quals-Exp'!F5</f>
        <v>2.2000000000000002</v>
      </c>
      <c r="E3" s="9">
        <f>AVERAGE(B3:D3)</f>
        <v>2.1333333333333333</v>
      </c>
    </row>
    <row r="4" spans="1:7" ht="16.5" customHeight="1" x14ac:dyDescent="0.3">
      <c r="A4" s="5" t="s">
        <v>100</v>
      </c>
      <c r="B4" s="16">
        <f>'Staff Quals-Exp'!G3</f>
        <v>2.7</v>
      </c>
      <c r="C4" s="16">
        <f>'Staff Quals-Exp'!G4</f>
        <v>2.7</v>
      </c>
      <c r="D4" s="16">
        <f>'Staff Quals-Exp'!G5</f>
        <v>2.2999999999999998</v>
      </c>
      <c r="E4" s="9">
        <f t="shared" ref="E4:E14" si="0">AVERAGE(B4:D4)</f>
        <v>2.5666666666666669</v>
      </c>
    </row>
    <row r="5" spans="1:7" x14ac:dyDescent="0.3">
      <c r="A5" s="5" t="s">
        <v>101</v>
      </c>
      <c r="B5" s="87">
        <f>'Staff Quals-Exp'!H3</f>
        <v>3</v>
      </c>
      <c r="C5" s="87">
        <f>'Staff Quals-Exp'!H4</f>
        <v>3</v>
      </c>
      <c r="D5" s="16">
        <f>'Staff Quals-Exp'!H5</f>
        <v>2.8</v>
      </c>
      <c r="E5" s="9">
        <f t="shared" si="0"/>
        <v>2.9333333333333336</v>
      </c>
    </row>
    <row r="6" spans="1:7" x14ac:dyDescent="0.3">
      <c r="A6" s="5" t="s">
        <v>102</v>
      </c>
      <c r="B6" s="87">
        <f>'Staff Quals-Exp'!I3</f>
        <v>3</v>
      </c>
      <c r="C6" s="87">
        <f>'Staff Quals-Exp'!I4</f>
        <v>3</v>
      </c>
      <c r="D6" s="87">
        <f>'Staff Quals-Exp'!I5</f>
        <v>3</v>
      </c>
      <c r="E6" s="9">
        <f t="shared" si="0"/>
        <v>3</v>
      </c>
    </row>
    <row r="7" spans="1:7" x14ac:dyDescent="0.3">
      <c r="A7" s="5" t="s">
        <v>103</v>
      </c>
      <c r="B7" s="16">
        <f>'Staff Quals-Exp'!J3</f>
        <v>3</v>
      </c>
      <c r="C7" s="87">
        <f>'Staff Quals-Exp'!J4</f>
        <v>2.2999999999999998</v>
      </c>
      <c r="D7" s="16">
        <f>'Staff Quals-Exp'!J5</f>
        <v>2.7</v>
      </c>
      <c r="E7" s="9">
        <f t="shared" si="0"/>
        <v>2.6666666666666665</v>
      </c>
    </row>
    <row r="8" spans="1:7" x14ac:dyDescent="0.3">
      <c r="A8" s="5" t="s">
        <v>104</v>
      </c>
      <c r="B8" s="87">
        <f>'Staff Quals-Exp'!K3</f>
        <v>2.8</v>
      </c>
      <c r="C8" s="87">
        <f>'Staff Quals-Exp'!K4</f>
        <v>2</v>
      </c>
      <c r="D8" s="16">
        <f>'Staff Quals-Exp'!K5</f>
        <v>2.8</v>
      </c>
      <c r="E8" s="9">
        <f t="shared" si="0"/>
        <v>2.5333333333333332</v>
      </c>
    </row>
    <row r="9" spans="1:7" ht="16.5" customHeight="1" x14ac:dyDescent="0.3">
      <c r="A9" s="5" t="s">
        <v>105</v>
      </c>
      <c r="B9" s="87">
        <f>'Staff Quals-Exp'!L3</f>
        <v>2.2999999999999998</v>
      </c>
      <c r="C9" s="16">
        <f>'Staff Quals-Exp'!L4</f>
        <v>3</v>
      </c>
      <c r="D9" s="16">
        <f>'Staff Quals-Exp'!L5</f>
        <v>2.2999999999999998</v>
      </c>
      <c r="E9" s="9">
        <f t="shared" si="0"/>
        <v>2.5333333333333332</v>
      </c>
    </row>
    <row r="10" spans="1:7" x14ac:dyDescent="0.3">
      <c r="A10" s="5" t="s">
        <v>106</v>
      </c>
      <c r="B10" s="16">
        <f>'Staff Quals-Exp'!M3</f>
        <v>3</v>
      </c>
      <c r="C10" s="87">
        <f>'Staff Quals-Exp'!M4</f>
        <v>2.7</v>
      </c>
      <c r="D10" s="16">
        <f>'Staff Quals-Exp'!M5</f>
        <v>2.7</v>
      </c>
      <c r="E10" s="9">
        <f t="shared" si="0"/>
        <v>2.8000000000000003</v>
      </c>
    </row>
    <row r="11" spans="1:7" x14ac:dyDescent="0.3">
      <c r="A11" s="5" t="s">
        <v>107</v>
      </c>
      <c r="B11" s="87">
        <f>'Staff Quals-Exp'!N3</f>
        <v>2.8</v>
      </c>
      <c r="C11" s="87">
        <f>'Staff Quals-Exp'!N4</f>
        <v>2.8</v>
      </c>
      <c r="D11" s="16">
        <f>'Staff Quals-Exp'!N5</f>
        <v>2.8</v>
      </c>
      <c r="E11" s="9">
        <f t="shared" si="0"/>
        <v>2.7999999999999994</v>
      </c>
    </row>
    <row r="12" spans="1:7" x14ac:dyDescent="0.3">
      <c r="A12" s="5" t="s">
        <v>108</v>
      </c>
      <c r="B12" s="87">
        <f>'Staff Quals-Exp'!O3</f>
        <v>3</v>
      </c>
      <c r="C12" s="87">
        <f>'Staff Quals-Exp'!O4</f>
        <v>3</v>
      </c>
      <c r="D12" s="16">
        <f>'Staff Quals-Exp'!O5</f>
        <v>2.8</v>
      </c>
      <c r="E12" s="9">
        <f t="shared" si="0"/>
        <v>2.9333333333333336</v>
      </c>
    </row>
    <row r="13" spans="1:7" x14ac:dyDescent="0.3">
      <c r="A13" s="5" t="s">
        <v>109</v>
      </c>
      <c r="B13" s="87">
        <f>'Staff Quals-Exp'!P3</f>
        <v>2.5</v>
      </c>
      <c r="C13" s="16">
        <f>'Staff Quals-Exp'!P4</f>
        <v>3</v>
      </c>
      <c r="D13" s="87">
        <f>'Staff Quals-Exp'!P5</f>
        <v>2</v>
      </c>
      <c r="E13" s="9">
        <f t="shared" si="0"/>
        <v>2.5</v>
      </c>
    </row>
    <row r="14" spans="1:7" x14ac:dyDescent="0.3">
      <c r="A14" s="5" t="s">
        <v>110</v>
      </c>
      <c r="B14" s="87">
        <f>'Staff Quals-Exp'!Q3</f>
        <v>3</v>
      </c>
      <c r="C14" s="87">
        <f>'Staff Quals-Exp'!Q4</f>
        <v>3</v>
      </c>
      <c r="D14" s="87">
        <f>'Staff Quals-Exp'!Q5</f>
        <v>3</v>
      </c>
      <c r="E14" s="9">
        <f t="shared" si="0"/>
        <v>3</v>
      </c>
    </row>
    <row r="15" spans="1:7" ht="3.95" customHeight="1" x14ac:dyDescent="0.3">
      <c r="C15" s="10"/>
      <c r="D15" s="10"/>
      <c r="E15" s="10"/>
    </row>
    <row r="16" spans="1:7" ht="18" customHeight="1" x14ac:dyDescent="0.3">
      <c r="A16" s="130" t="s">
        <v>116</v>
      </c>
      <c r="B16" s="111">
        <f>AVERAGE(B3:B14)</f>
        <v>2.8083333333333336</v>
      </c>
      <c r="C16" s="111">
        <f t="shared" ref="C16:E16" si="1">AVERAGE(C3:C14)</f>
        <v>2.6750000000000003</v>
      </c>
      <c r="D16" s="111">
        <f t="shared" si="1"/>
        <v>2.6166666666666667</v>
      </c>
      <c r="E16" s="89">
        <f t="shared" si="1"/>
        <v>2.7000000000000006</v>
      </c>
    </row>
    <row r="17" spans="1:5" ht="3.95" customHeight="1" x14ac:dyDescent="0.3">
      <c r="A17" s="130"/>
      <c r="B17" s="120"/>
      <c r="C17" s="120"/>
      <c r="D17" s="120"/>
      <c r="E17" s="120"/>
    </row>
    <row r="18" spans="1:5" ht="18" customHeight="1" x14ac:dyDescent="0.3">
      <c r="A18" s="130" t="s">
        <v>117</v>
      </c>
      <c r="B18" s="111">
        <f>'Staff Quals-Exp'!S3</f>
        <v>10</v>
      </c>
      <c r="C18" s="111">
        <f>'Staff Quals-Exp'!S4</f>
        <v>9.82</v>
      </c>
      <c r="D18" s="111">
        <f>'Staff Quals-Exp'!S5</f>
        <v>9.92</v>
      </c>
      <c r="E18" s="89">
        <f>AVERAGE(B18:D18)</f>
        <v>9.913333333333334</v>
      </c>
    </row>
    <row r="19" spans="1:5" ht="3.95" customHeight="1" x14ac:dyDescent="0.3">
      <c r="A19" s="131"/>
      <c r="B19" s="120"/>
      <c r="C19" s="120"/>
      <c r="D19" s="120"/>
      <c r="E19" s="120"/>
    </row>
    <row r="20" spans="1:5" ht="32.1" customHeight="1" x14ac:dyDescent="0.3">
      <c r="A20" s="130" t="s">
        <v>118</v>
      </c>
      <c r="B20" s="111">
        <f>B16*B18</f>
        <v>28.083333333333336</v>
      </c>
      <c r="C20" s="111">
        <f t="shared" ref="C20:E20" si="2">C16*C18</f>
        <v>26.268500000000003</v>
      </c>
      <c r="D20" s="111">
        <f t="shared" si="2"/>
        <v>25.957333333333334</v>
      </c>
      <c r="E20" s="88">
        <f t="shared" si="2"/>
        <v>26.766000000000009</v>
      </c>
    </row>
    <row r="21" spans="1:5" ht="3.95" customHeight="1" x14ac:dyDescent="0.3">
      <c r="A21" s="131"/>
      <c r="B21" s="120"/>
      <c r="C21" s="120"/>
      <c r="D21" s="120"/>
      <c r="E21" s="120"/>
    </row>
    <row r="22" spans="1:5" ht="18" customHeight="1" x14ac:dyDescent="0.3">
      <c r="A22" s="132" t="s">
        <v>119</v>
      </c>
      <c r="B22" s="111">
        <f>B20/30*$D$1*100</f>
        <v>4.6805555555555562</v>
      </c>
      <c r="C22" s="111">
        <f t="shared" ref="C22:E22" si="3">C20/30*$D$1*100</f>
        <v>4.3780833333333344</v>
      </c>
      <c r="D22" s="111">
        <f t="shared" si="3"/>
        <v>4.3262222222222233</v>
      </c>
      <c r="E22" s="89">
        <f t="shared" si="3"/>
        <v>4.4610000000000021</v>
      </c>
    </row>
  </sheetData>
  <mergeCells count="1">
    <mergeCell ref="A1:B1"/>
  </mergeCell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6"/>
  <sheetViews>
    <sheetView workbookViewId="0">
      <pane xSplit="1" ySplit="2" topLeftCell="B3" activePane="bottomRight" state="frozen"/>
      <selection pane="topRight" activeCell="F16" sqref="F16"/>
      <selection pane="bottomLeft" activeCell="F16" sqref="F16"/>
      <selection pane="bottomRight" activeCell="F7" sqref="F7"/>
    </sheetView>
  </sheetViews>
  <sheetFormatPr defaultColWidth="9.140625" defaultRowHeight="16.5" x14ac:dyDescent="0.3"/>
  <cols>
    <col min="1" max="1" width="16.7109375" style="1" customWidth="1"/>
    <col min="2" max="2" width="13.7109375" style="10" customWidth="1"/>
    <col min="3" max="3" width="13.7109375" style="1" customWidth="1"/>
    <col min="4" max="4" width="14.7109375" style="1" customWidth="1"/>
    <col min="5" max="5" width="1.85546875" style="1" customWidth="1"/>
    <col min="6" max="6" width="14.7109375" style="1" customWidth="1"/>
    <col min="7" max="9" width="9.140625" style="1" customWidth="1"/>
    <col min="10" max="16384" width="9.140625" style="1"/>
  </cols>
  <sheetData>
    <row r="1" spans="1:9" s="12" customFormat="1" ht="20.100000000000001" customHeight="1" x14ac:dyDescent="0.2">
      <c r="A1" s="185" t="str">
        <f>' Master'!C4</f>
        <v>Oral Presentations</v>
      </c>
      <c r="B1" s="186"/>
      <c r="C1" s="128" t="s">
        <v>41</v>
      </c>
      <c r="D1" s="63">
        <f>' Master'!D4</f>
        <v>0.05</v>
      </c>
      <c r="E1" s="72"/>
      <c r="F1" s="72"/>
      <c r="I1" s="20"/>
    </row>
    <row r="2" spans="1:9" s="13" customFormat="1" ht="51" x14ac:dyDescent="0.2">
      <c r="A2" s="128" t="s">
        <v>42</v>
      </c>
      <c r="B2" s="128" t="s">
        <v>120</v>
      </c>
      <c r="C2" s="128" t="s">
        <v>121</v>
      </c>
      <c r="D2" s="64" t="s">
        <v>122</v>
      </c>
      <c r="E2" s="122"/>
      <c r="F2" s="128" t="s">
        <v>123</v>
      </c>
      <c r="I2" s="21"/>
    </row>
    <row r="3" spans="1:9" ht="16.5" customHeight="1" x14ac:dyDescent="0.3">
      <c r="A3" s="49" t="s">
        <v>4</v>
      </c>
      <c r="B3" s="16">
        <f>_xlfn.RANK.AVG(D3,$D$3:$D$5)</f>
        <v>1</v>
      </c>
      <c r="C3" s="48">
        <v>8</v>
      </c>
      <c r="D3" s="25">
        <f>C3*$D$1*10</f>
        <v>4</v>
      </c>
      <c r="E3" s="151"/>
      <c r="F3" s="87">
        <v>8</v>
      </c>
      <c r="G3" s="23"/>
      <c r="I3" s="24"/>
    </row>
    <row r="4" spans="1:9" ht="16.5" customHeight="1" x14ac:dyDescent="0.3">
      <c r="A4" s="5" t="s">
        <v>2</v>
      </c>
      <c r="B4" s="16">
        <f>_xlfn.RANK.AVG(D4,$D$3:$D$5)</f>
        <v>2</v>
      </c>
      <c r="C4" s="48">
        <v>7</v>
      </c>
      <c r="D4" s="9">
        <f t="shared" ref="D4" si="0">C4*$D$1*10</f>
        <v>3.5000000000000004</v>
      </c>
      <c r="E4" s="151"/>
      <c r="F4" s="87">
        <v>7</v>
      </c>
      <c r="G4" s="23"/>
      <c r="I4" s="24"/>
    </row>
    <row r="5" spans="1:9" ht="16.5" customHeight="1" x14ac:dyDescent="0.3">
      <c r="A5" s="5" t="str">
        <f>'Summary Total'!A5</f>
        <v>Gainwell</v>
      </c>
      <c r="B5" s="16">
        <f>_xlfn.RANK.AVG(D5,$D$3:$D$5)</f>
        <v>3</v>
      </c>
      <c r="C5" s="48">
        <f t="shared" ref="C5" si="1">F5</f>
        <v>6</v>
      </c>
      <c r="D5" s="9">
        <f t="shared" ref="D5" si="2">C5*$D$1*10</f>
        <v>3.0000000000000004</v>
      </c>
      <c r="E5" s="151"/>
      <c r="F5" s="87">
        <v>6</v>
      </c>
      <c r="G5" s="23"/>
      <c r="I5" s="24"/>
    </row>
    <row r="6" spans="1:9" x14ac:dyDescent="0.3">
      <c r="G6" s="23"/>
    </row>
  </sheetData>
  <mergeCells count="2">
    <mergeCell ref="E3:E5"/>
    <mergeCell ref="A1:B1"/>
  </mergeCells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9"/>
  <sheetViews>
    <sheetView zoomScale="95" zoomScaleNormal="95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:A5"/>
    </sheetView>
  </sheetViews>
  <sheetFormatPr defaultColWidth="9.140625" defaultRowHeight="16.5" x14ac:dyDescent="0.3"/>
  <cols>
    <col min="1" max="1" width="16.7109375" style="1" customWidth="1"/>
    <col min="2" max="2" width="11.7109375" style="10" customWidth="1"/>
    <col min="3" max="3" width="11.7109375" style="1" customWidth="1"/>
    <col min="4" max="4" width="13.7109375" style="1" customWidth="1"/>
    <col min="5" max="5" width="1.85546875" style="1" customWidth="1"/>
    <col min="6" max="18" width="13.7109375" style="1" customWidth="1"/>
    <col min="19" max="19" width="75.7109375" style="1" customWidth="1"/>
    <col min="20" max="20" width="14" style="1" customWidth="1"/>
    <col min="21" max="21" width="6" style="1" customWidth="1"/>
    <col min="22" max="22" width="14.140625" style="1" bestFit="1" customWidth="1"/>
    <col min="23" max="16384" width="9.140625" style="1"/>
  </cols>
  <sheetData>
    <row r="1" spans="1:22" s="12" customFormat="1" ht="20.25" customHeight="1" x14ac:dyDescent="0.2">
      <c r="A1" s="185" t="str">
        <f>' Master'!C5</f>
        <v>Key Staff Interviews</v>
      </c>
      <c r="B1" s="186"/>
      <c r="C1" s="128" t="s">
        <v>41</v>
      </c>
      <c r="D1" s="63">
        <f>' Master'!D5</f>
        <v>0.1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V1" s="20"/>
    </row>
    <row r="2" spans="1:22" s="13" customFormat="1" ht="60" customHeight="1" x14ac:dyDescent="0.2">
      <c r="A2" s="128" t="s">
        <v>42</v>
      </c>
      <c r="B2" s="128" t="s">
        <v>120</v>
      </c>
      <c r="C2" s="128" t="s">
        <v>121</v>
      </c>
      <c r="D2" s="128" t="s">
        <v>124</v>
      </c>
      <c r="E2" s="122"/>
      <c r="F2" s="122" t="str">
        <f>'Staff Quals-Exp'!F2</f>
        <v>M&amp;E Project Manager</v>
      </c>
      <c r="G2" s="122" t="str">
        <f>'Staff Quals-Exp'!G2</f>
        <v>M&amp;E PMO Lead</v>
      </c>
      <c r="H2" s="122" t="str">
        <f>'Staff Quals-Exp'!H2</f>
        <v>M&amp;E Delivery Integration Manager</v>
      </c>
      <c r="I2" s="122" t="str">
        <f>'Staff Quals-Exp'!I2</f>
        <v>M&amp;E Transition Manager</v>
      </c>
      <c r="J2" s="122" t="str">
        <f>'Staff Quals-Exp'!J2</f>
        <v>M&amp;E Innovation Lead</v>
      </c>
      <c r="K2" s="122" t="str">
        <f>'Staff Quals-Exp'!K2</f>
        <v>M&amp;E Enterprise Architect</v>
      </c>
      <c r="L2" s="122" t="str">
        <f>'Staff Quals-Exp'!L2</f>
        <v>M&amp;E Technical Manager</v>
      </c>
      <c r="M2" s="122" t="str">
        <f>'Staff Quals-Exp'!M2</f>
        <v>M&amp;E Application Manager</v>
      </c>
      <c r="N2" s="122" t="str">
        <f>'Staff Quals-Exp'!N2</f>
        <v>M&amp;E Security Manager</v>
      </c>
      <c r="O2" s="122" t="str">
        <f>'Staff Quals-Exp'!O2</f>
        <v>M&amp;E Testing Manager</v>
      </c>
      <c r="P2" s="122" t="str">
        <f>'Staff Quals-Exp'!P2</f>
        <v>M&amp;E Release Manager</v>
      </c>
      <c r="Q2" s="122" t="str">
        <f>'Staff Quals-Exp'!Q2</f>
        <v>M&amp;E Project Scheduler</v>
      </c>
      <c r="R2" s="128" t="s">
        <v>125</v>
      </c>
      <c r="S2" s="66" t="s">
        <v>126</v>
      </c>
      <c r="V2" s="21"/>
    </row>
    <row r="3" spans="1:22" x14ac:dyDescent="0.3">
      <c r="A3" s="49" t="s">
        <v>4</v>
      </c>
      <c r="B3" s="16">
        <f>_xlfn.RANK.AVG(D3,$D$3:$D$5)</f>
        <v>1</v>
      </c>
      <c r="C3" s="25">
        <f>R3</f>
        <v>8.4166666666666661</v>
      </c>
      <c r="D3" s="25">
        <f>C3*$D$1*10</f>
        <v>8.4166666666666661</v>
      </c>
      <c r="E3" s="151"/>
      <c r="F3" s="16">
        <v>9</v>
      </c>
      <c r="G3" s="16">
        <v>8</v>
      </c>
      <c r="H3" s="16">
        <v>10</v>
      </c>
      <c r="I3" s="16">
        <v>8</v>
      </c>
      <c r="J3" s="16">
        <v>8</v>
      </c>
      <c r="K3" s="16">
        <v>10</v>
      </c>
      <c r="L3" s="16">
        <v>7</v>
      </c>
      <c r="M3" s="16">
        <v>9</v>
      </c>
      <c r="N3" s="16">
        <v>8</v>
      </c>
      <c r="O3" s="16">
        <v>8</v>
      </c>
      <c r="P3" s="16">
        <v>8</v>
      </c>
      <c r="Q3" s="16">
        <v>8</v>
      </c>
      <c r="R3" s="25">
        <f t="shared" ref="R3" si="0">AVERAGE(F3:Q3)</f>
        <v>8.4166666666666661</v>
      </c>
      <c r="S3" s="49"/>
      <c r="T3" s="23"/>
      <c r="V3" s="24"/>
    </row>
    <row r="4" spans="1:22" x14ac:dyDescent="0.3">
      <c r="A4" s="5" t="s">
        <v>2</v>
      </c>
      <c r="B4" s="16">
        <f>_xlfn.RANK.AVG(D4,$D$3:$D$5)</f>
        <v>2</v>
      </c>
      <c r="C4" s="25">
        <f t="shared" ref="C4:C5" si="1">R4</f>
        <v>8.25</v>
      </c>
      <c r="D4" s="9">
        <f>C4*$D$1*10</f>
        <v>8.25</v>
      </c>
      <c r="E4" s="151"/>
      <c r="F4" s="16">
        <v>8</v>
      </c>
      <c r="G4" s="16">
        <v>9</v>
      </c>
      <c r="H4" s="16">
        <v>7</v>
      </c>
      <c r="I4" s="16">
        <v>8</v>
      </c>
      <c r="J4" s="16">
        <v>8</v>
      </c>
      <c r="K4" s="16">
        <v>9</v>
      </c>
      <c r="L4" s="16">
        <v>9</v>
      </c>
      <c r="M4" s="16">
        <v>7</v>
      </c>
      <c r="N4" s="16">
        <v>8</v>
      </c>
      <c r="O4" s="16">
        <v>8</v>
      </c>
      <c r="P4" s="16">
        <v>9</v>
      </c>
      <c r="Q4" s="16">
        <v>9</v>
      </c>
      <c r="R4" s="25">
        <f>AVERAGE(F4:Q4)</f>
        <v>8.25</v>
      </c>
      <c r="S4" s="5"/>
      <c r="T4" s="23"/>
      <c r="V4" s="24"/>
    </row>
    <row r="5" spans="1:22" x14ac:dyDescent="0.3">
      <c r="A5" s="5" t="str">
        <f>'Summary Total'!A5</f>
        <v>Gainwell</v>
      </c>
      <c r="B5" s="16">
        <f>_xlfn.RANK.AVG(D5,$D$3:$D$5)</f>
        <v>3</v>
      </c>
      <c r="C5" s="25">
        <f t="shared" si="1"/>
        <v>6.916666666666667</v>
      </c>
      <c r="D5" s="9">
        <f>C5*$D$1*10</f>
        <v>6.9166666666666679</v>
      </c>
      <c r="E5" s="151"/>
      <c r="F5" s="16">
        <v>10</v>
      </c>
      <c r="G5" s="16">
        <v>7</v>
      </c>
      <c r="H5" s="16">
        <v>8</v>
      </c>
      <c r="I5" s="16">
        <v>5</v>
      </c>
      <c r="J5" s="16">
        <v>5</v>
      </c>
      <c r="K5" s="16">
        <v>7</v>
      </c>
      <c r="L5" s="16">
        <v>7</v>
      </c>
      <c r="M5" s="16">
        <v>6</v>
      </c>
      <c r="N5" s="16">
        <v>9</v>
      </c>
      <c r="O5" s="16">
        <v>9</v>
      </c>
      <c r="P5" s="16">
        <v>9</v>
      </c>
      <c r="Q5" s="16">
        <v>1</v>
      </c>
      <c r="R5" s="25">
        <f t="shared" ref="R5" si="2">AVERAGE(F5:Q5)</f>
        <v>6.916666666666667</v>
      </c>
      <c r="S5" s="5"/>
      <c r="T5" s="23"/>
      <c r="V5" s="24"/>
    </row>
    <row r="6" spans="1:22" x14ac:dyDescent="0.3">
      <c r="S6" s="69"/>
      <c r="T6" s="23"/>
    </row>
    <row r="7" spans="1:22" x14ac:dyDescent="0.3">
      <c r="S7" s="69"/>
      <c r="T7" s="23"/>
    </row>
    <row r="8" spans="1:22" x14ac:dyDescent="0.3">
      <c r="S8" s="71"/>
    </row>
    <row r="9" spans="1:22" x14ac:dyDescent="0.3">
      <c r="S9" s="71"/>
    </row>
  </sheetData>
  <mergeCells count="2">
    <mergeCell ref="E3:E5"/>
    <mergeCell ref="A1:B1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A009F-322F-496E-9CF4-1B0A3BF1440F}">
  <sheetPr>
    <pageSetUpPr fitToPage="1"/>
  </sheetPr>
  <dimension ref="A1:D2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23" sqref="D23"/>
    </sheetView>
  </sheetViews>
  <sheetFormatPr defaultColWidth="9.140625" defaultRowHeight="16.5" x14ac:dyDescent="0.3"/>
  <cols>
    <col min="1" max="1" width="45.7109375" style="1" customWidth="1"/>
    <col min="2" max="2" width="14.7109375" style="10" customWidth="1"/>
    <col min="3" max="4" width="14.7109375" style="1" customWidth="1"/>
    <col min="5" max="8" width="9.7109375" style="1" customWidth="1"/>
    <col min="9" max="16384" width="9.140625" style="1"/>
  </cols>
  <sheetData>
    <row r="1" spans="1:4" s="12" customFormat="1" ht="20.25" customHeight="1" x14ac:dyDescent="0.2">
      <c r="A1" s="185" t="str">
        <f>' Master'!C5</f>
        <v>Key Staff Interviews</v>
      </c>
      <c r="B1" s="186"/>
      <c r="C1" s="128" t="s">
        <v>41</v>
      </c>
      <c r="D1" s="63">
        <f>' Master'!D5</f>
        <v>0.1</v>
      </c>
    </row>
    <row r="2" spans="1:4" s="13" customFormat="1" ht="24.95" customHeight="1" x14ac:dyDescent="0.2">
      <c r="A2" s="128" t="s">
        <v>114</v>
      </c>
      <c r="B2" s="128" t="s">
        <v>4</v>
      </c>
      <c r="C2" s="128" t="s">
        <v>2</v>
      </c>
      <c r="D2" s="128" t="str">
        <f>'Summary Total'!A5</f>
        <v>Gainwell</v>
      </c>
    </row>
    <row r="3" spans="1:4" x14ac:dyDescent="0.3">
      <c r="A3" s="5" t="s">
        <v>99</v>
      </c>
      <c r="B3" s="16">
        <v>9</v>
      </c>
      <c r="C3" s="16">
        <v>8</v>
      </c>
      <c r="D3" s="16">
        <v>10</v>
      </c>
    </row>
    <row r="4" spans="1:4" ht="16.5" customHeight="1" x14ac:dyDescent="0.3">
      <c r="A4" s="5" t="s">
        <v>100</v>
      </c>
      <c r="B4" s="16">
        <v>8</v>
      </c>
      <c r="C4" s="16">
        <v>9</v>
      </c>
      <c r="D4" s="16">
        <v>7</v>
      </c>
    </row>
    <row r="5" spans="1:4" x14ac:dyDescent="0.3">
      <c r="A5" s="5" t="s">
        <v>101</v>
      </c>
      <c r="B5" s="16">
        <v>10</v>
      </c>
      <c r="C5" s="16">
        <v>7</v>
      </c>
      <c r="D5" s="16">
        <v>8</v>
      </c>
    </row>
    <row r="6" spans="1:4" x14ac:dyDescent="0.3">
      <c r="A6" s="5" t="s">
        <v>102</v>
      </c>
      <c r="B6" s="16">
        <v>8</v>
      </c>
      <c r="C6" s="16">
        <v>8</v>
      </c>
      <c r="D6" s="16">
        <v>5</v>
      </c>
    </row>
    <row r="7" spans="1:4" x14ac:dyDescent="0.3">
      <c r="A7" s="5" t="s">
        <v>103</v>
      </c>
      <c r="B7" s="16">
        <v>8</v>
      </c>
      <c r="C7" s="16">
        <v>8</v>
      </c>
      <c r="D7" s="16">
        <v>5</v>
      </c>
    </row>
    <row r="8" spans="1:4" x14ac:dyDescent="0.3">
      <c r="A8" s="5" t="s">
        <v>104</v>
      </c>
      <c r="B8" s="16">
        <v>10</v>
      </c>
      <c r="C8" s="16">
        <v>9</v>
      </c>
      <c r="D8" s="16">
        <v>7</v>
      </c>
    </row>
    <row r="9" spans="1:4" ht="16.5" customHeight="1" x14ac:dyDescent="0.3">
      <c r="A9" s="5" t="s">
        <v>105</v>
      </c>
      <c r="B9" s="16">
        <v>7</v>
      </c>
      <c r="C9" s="16">
        <v>9</v>
      </c>
      <c r="D9" s="16">
        <v>7</v>
      </c>
    </row>
    <row r="10" spans="1:4" x14ac:dyDescent="0.3">
      <c r="A10" s="5" t="s">
        <v>106</v>
      </c>
      <c r="B10" s="16">
        <v>9</v>
      </c>
      <c r="C10" s="16">
        <v>7</v>
      </c>
      <c r="D10" s="16">
        <v>6</v>
      </c>
    </row>
    <row r="11" spans="1:4" x14ac:dyDescent="0.3">
      <c r="A11" s="5" t="s">
        <v>107</v>
      </c>
      <c r="B11" s="16">
        <v>8</v>
      </c>
      <c r="C11" s="16">
        <v>8</v>
      </c>
      <c r="D11" s="16">
        <v>9</v>
      </c>
    </row>
    <row r="12" spans="1:4" x14ac:dyDescent="0.3">
      <c r="A12" s="5" t="s">
        <v>108</v>
      </c>
      <c r="B12" s="16">
        <v>8</v>
      </c>
      <c r="C12" s="16">
        <v>8</v>
      </c>
      <c r="D12" s="16">
        <v>9</v>
      </c>
    </row>
    <row r="13" spans="1:4" x14ac:dyDescent="0.3">
      <c r="A13" s="5" t="s">
        <v>109</v>
      </c>
      <c r="B13" s="16">
        <v>8</v>
      </c>
      <c r="C13" s="16">
        <v>9</v>
      </c>
      <c r="D13" s="16">
        <v>9</v>
      </c>
    </row>
    <row r="14" spans="1:4" x14ac:dyDescent="0.3">
      <c r="A14" s="5" t="s">
        <v>110</v>
      </c>
      <c r="B14" s="16">
        <v>8</v>
      </c>
      <c r="C14" s="16">
        <v>9</v>
      </c>
      <c r="D14" s="16">
        <v>1</v>
      </c>
    </row>
    <row r="15" spans="1:4" ht="8.1" customHeight="1" x14ac:dyDescent="0.3">
      <c r="C15" s="10"/>
      <c r="D15" s="10"/>
    </row>
    <row r="16" spans="1:4" ht="18" customHeight="1" x14ac:dyDescent="0.3">
      <c r="A16" s="65" t="s">
        <v>125</v>
      </c>
      <c r="B16" s="88">
        <f>AVERAGE(B3:B14)</f>
        <v>8.4166666666666661</v>
      </c>
      <c r="C16" s="88">
        <f t="shared" ref="C16:D16" si="0">AVERAGE(C3:C14)</f>
        <v>8.25</v>
      </c>
      <c r="D16" s="88">
        <f t="shared" si="0"/>
        <v>6.916666666666667</v>
      </c>
    </row>
    <row r="17" spans="1:4" ht="8.1" customHeight="1" x14ac:dyDescent="0.3">
      <c r="C17" s="10"/>
      <c r="D17" s="10"/>
    </row>
    <row r="18" spans="1:4" ht="18" customHeight="1" x14ac:dyDescent="0.3">
      <c r="A18" s="65" t="s">
        <v>124</v>
      </c>
      <c r="B18" s="88">
        <f>B16*$D$1*10</f>
        <v>8.4166666666666661</v>
      </c>
      <c r="C18" s="88">
        <f t="shared" ref="C18:D18" si="1">C16*$D$1*10</f>
        <v>8.25</v>
      </c>
      <c r="D18" s="88">
        <f t="shared" si="1"/>
        <v>6.9166666666666679</v>
      </c>
    </row>
    <row r="19" spans="1:4" ht="24.95" customHeight="1" x14ac:dyDescent="0.3">
      <c r="A19" s="155"/>
      <c r="B19" s="155"/>
      <c r="C19" s="155"/>
      <c r="D19" s="155"/>
    </row>
    <row r="20" spans="1:4" ht="18" customHeight="1" x14ac:dyDescent="0.3">
      <c r="A20" s="65" t="s">
        <v>127</v>
      </c>
      <c r="B20" s="88">
        <f>'Oral Presentations'!C3</f>
        <v>8</v>
      </c>
      <c r="C20" s="88">
        <f>'Oral Presentations'!C4</f>
        <v>7</v>
      </c>
      <c r="D20" s="88">
        <f>'Oral Presentations'!C5</f>
        <v>6</v>
      </c>
    </row>
    <row r="21" spans="1:4" ht="18" customHeight="1" x14ac:dyDescent="0.3">
      <c r="A21" s="65" t="s">
        <v>128</v>
      </c>
      <c r="B21" s="88">
        <f>'Oral Presentations'!D3</f>
        <v>4</v>
      </c>
      <c r="C21" s="88">
        <f>'Oral Presentations'!D4</f>
        <v>3.5000000000000004</v>
      </c>
      <c r="D21" s="88">
        <f>'Oral Presentations'!D5</f>
        <v>3.0000000000000004</v>
      </c>
    </row>
  </sheetData>
  <mergeCells count="2">
    <mergeCell ref="A1:B1"/>
    <mergeCell ref="A19:D19"/>
  </mergeCells>
  <pageMargins left="0.7" right="0.7" top="0.75" bottom="0.75" header="0.3" footer="0.3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DFAFF-16DC-4861-BF6B-0248ED5F86E4}">
  <sheetPr>
    <pageSetUpPr fitToPage="1"/>
  </sheetPr>
  <dimension ref="A1:O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8" sqref="M8"/>
    </sheetView>
  </sheetViews>
  <sheetFormatPr defaultColWidth="9.140625" defaultRowHeight="16.5" x14ac:dyDescent="0.3"/>
  <cols>
    <col min="1" max="1" width="14.7109375" style="1" customWidth="1"/>
    <col min="2" max="2" width="9.7109375" style="10" hidden="1" customWidth="1"/>
    <col min="3" max="3" width="10.7109375" style="1" customWidth="1"/>
    <col min="4" max="4" width="11.7109375" style="1" customWidth="1"/>
    <col min="5" max="5" width="10.7109375" style="1" customWidth="1"/>
    <col min="6" max="6" width="11.7109375" style="1" customWidth="1"/>
    <col min="7" max="7" width="10.7109375" style="1" customWidth="1"/>
    <col min="8" max="8" width="11.7109375" style="1" customWidth="1"/>
    <col min="9" max="9" width="10.7109375" style="1" customWidth="1"/>
    <col min="10" max="10" width="11.7109375" style="1" customWidth="1"/>
    <col min="11" max="11" width="10.7109375" style="1" customWidth="1"/>
    <col min="12" max="13" width="11.7109375" style="1" customWidth="1"/>
    <col min="14" max="14" width="14" style="1" customWidth="1"/>
    <col min="15" max="15" width="14.140625" style="1" bestFit="1" customWidth="1"/>
    <col min="16" max="16384" width="9.140625" style="1"/>
  </cols>
  <sheetData>
    <row r="1" spans="1:15" s="12" customFormat="1" ht="20.100000000000001" customHeight="1" x14ac:dyDescent="0.2">
      <c r="A1" s="187" t="str">
        <f>' Master'!C6</f>
        <v>Understanding and Approach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O1" s="20"/>
    </row>
    <row r="2" spans="1:15" ht="20.100000000000001" customHeight="1" x14ac:dyDescent="0.3">
      <c r="A2" s="185" t="s">
        <v>129</v>
      </c>
      <c r="B2" s="186"/>
      <c r="C2" s="189" t="s">
        <v>130</v>
      </c>
      <c r="D2" s="85">
        <v>0.1</v>
      </c>
      <c r="E2" s="164" t="s">
        <v>131</v>
      </c>
      <c r="F2" s="83">
        <v>0.15</v>
      </c>
      <c r="G2" s="164" t="s">
        <v>132</v>
      </c>
      <c r="H2" s="83">
        <v>0.15</v>
      </c>
      <c r="I2" s="164" t="s">
        <v>133</v>
      </c>
      <c r="J2" s="83">
        <v>0.05</v>
      </c>
      <c r="K2" s="164" t="s">
        <v>134</v>
      </c>
      <c r="L2" s="85">
        <v>0.05</v>
      </c>
      <c r="M2" s="121"/>
    </row>
    <row r="3" spans="1:15" s="13" customFormat="1" ht="45" customHeight="1" x14ac:dyDescent="0.2">
      <c r="A3" s="128" t="s">
        <v>42</v>
      </c>
      <c r="B3" s="128" t="s">
        <v>120</v>
      </c>
      <c r="C3" s="190"/>
      <c r="D3" s="128" t="s">
        <v>135</v>
      </c>
      <c r="E3" s="165"/>
      <c r="F3" s="128" t="s">
        <v>136</v>
      </c>
      <c r="G3" s="165"/>
      <c r="H3" s="128" t="s">
        <v>137</v>
      </c>
      <c r="I3" s="165"/>
      <c r="J3" s="128" t="s">
        <v>138</v>
      </c>
      <c r="K3" s="165"/>
      <c r="L3" s="128" t="s">
        <v>139</v>
      </c>
      <c r="M3" s="128" t="s">
        <v>140</v>
      </c>
    </row>
    <row r="4" spans="1:15" x14ac:dyDescent="0.3">
      <c r="A4" s="49" t="s">
        <v>4</v>
      </c>
      <c r="B4" s="16">
        <f>_xlfn.RANK.AVG(M4,$M$4:$M$6)</f>
        <v>2</v>
      </c>
      <c r="C4" s="22">
        <f>'U&amp;A Requirement Detail'!E4</f>
        <v>3</v>
      </c>
      <c r="D4" s="22">
        <f>C4/4*D$2*100</f>
        <v>7.5000000000000009</v>
      </c>
      <c r="E4" s="22">
        <f>'U&amp;A Requirement Detail'!K4</f>
        <v>2.8</v>
      </c>
      <c r="F4" s="22">
        <f>E4/4*F$2*100</f>
        <v>10.5</v>
      </c>
      <c r="G4" s="22">
        <f>'U&amp;A Requirement Detail'!Q4</f>
        <v>3</v>
      </c>
      <c r="H4" s="22">
        <f>G4/4*H$2*100</f>
        <v>11.249999999999998</v>
      </c>
      <c r="I4" s="22">
        <f>'U&amp;A Requirement Detail'!U4</f>
        <v>3.3333333333333335</v>
      </c>
      <c r="J4" s="22">
        <f>I4/4*J$2*100</f>
        <v>4.166666666666667</v>
      </c>
      <c r="K4" s="22">
        <f>'U&amp;A Requirement Detail'!Y4</f>
        <v>2.6666666666666665</v>
      </c>
      <c r="L4" s="22">
        <f>K4/4*L$2*100</f>
        <v>3.3333333333333335</v>
      </c>
      <c r="M4" s="9">
        <f>SUM(D4,F4,H4,J4,L4)</f>
        <v>36.75</v>
      </c>
      <c r="N4" s="23"/>
    </row>
    <row r="5" spans="1:15" x14ac:dyDescent="0.3">
      <c r="A5" s="5" t="s">
        <v>2</v>
      </c>
      <c r="B5" s="16">
        <f>_xlfn.RANK.AVG(M5,$M$4:$M$6)</f>
        <v>1</v>
      </c>
      <c r="C5" s="22">
        <f>'U&amp;A Requirement Detail'!E5</f>
        <v>3</v>
      </c>
      <c r="D5" s="22">
        <f>C5/4*D$2*100</f>
        <v>7.5000000000000009</v>
      </c>
      <c r="E5" s="22">
        <f>'U&amp;A Requirement Detail'!K5</f>
        <v>3.2</v>
      </c>
      <c r="F5" s="22">
        <f>E5/4*F$2*100</f>
        <v>12</v>
      </c>
      <c r="G5" s="22">
        <f>'U&amp;A Requirement Detail'!Q5</f>
        <v>3.6</v>
      </c>
      <c r="H5" s="22">
        <f>G5/4*H$2*100</f>
        <v>13.5</v>
      </c>
      <c r="I5" s="22">
        <f>'U&amp;A Requirement Detail'!U5</f>
        <v>3.3333333333333335</v>
      </c>
      <c r="J5" s="22">
        <f>I5/4*J$2*100</f>
        <v>4.166666666666667</v>
      </c>
      <c r="K5" s="22">
        <f>'U&amp;A Requirement Detail'!Y5</f>
        <v>3.6666666666666665</v>
      </c>
      <c r="L5" s="22">
        <f>K5/4*L$2*100</f>
        <v>4.5833333333333339</v>
      </c>
      <c r="M5" s="25">
        <f t="shared" ref="M5:M6" si="0">SUM(D5,F5,H5,J5,L5)</f>
        <v>41.75</v>
      </c>
      <c r="N5" s="23"/>
    </row>
    <row r="6" spans="1:15" x14ac:dyDescent="0.3">
      <c r="A6" s="5" t="str">
        <f>'Summary Total'!A5</f>
        <v>Gainwell</v>
      </c>
      <c r="B6" s="16">
        <f>_xlfn.RANK.AVG(M6,$M$4:$M$6)</f>
        <v>3</v>
      </c>
      <c r="C6" s="22">
        <f>'U&amp;A Requirement Detail'!E6</f>
        <v>2.6666666666666665</v>
      </c>
      <c r="D6" s="22">
        <f>C6/4*D$2*100</f>
        <v>6.666666666666667</v>
      </c>
      <c r="E6" s="22">
        <f>'U&amp;A Requirement Detail'!K6</f>
        <v>2.8</v>
      </c>
      <c r="F6" s="22">
        <f>E6/4*F$2*100</f>
        <v>10.5</v>
      </c>
      <c r="G6" s="22">
        <f>'U&amp;A Requirement Detail'!Q6</f>
        <v>2.6</v>
      </c>
      <c r="H6" s="22">
        <f>G6/4*H$2*100</f>
        <v>9.75</v>
      </c>
      <c r="I6" s="22">
        <f>'U&amp;A Requirement Detail'!U6</f>
        <v>2.3333333333333335</v>
      </c>
      <c r="J6" s="22">
        <f>I6/4*J$2*100</f>
        <v>2.916666666666667</v>
      </c>
      <c r="K6" s="22">
        <f>'U&amp;A Requirement Detail'!Y6</f>
        <v>3</v>
      </c>
      <c r="L6" s="22">
        <f>K6/4*L$2*100</f>
        <v>3.7500000000000004</v>
      </c>
      <c r="M6" s="25">
        <f t="shared" si="0"/>
        <v>33.583333333333336</v>
      </c>
      <c r="N6" s="23"/>
    </row>
    <row r="7" spans="1:15" x14ac:dyDescent="0.3">
      <c r="N7" s="23"/>
    </row>
    <row r="8" spans="1:15" x14ac:dyDescent="0.3">
      <c r="N8" s="23"/>
    </row>
  </sheetData>
  <mergeCells count="7">
    <mergeCell ref="A2:B2"/>
    <mergeCell ref="A1:M1"/>
    <mergeCell ref="C2:C3"/>
    <mergeCell ref="E2:E3"/>
    <mergeCell ref="G2:G3"/>
    <mergeCell ref="I2:I3"/>
    <mergeCell ref="K2:K3"/>
  </mergeCells>
  <pageMargins left="0.7" right="0.7" top="0.75" bottom="0.75" header="0.3" footer="0.3"/>
  <pageSetup scale="88" orientation="landscape" r:id="rId1"/>
  <ignoredErrors>
    <ignoredError sqref="J4:J6 H4:H6 D4:D6 E4:E6 G4:G6 I4:I6 K4:K6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60B34-CF17-424F-8716-3F9F2FEF7352}">
  <sheetPr>
    <pageSetUpPr fitToPage="1"/>
  </sheetPr>
  <dimension ref="A1:Z8"/>
  <sheetViews>
    <sheetView zoomScale="95" zoomScaleNormal="95" workbookViewId="0">
      <pane xSplit="5" ySplit="1" topLeftCell="F3" activePane="bottomRight" state="frozen"/>
      <selection pane="topRight" activeCell="C1" sqref="C1"/>
      <selection pane="bottomLeft" activeCell="A3" sqref="A3"/>
      <selection pane="bottomRight" activeCell="K8" sqref="K8"/>
    </sheetView>
  </sheetViews>
  <sheetFormatPr defaultColWidth="9.140625" defaultRowHeight="16.5" x14ac:dyDescent="0.3"/>
  <cols>
    <col min="1" max="1" width="14.7109375" style="1" customWidth="1"/>
    <col min="2" max="4" width="10.7109375" style="1" customWidth="1"/>
    <col min="5" max="5" width="11.7109375" style="1" customWidth="1"/>
    <col min="6" max="10" width="10.7109375" style="1" customWidth="1"/>
    <col min="11" max="11" width="11.7109375" style="1" customWidth="1"/>
    <col min="12" max="16" width="10.7109375" style="1" customWidth="1"/>
    <col min="17" max="17" width="11.7109375" style="1" customWidth="1"/>
    <col min="18" max="20" width="10.7109375" style="1" customWidth="1"/>
    <col min="21" max="21" width="11.7109375" style="1" customWidth="1"/>
    <col min="22" max="24" width="10.7109375" style="1" customWidth="1"/>
    <col min="25" max="25" width="11.7109375" style="1" customWidth="1"/>
    <col min="26" max="43" width="10.7109375" style="1" customWidth="1"/>
    <col min="44" max="16384" width="9.140625" style="1"/>
  </cols>
  <sheetData>
    <row r="1" spans="1:26" ht="24" customHeight="1" x14ac:dyDescent="0.3">
      <c r="A1" s="192" t="s">
        <v>141</v>
      </c>
      <c r="B1" s="191" t="s">
        <v>142</v>
      </c>
      <c r="C1" s="191"/>
      <c r="D1" s="191"/>
      <c r="E1" s="191"/>
      <c r="F1" s="191" t="s">
        <v>143</v>
      </c>
      <c r="G1" s="191"/>
      <c r="H1" s="191"/>
      <c r="I1" s="191"/>
      <c r="J1" s="191"/>
      <c r="K1" s="191"/>
      <c r="L1" s="191" t="s">
        <v>144</v>
      </c>
      <c r="M1" s="191"/>
      <c r="N1" s="191"/>
      <c r="O1" s="191"/>
      <c r="P1" s="191"/>
      <c r="Q1" s="191"/>
      <c r="R1" s="191" t="s">
        <v>145</v>
      </c>
      <c r="S1" s="191"/>
      <c r="T1" s="191"/>
      <c r="U1" s="191"/>
      <c r="V1" s="191" t="s">
        <v>146</v>
      </c>
      <c r="W1" s="191"/>
      <c r="X1" s="191"/>
      <c r="Y1" s="191"/>
      <c r="Z1" s="191" t="s">
        <v>12</v>
      </c>
    </row>
    <row r="2" spans="1:26" ht="18" hidden="1" customHeight="1" x14ac:dyDescent="0.3">
      <c r="A2" s="192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91"/>
    </row>
    <row r="3" spans="1:26" ht="32.1" customHeight="1" x14ac:dyDescent="0.3">
      <c r="A3" s="192"/>
      <c r="B3" s="128" t="s">
        <v>147</v>
      </c>
      <c r="C3" s="128" t="s">
        <v>148</v>
      </c>
      <c r="D3" s="128" t="s">
        <v>149</v>
      </c>
      <c r="E3" s="128" t="s">
        <v>150</v>
      </c>
      <c r="F3" s="128" t="s">
        <v>151</v>
      </c>
      <c r="G3" s="128" t="s">
        <v>152</v>
      </c>
      <c r="H3" s="128" t="s">
        <v>153</v>
      </c>
      <c r="I3" s="128" t="s">
        <v>154</v>
      </c>
      <c r="J3" s="128" t="s">
        <v>155</v>
      </c>
      <c r="K3" s="128" t="s">
        <v>156</v>
      </c>
      <c r="L3" s="128" t="s">
        <v>157</v>
      </c>
      <c r="M3" s="128" t="s">
        <v>158</v>
      </c>
      <c r="N3" s="128" t="s">
        <v>159</v>
      </c>
      <c r="O3" s="128" t="s">
        <v>160</v>
      </c>
      <c r="P3" s="128" t="s">
        <v>161</v>
      </c>
      <c r="Q3" s="128" t="s">
        <v>162</v>
      </c>
      <c r="R3" s="128" t="s">
        <v>163</v>
      </c>
      <c r="S3" s="128" t="s">
        <v>164</v>
      </c>
      <c r="T3" s="128" t="s">
        <v>165</v>
      </c>
      <c r="U3" s="128" t="s">
        <v>166</v>
      </c>
      <c r="V3" s="128" t="s">
        <v>167</v>
      </c>
      <c r="W3" s="128" t="s">
        <v>168</v>
      </c>
      <c r="X3" s="128" t="s">
        <v>169</v>
      </c>
      <c r="Y3" s="128" t="s">
        <v>170</v>
      </c>
      <c r="Z3" s="191"/>
    </row>
    <row r="4" spans="1:26" ht="21" customHeight="1" x14ac:dyDescent="0.3">
      <c r="A4" s="49" t="s">
        <v>4</v>
      </c>
      <c r="B4" s="110">
        <v>3</v>
      </c>
      <c r="C4" s="110">
        <v>3</v>
      </c>
      <c r="D4" s="110">
        <v>3</v>
      </c>
      <c r="E4" s="112">
        <f t="shared" ref="E4" si="0">AVERAGE(B4:D4)</f>
        <v>3</v>
      </c>
      <c r="F4" s="110">
        <v>3</v>
      </c>
      <c r="G4" s="110">
        <v>3</v>
      </c>
      <c r="H4" s="110">
        <v>3</v>
      </c>
      <c r="I4" s="110">
        <v>3</v>
      </c>
      <c r="J4" s="110">
        <v>2</v>
      </c>
      <c r="K4" s="112">
        <f t="shared" ref="K4" si="1">AVERAGE(F4:J4)</f>
        <v>2.8</v>
      </c>
      <c r="L4" s="110">
        <v>3</v>
      </c>
      <c r="M4" s="110">
        <v>3</v>
      </c>
      <c r="N4" s="110">
        <v>3</v>
      </c>
      <c r="O4" s="110">
        <v>3</v>
      </c>
      <c r="P4" s="110">
        <v>3</v>
      </c>
      <c r="Q4" s="112">
        <f t="shared" ref="Q4" si="2">AVERAGE(L4:P4)</f>
        <v>3</v>
      </c>
      <c r="R4" s="110">
        <v>4</v>
      </c>
      <c r="S4" s="110">
        <v>3</v>
      </c>
      <c r="T4" s="110">
        <v>3</v>
      </c>
      <c r="U4" s="112">
        <f>AVERAGE(R4:T4)</f>
        <v>3.3333333333333335</v>
      </c>
      <c r="V4" s="110">
        <v>3</v>
      </c>
      <c r="W4" s="110">
        <v>3</v>
      </c>
      <c r="X4" s="110">
        <v>2</v>
      </c>
      <c r="Y4" s="112">
        <f t="shared" ref="Y4" si="3">AVERAGE(V4:X4)</f>
        <v>2.6666666666666665</v>
      </c>
      <c r="Z4" s="112">
        <f t="shared" ref="Z4" si="4">SUM(E4,K4,Q4,U4,Y4)</f>
        <v>14.8</v>
      </c>
    </row>
    <row r="5" spans="1:26" ht="21" customHeight="1" x14ac:dyDescent="0.3">
      <c r="A5" s="5" t="s">
        <v>2</v>
      </c>
      <c r="B5" s="110">
        <v>3</v>
      </c>
      <c r="C5" s="110">
        <v>3</v>
      </c>
      <c r="D5" s="110">
        <v>3</v>
      </c>
      <c r="E5" s="112">
        <f t="shared" ref="E5" si="5">AVERAGE(B5:D5)</f>
        <v>3</v>
      </c>
      <c r="F5" s="110">
        <v>4</v>
      </c>
      <c r="G5" s="110">
        <v>4</v>
      </c>
      <c r="H5" s="110">
        <v>3</v>
      </c>
      <c r="I5" s="110">
        <v>3</v>
      </c>
      <c r="J5" s="110">
        <v>2</v>
      </c>
      <c r="K5" s="112">
        <f>AVERAGE(F5:J5)</f>
        <v>3.2</v>
      </c>
      <c r="L5" s="110">
        <v>4</v>
      </c>
      <c r="M5" s="110">
        <v>4</v>
      </c>
      <c r="N5" s="110">
        <v>4</v>
      </c>
      <c r="O5" s="110">
        <v>3</v>
      </c>
      <c r="P5" s="110">
        <v>3</v>
      </c>
      <c r="Q5" s="112">
        <f>AVERAGE(L5:P5)</f>
        <v>3.6</v>
      </c>
      <c r="R5" s="110">
        <v>4</v>
      </c>
      <c r="S5" s="110">
        <v>3</v>
      </c>
      <c r="T5" s="110">
        <v>3</v>
      </c>
      <c r="U5" s="112">
        <f>AVERAGE(R5:T5)</f>
        <v>3.3333333333333335</v>
      </c>
      <c r="V5" s="110">
        <v>3</v>
      </c>
      <c r="W5" s="110">
        <v>4</v>
      </c>
      <c r="X5" s="110">
        <v>4</v>
      </c>
      <c r="Y5" s="112">
        <f t="shared" ref="Y5" si="6">AVERAGE(V5:X5)</f>
        <v>3.6666666666666665</v>
      </c>
      <c r="Z5" s="112">
        <f>SUM(E5,K5,Q5,U5,Y5)</f>
        <v>16.8</v>
      </c>
    </row>
    <row r="6" spans="1:26" ht="21" customHeight="1" x14ac:dyDescent="0.3">
      <c r="A6" s="5" t="str">
        <f>'Summary Total'!A5</f>
        <v>Gainwell</v>
      </c>
      <c r="B6" s="110">
        <v>3</v>
      </c>
      <c r="C6" s="110">
        <v>2</v>
      </c>
      <c r="D6" s="110">
        <v>3</v>
      </c>
      <c r="E6" s="112">
        <f t="shared" ref="E6" si="7">AVERAGE(B6:D6)</f>
        <v>2.6666666666666665</v>
      </c>
      <c r="F6" s="110">
        <v>3</v>
      </c>
      <c r="G6" s="110">
        <v>3</v>
      </c>
      <c r="H6" s="110">
        <v>3</v>
      </c>
      <c r="I6" s="110">
        <v>3</v>
      </c>
      <c r="J6" s="110">
        <v>2</v>
      </c>
      <c r="K6" s="112">
        <f t="shared" ref="K6" si="8">AVERAGE(F6:J6)</f>
        <v>2.8</v>
      </c>
      <c r="L6" s="110">
        <v>3</v>
      </c>
      <c r="M6" s="110">
        <v>2</v>
      </c>
      <c r="N6" s="110">
        <v>2</v>
      </c>
      <c r="O6" s="110">
        <v>3</v>
      </c>
      <c r="P6" s="110">
        <v>3</v>
      </c>
      <c r="Q6" s="112">
        <f t="shared" ref="Q6" si="9">AVERAGE(L6:P6)</f>
        <v>2.6</v>
      </c>
      <c r="R6" s="110">
        <v>3</v>
      </c>
      <c r="S6" s="110">
        <v>2</v>
      </c>
      <c r="T6" s="110">
        <v>2</v>
      </c>
      <c r="U6" s="112">
        <f>AVERAGE(R6:T6)</f>
        <v>2.3333333333333335</v>
      </c>
      <c r="V6" s="110">
        <v>3</v>
      </c>
      <c r="W6" s="110">
        <v>3</v>
      </c>
      <c r="X6" s="110">
        <v>3</v>
      </c>
      <c r="Y6" s="112">
        <f t="shared" ref="Y6" si="10">AVERAGE(V6:X6)</f>
        <v>3</v>
      </c>
      <c r="Z6" s="112">
        <f t="shared" ref="Z6" si="11">SUM(E6,K6,Q6,U6,Y6)</f>
        <v>13.4</v>
      </c>
    </row>
    <row r="7" spans="1:26" x14ac:dyDescent="0.3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</row>
    <row r="8" spans="1:26" x14ac:dyDescent="0.3">
      <c r="L8" s="10"/>
      <c r="M8" s="10"/>
    </row>
  </sheetData>
  <mergeCells count="7">
    <mergeCell ref="Z1:Z3"/>
    <mergeCell ref="V1:Y1"/>
    <mergeCell ref="A1:A3"/>
    <mergeCell ref="B1:E1"/>
    <mergeCell ref="F1:K1"/>
    <mergeCell ref="L1:Q1"/>
    <mergeCell ref="R1:U1"/>
  </mergeCells>
  <pageMargins left="0.7" right="0.7" top="0.75" bottom="0.75" header="0.3" footer="0.3"/>
  <pageSetup paperSize="3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4DD98-351A-4166-8444-2DF0BC565DDB}">
  <dimension ref="A1:B6"/>
  <sheetViews>
    <sheetView workbookViewId="0">
      <selection activeCell="A2" sqref="A2:A6"/>
    </sheetView>
  </sheetViews>
  <sheetFormatPr defaultRowHeight="15" x14ac:dyDescent="0.25"/>
  <cols>
    <col min="1" max="1" width="21.7109375" customWidth="1"/>
    <col min="2" max="2" width="80.5703125" customWidth="1"/>
  </cols>
  <sheetData>
    <row r="1" spans="1:2" x14ac:dyDescent="0.25">
      <c r="A1" s="86" t="s">
        <v>13</v>
      </c>
      <c r="B1" s="86"/>
    </row>
    <row r="2" spans="1:2" ht="16.5" x14ac:dyDescent="0.3">
      <c r="A2" s="99" t="s">
        <v>14</v>
      </c>
      <c r="B2" s="1" t="s">
        <v>15</v>
      </c>
    </row>
    <row r="3" spans="1:2" ht="33" x14ac:dyDescent="0.3">
      <c r="A3" s="99" t="s">
        <v>16</v>
      </c>
      <c r="B3" s="14" t="s">
        <v>17</v>
      </c>
    </row>
    <row r="4" spans="1:2" ht="49.5" x14ac:dyDescent="0.3">
      <c r="A4" s="99" t="s">
        <v>18</v>
      </c>
      <c r="B4" s="14" t="s">
        <v>19</v>
      </c>
    </row>
    <row r="5" spans="1:2" ht="214.5" x14ac:dyDescent="0.3">
      <c r="A5" s="99" t="s">
        <v>20</v>
      </c>
      <c r="B5" s="14" t="s">
        <v>21</v>
      </c>
    </row>
    <row r="6" spans="1:2" ht="66" x14ac:dyDescent="0.3">
      <c r="A6" s="99" t="s">
        <v>22</v>
      </c>
      <c r="B6" s="14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7" sqref="E7"/>
    </sheetView>
  </sheetViews>
  <sheetFormatPr defaultColWidth="9.140625" defaultRowHeight="16.5" x14ac:dyDescent="0.3"/>
  <cols>
    <col min="1" max="1" width="18.7109375" style="1" customWidth="1"/>
    <col min="2" max="4" width="16.7109375" style="10" customWidth="1"/>
    <col min="5" max="5" width="9.140625" style="10"/>
    <col min="6" max="16384" width="9.140625" style="1"/>
  </cols>
  <sheetData>
    <row r="2" spans="1:7" s="8" customFormat="1" ht="39.950000000000003" customHeight="1" x14ac:dyDescent="0.3">
      <c r="A2" s="128" t="s">
        <v>0</v>
      </c>
      <c r="B2" s="128" t="s">
        <v>24</v>
      </c>
      <c r="C2" s="128" t="s">
        <v>25</v>
      </c>
      <c r="D2" s="128" t="s">
        <v>26</v>
      </c>
      <c r="E2" s="128" t="s">
        <v>27</v>
      </c>
    </row>
    <row r="3" spans="1:7" x14ac:dyDescent="0.3">
      <c r="A3" s="5" t="str">
        <f>' Master'!A4</f>
        <v>Accenture</v>
      </c>
      <c r="B3" s="9">
        <f>'Business Score'!H4</f>
        <v>65.124920150642311</v>
      </c>
      <c r="C3" s="9">
        <f>'Price Score'!I3</f>
        <v>24.929007222287055</v>
      </c>
      <c r="D3" s="9">
        <f>B3+C3</f>
        <v>90.053927372929365</v>
      </c>
      <c r="E3" s="16">
        <f>_xlfn.RANK.AVG(D3,$D$3:$D$5)</f>
        <v>2</v>
      </c>
      <c r="G3" s="67"/>
    </row>
    <row r="4" spans="1:7" x14ac:dyDescent="0.3">
      <c r="A4" s="5" t="str">
        <f>' Master'!A3</f>
        <v>Deloitte</v>
      </c>
      <c r="B4" s="9">
        <f>'Business Score'!H5</f>
        <v>70</v>
      </c>
      <c r="C4" s="9">
        <f>'Price Score'!I4</f>
        <v>21.442940024173279</v>
      </c>
      <c r="D4" s="9">
        <f t="shared" ref="D4" si="0">B4+C4</f>
        <v>91.442940024173282</v>
      </c>
      <c r="E4" s="16">
        <f>_xlfn.RANK.AVG(D4,$D$3:$D$5)</f>
        <v>1</v>
      </c>
      <c r="G4" s="67"/>
    </row>
    <row r="5" spans="1:7" x14ac:dyDescent="0.3">
      <c r="A5" s="5" t="str">
        <f>' Master'!A5</f>
        <v>Gainwell</v>
      </c>
      <c r="B5" s="9">
        <f>'Business Score'!H6</f>
        <v>57.842889099740795</v>
      </c>
      <c r="C5" s="9">
        <f>'Price Score'!I5</f>
        <v>29.241316502514152</v>
      </c>
      <c r="D5" s="9">
        <f t="shared" ref="D5" si="1">B5+C5</f>
        <v>87.08420560225494</v>
      </c>
      <c r="E5" s="16">
        <f>_xlfn.RANK.AVG(D5,$D$3:$D$5)</f>
        <v>3</v>
      </c>
    </row>
  </sheetData>
  <phoneticPr fontId="1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17" sqref="I17"/>
    </sheetView>
  </sheetViews>
  <sheetFormatPr defaultColWidth="9.140625" defaultRowHeight="16.5" x14ac:dyDescent="0.3"/>
  <cols>
    <col min="1" max="1" width="3.7109375" style="11" customWidth="1"/>
    <col min="2" max="2" width="42.7109375" style="1" customWidth="1"/>
    <col min="3" max="3" width="14.7109375" style="1" customWidth="1"/>
    <col min="4" max="5" width="11.7109375" style="1" customWidth="1"/>
    <col min="6" max="6" width="2" style="1" customWidth="1"/>
    <col min="7" max="9" width="12.7109375" style="1" customWidth="1"/>
    <col min="10" max="12" width="9.140625" style="1" customWidth="1"/>
    <col min="13" max="16384" width="9.140625" style="1"/>
  </cols>
  <sheetData>
    <row r="1" spans="1:12" ht="47.1" customHeight="1" x14ac:dyDescent="0.3">
      <c r="A1" s="128"/>
      <c r="B1" s="128" t="s">
        <v>28</v>
      </c>
      <c r="C1" s="128" t="s">
        <v>29</v>
      </c>
      <c r="D1" s="128" t="s">
        <v>30</v>
      </c>
      <c r="E1" s="128" t="s">
        <v>31</v>
      </c>
      <c r="F1" s="122"/>
      <c r="G1" s="128" t="str">
        <f>' Master'!A4</f>
        <v>Accenture</v>
      </c>
      <c r="H1" s="128" t="str">
        <f>' Master'!A3</f>
        <v>Deloitte</v>
      </c>
      <c r="I1" s="128" t="str">
        <f>' Master'!A5</f>
        <v>Gainwell</v>
      </c>
    </row>
    <row r="2" spans="1:12" s="29" customFormat="1" ht="18" customHeight="1" x14ac:dyDescent="0.2">
      <c r="A2" s="30"/>
      <c r="B2" s="115" t="s">
        <v>32</v>
      </c>
      <c r="C2" s="31"/>
      <c r="D2" s="32">
        <f>SUM(C3:C6)</f>
        <v>0.7</v>
      </c>
      <c r="E2" s="36"/>
      <c r="F2" s="117"/>
      <c r="G2" s="137"/>
      <c r="H2" s="138"/>
      <c r="I2" s="139"/>
    </row>
    <row r="3" spans="1:12" ht="16.5" customHeight="1" x14ac:dyDescent="0.3">
      <c r="A3" s="26">
        <v>1</v>
      </c>
      <c r="B3" s="81" t="str">
        <f>' Master'!C3</f>
        <v>Staff Qualifications and Experience</v>
      </c>
      <c r="C3" s="82">
        <f>' Master'!D3</f>
        <v>0.05</v>
      </c>
      <c r="D3" s="27"/>
      <c r="E3" s="34">
        <v>5</v>
      </c>
      <c r="F3" s="148"/>
      <c r="G3" s="35">
        <f>'Business Score'!B4</f>
        <v>4.6805555555555562</v>
      </c>
      <c r="H3" s="35">
        <f>'Business Score'!B5</f>
        <v>4.3780833333333344</v>
      </c>
      <c r="I3" s="35">
        <f>'Business Score'!B6</f>
        <v>4.3262222222222233</v>
      </c>
    </row>
    <row r="4" spans="1:12" ht="16.5" customHeight="1" x14ac:dyDescent="0.3">
      <c r="A4" s="26">
        <v>2</v>
      </c>
      <c r="B4" s="81" t="str">
        <f>' Master'!C4</f>
        <v>Oral Presentations</v>
      </c>
      <c r="C4" s="82">
        <f>' Master'!D4</f>
        <v>0.05</v>
      </c>
      <c r="D4" s="27"/>
      <c r="E4" s="34">
        <v>5</v>
      </c>
      <c r="F4" s="148"/>
      <c r="G4" s="35">
        <f>'Business Score'!C4</f>
        <v>4</v>
      </c>
      <c r="H4" s="35">
        <f>'Business Score'!C5</f>
        <v>3.5000000000000004</v>
      </c>
      <c r="I4" s="35">
        <f>'Business Score'!C6</f>
        <v>3.0000000000000004</v>
      </c>
    </row>
    <row r="5" spans="1:12" ht="16.5" customHeight="1" x14ac:dyDescent="0.3">
      <c r="A5" s="26">
        <v>3</v>
      </c>
      <c r="B5" s="81" t="str">
        <f>' Master'!C5</f>
        <v>Key Staff Interviews</v>
      </c>
      <c r="C5" s="82">
        <f>' Master'!D5</f>
        <v>0.1</v>
      </c>
      <c r="D5" s="27"/>
      <c r="E5" s="34">
        <v>10</v>
      </c>
      <c r="F5" s="148"/>
      <c r="G5" s="35">
        <f>'Business Score'!D4</f>
        <v>8.4166666666666661</v>
      </c>
      <c r="H5" s="35">
        <f>'Business Score'!D5</f>
        <v>8.25</v>
      </c>
      <c r="I5" s="35">
        <f>'Business Score'!D6</f>
        <v>6.9166666666666679</v>
      </c>
    </row>
    <row r="6" spans="1:12" ht="16.5" customHeight="1" x14ac:dyDescent="0.3">
      <c r="A6" s="26">
        <v>4</v>
      </c>
      <c r="B6" s="81" t="str">
        <f>' Master'!C6</f>
        <v>Understanding and Approach</v>
      </c>
      <c r="C6" s="82">
        <f>' Master'!D6</f>
        <v>0.5</v>
      </c>
      <c r="D6" s="27"/>
      <c r="E6" s="34">
        <v>50</v>
      </c>
      <c r="F6" s="148"/>
      <c r="G6" s="35">
        <f>'Business Score'!E4</f>
        <v>36.75</v>
      </c>
      <c r="H6" s="35">
        <f>'Business Score'!E5</f>
        <v>41.75</v>
      </c>
      <c r="I6" s="35">
        <f>'Business Score'!E6</f>
        <v>33.583333333333336</v>
      </c>
    </row>
    <row r="7" spans="1:12" s="29" customFormat="1" ht="18" customHeight="1" x14ac:dyDescent="0.25">
      <c r="A7" s="30"/>
      <c r="B7" s="141" t="s">
        <v>33</v>
      </c>
      <c r="C7" s="141"/>
      <c r="D7" s="37"/>
      <c r="E7" s="38">
        <f>SUM(E3:E6)</f>
        <v>70</v>
      </c>
      <c r="F7" s="148"/>
      <c r="G7" s="39">
        <f t="shared" ref="G7:I7" si="0">SUM(G3:G6)</f>
        <v>53.847222222222221</v>
      </c>
      <c r="H7" s="39">
        <f t="shared" si="0"/>
        <v>57.878083333333336</v>
      </c>
      <c r="I7" s="39">
        <f t="shared" si="0"/>
        <v>47.826222222222228</v>
      </c>
      <c r="K7" s="42"/>
    </row>
    <row r="8" spans="1:12" ht="9" customHeight="1" x14ac:dyDescent="0.3">
      <c r="A8" s="135"/>
      <c r="B8" s="136"/>
      <c r="C8" s="136"/>
      <c r="D8" s="136"/>
      <c r="E8" s="142"/>
      <c r="F8" s="148"/>
      <c r="G8" s="135"/>
      <c r="H8" s="136"/>
      <c r="I8" s="136"/>
    </row>
    <row r="9" spans="1:12" ht="18" customHeight="1" x14ac:dyDescent="0.3">
      <c r="A9" s="30"/>
      <c r="B9" s="141" t="s">
        <v>34</v>
      </c>
      <c r="C9" s="141"/>
      <c r="D9" s="37"/>
      <c r="E9" s="38">
        <f>E7</f>
        <v>70</v>
      </c>
      <c r="F9" s="148"/>
      <c r="G9" s="39">
        <f>'Business Score'!H4</f>
        <v>65.124920150642311</v>
      </c>
      <c r="H9" s="39">
        <f>'Business Score'!H5</f>
        <v>70</v>
      </c>
      <c r="I9" s="39">
        <f>'Business Score'!H6</f>
        <v>57.842889099740795</v>
      </c>
      <c r="K9" s="42"/>
      <c r="L9" s="29"/>
    </row>
    <row r="10" spans="1:12" ht="9" customHeight="1" x14ac:dyDescent="0.3">
      <c r="A10" s="143"/>
      <c r="B10" s="144"/>
      <c r="C10" s="144"/>
      <c r="D10" s="144"/>
      <c r="E10" s="145"/>
      <c r="F10" s="148"/>
      <c r="G10" s="146"/>
      <c r="H10" s="147"/>
      <c r="I10" s="147"/>
    </row>
    <row r="11" spans="1:12" s="29" customFormat="1" ht="18" customHeight="1" x14ac:dyDescent="0.25">
      <c r="A11" s="30"/>
      <c r="B11" s="115" t="s">
        <v>35</v>
      </c>
      <c r="C11" s="31"/>
      <c r="D11" s="32">
        <f>C14</f>
        <v>0.3</v>
      </c>
      <c r="E11" s="33"/>
      <c r="F11" s="148"/>
      <c r="G11" s="137"/>
      <c r="H11" s="138"/>
      <c r="I11" s="139"/>
    </row>
    <row r="12" spans="1:12" s="29" customFormat="1" ht="30" customHeight="1" x14ac:dyDescent="0.25">
      <c r="A12" s="30"/>
      <c r="B12" s="95" t="s">
        <v>36</v>
      </c>
      <c r="C12" s="27">
        <v>0.25</v>
      </c>
      <c r="D12" s="27"/>
      <c r="E12" s="28">
        <v>25</v>
      </c>
      <c r="F12" s="148"/>
      <c r="G12" s="61">
        <f>'Price Score'!D3</f>
        <v>19.929007222287055</v>
      </c>
      <c r="H12" s="61">
        <f>'Price Score'!D4</f>
        <v>19.542986867561439</v>
      </c>
      <c r="I12" s="61">
        <f>'Price Score'!D5</f>
        <v>25</v>
      </c>
    </row>
    <row r="13" spans="1:12" ht="16.5" customHeight="1" x14ac:dyDescent="0.3">
      <c r="A13" s="26"/>
      <c r="B13" s="95" t="s">
        <v>37</v>
      </c>
      <c r="C13" s="27">
        <v>0.05</v>
      </c>
      <c r="D13" s="27"/>
      <c r="E13" s="28">
        <v>5</v>
      </c>
      <c r="F13" s="148"/>
      <c r="G13" s="61">
        <f>'Price Score'!G3</f>
        <v>5</v>
      </c>
      <c r="H13" s="61">
        <f>'Price Score'!G4</f>
        <v>1.8999531566118388</v>
      </c>
      <c r="I13" s="61">
        <f>'Price Score'!G5</f>
        <v>4.2413165025141506</v>
      </c>
    </row>
    <row r="14" spans="1:12" s="29" customFormat="1" x14ac:dyDescent="0.25">
      <c r="A14" s="30">
        <v>5</v>
      </c>
      <c r="B14" s="116" t="s">
        <v>38</v>
      </c>
      <c r="C14" s="27">
        <v>0.3</v>
      </c>
      <c r="D14" s="37"/>
      <c r="E14" s="38">
        <f>SUM(E12:E13)</f>
        <v>30</v>
      </c>
      <c r="F14" s="148"/>
      <c r="G14" s="39">
        <f>SUM(G12:G13)</f>
        <v>24.929007222287055</v>
      </c>
      <c r="H14" s="39">
        <f t="shared" ref="H14:I14" si="1">SUM(H12:H13)</f>
        <v>21.442940024173279</v>
      </c>
      <c r="I14" s="39">
        <f t="shared" si="1"/>
        <v>29.241316502514152</v>
      </c>
      <c r="K14" s="42"/>
    </row>
    <row r="15" spans="1:12" s="29" customFormat="1" ht="19.5" customHeight="1" x14ac:dyDescent="0.25">
      <c r="A15" s="30"/>
      <c r="B15" s="140" t="s">
        <v>39</v>
      </c>
      <c r="C15" s="140"/>
      <c r="D15" s="32">
        <f>SUM(D2,D11)</f>
        <v>1</v>
      </c>
      <c r="E15" s="40">
        <f>SUM(E7,E14)</f>
        <v>100</v>
      </c>
      <c r="F15" s="149"/>
      <c r="G15" s="41">
        <f t="shared" ref="G15:I15" si="2">SUM(G9,G14)</f>
        <v>90.053927372929365</v>
      </c>
      <c r="H15" s="41">
        <f t="shared" si="2"/>
        <v>91.442940024173282</v>
      </c>
      <c r="I15" s="41">
        <f t="shared" si="2"/>
        <v>87.08420560225494</v>
      </c>
      <c r="K15" s="42"/>
    </row>
    <row r="16" spans="1:12" x14ac:dyDescent="0.3">
      <c r="K16" s="42"/>
    </row>
    <row r="17" spans="2:11" x14ac:dyDescent="0.3">
      <c r="K17" s="68"/>
    </row>
    <row r="19" spans="2:11" x14ac:dyDescent="0.3">
      <c r="B19" s="12"/>
    </row>
  </sheetData>
  <mergeCells count="10">
    <mergeCell ref="G8:I8"/>
    <mergeCell ref="G2:I2"/>
    <mergeCell ref="B15:C15"/>
    <mergeCell ref="B7:C7"/>
    <mergeCell ref="B9:C9"/>
    <mergeCell ref="A8:E8"/>
    <mergeCell ref="A10:E10"/>
    <mergeCell ref="G11:I11"/>
    <mergeCell ref="G10:I10"/>
    <mergeCell ref="F3:F15"/>
  </mergeCells>
  <pageMargins left="0.5" right="0.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7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L11" sqref="L11"/>
    </sheetView>
  </sheetViews>
  <sheetFormatPr defaultColWidth="9.140625" defaultRowHeight="16.5" x14ac:dyDescent="0.3"/>
  <cols>
    <col min="1" max="2" width="18.7109375" style="1" customWidth="1"/>
    <col min="3" max="3" width="2" style="1" customWidth="1"/>
    <col min="4" max="4" width="14.7109375" style="1" customWidth="1"/>
    <col min="5" max="5" width="2" style="1" customWidth="1"/>
    <col min="6" max="7" width="14.7109375" style="1" customWidth="1"/>
    <col min="8" max="8" width="2" style="1" customWidth="1"/>
    <col min="9" max="9" width="14.7109375" style="1" customWidth="1"/>
    <col min="10" max="10" width="2" style="1" customWidth="1"/>
    <col min="11" max="12" width="14.7109375" style="1" customWidth="1"/>
    <col min="13" max="16384" width="9.140625" style="1"/>
  </cols>
  <sheetData>
    <row r="1" spans="1:12" s="12" customFormat="1" ht="32.1" customHeight="1" x14ac:dyDescent="0.2">
      <c r="A1" s="128" t="s">
        <v>40</v>
      </c>
      <c r="B1" s="133" t="s">
        <v>41</v>
      </c>
      <c r="C1" s="134"/>
      <c r="D1" s="85">
        <v>0.25</v>
      </c>
      <c r="E1" s="128"/>
      <c r="F1" s="85"/>
      <c r="G1" s="85">
        <v>0.05</v>
      </c>
      <c r="H1" s="128"/>
      <c r="I1" s="85">
        <f>SUM(D1,G1)</f>
        <v>0.3</v>
      </c>
      <c r="J1" s="128"/>
      <c r="K1" s="128"/>
      <c r="L1" s="128"/>
    </row>
    <row r="2" spans="1:12" s="12" customFormat="1" ht="57" x14ac:dyDescent="0.2">
      <c r="A2" s="128" t="s">
        <v>42</v>
      </c>
      <c r="B2" s="128" t="s">
        <v>43</v>
      </c>
      <c r="C2" s="128"/>
      <c r="D2" s="128" t="s">
        <v>44</v>
      </c>
      <c r="E2" s="128"/>
      <c r="F2" s="128" t="s">
        <v>45</v>
      </c>
      <c r="G2" s="128" t="s">
        <v>46</v>
      </c>
      <c r="H2" s="128"/>
      <c r="I2" s="128" t="s">
        <v>47</v>
      </c>
      <c r="J2" s="128"/>
      <c r="K2" s="128" t="s">
        <v>48</v>
      </c>
      <c r="L2" s="128" t="s">
        <v>49</v>
      </c>
    </row>
    <row r="3" spans="1:12" x14ac:dyDescent="0.3">
      <c r="A3" s="78" t="str">
        <f>' Master'!A4</f>
        <v>Accenture</v>
      </c>
      <c r="B3" s="79">
        <f>'Price Details'!B13</f>
        <v>312747006.45091504</v>
      </c>
      <c r="C3" s="150"/>
      <c r="D3" s="9">
        <f>$B$8/B3*($D$1*100)</f>
        <v>19.929007222287055</v>
      </c>
      <c r="E3" s="150"/>
      <c r="F3" s="79">
        <f>'Price Details'!B23</f>
        <v>165808</v>
      </c>
      <c r="G3" s="9">
        <f>$F$8/F3*($G$1*100)</f>
        <v>5</v>
      </c>
      <c r="H3" s="118"/>
      <c r="I3" s="9">
        <f>SUM(D3,G3)</f>
        <v>24.929007222287055</v>
      </c>
      <c r="J3" s="118"/>
      <c r="K3" s="51">
        <f>B3/6</f>
        <v>52124501.075152509</v>
      </c>
      <c r="L3" s="51">
        <f>B3/72</f>
        <v>4343708.4229293754</v>
      </c>
    </row>
    <row r="4" spans="1:12" x14ac:dyDescent="0.3">
      <c r="A4" s="78" t="str">
        <f>' Master'!A3</f>
        <v>Deloitte</v>
      </c>
      <c r="B4" s="79">
        <f>'Price Details'!C13</f>
        <v>318924501.79426736</v>
      </c>
      <c r="C4" s="151"/>
      <c r="D4" s="9">
        <f>$B$8/B4*($D$1*100)</f>
        <v>19.542986867561439</v>
      </c>
      <c r="E4" s="151"/>
      <c r="F4" s="79">
        <f>'Price Details'!C23</f>
        <v>436347.6</v>
      </c>
      <c r="G4" s="9">
        <f>$F$8/F4*($G$1*100)</f>
        <v>1.8999531566118388</v>
      </c>
      <c r="H4" s="119"/>
      <c r="I4" s="9">
        <f t="shared" ref="I4:I5" si="0">SUM(D4,G4)</f>
        <v>21.442940024173279</v>
      </c>
      <c r="J4" s="119"/>
      <c r="K4" s="51">
        <f t="shared" ref="K4:K5" si="1">B4/6</f>
        <v>53154083.632377893</v>
      </c>
      <c r="L4" s="51">
        <f>B4/72</f>
        <v>4429506.9693648247</v>
      </c>
    </row>
    <row r="5" spans="1:12" x14ac:dyDescent="0.3">
      <c r="A5" s="78" t="str">
        <f>' Master'!A5</f>
        <v>Gainwell</v>
      </c>
      <c r="B5" s="79">
        <f>'Price Details'!D13</f>
        <v>249309494.01235768</v>
      </c>
      <c r="C5" s="151"/>
      <c r="D5" s="9">
        <f>$B$8/B5*($D$1*100)</f>
        <v>25</v>
      </c>
      <c r="E5" s="151"/>
      <c r="F5" s="79">
        <f>'Price Details'!D23</f>
        <v>195467.61</v>
      </c>
      <c r="G5" s="9">
        <f>$F$8/F5*($G$1*100)</f>
        <v>4.2413165025141506</v>
      </c>
      <c r="H5" s="119"/>
      <c r="I5" s="9">
        <f t="shared" si="0"/>
        <v>29.241316502514152</v>
      </c>
      <c r="J5" s="119"/>
      <c r="K5" s="51">
        <f t="shared" si="1"/>
        <v>41551582.335392945</v>
      </c>
      <c r="L5" s="51">
        <f>B5/72</f>
        <v>3462631.8612827454</v>
      </c>
    </row>
    <row r="6" spans="1:12" x14ac:dyDescent="0.3">
      <c r="A6" s="103"/>
      <c r="B6" s="104"/>
      <c r="C6" s="10"/>
      <c r="D6" s="100"/>
      <c r="E6" s="10"/>
      <c r="F6" s="101"/>
      <c r="G6" s="24"/>
      <c r="H6" s="10"/>
      <c r="I6" s="24"/>
      <c r="J6" s="10"/>
      <c r="K6" s="102"/>
      <c r="L6" s="102"/>
    </row>
    <row r="7" spans="1:12" ht="17.25" hidden="1" customHeight="1" x14ac:dyDescent="0.3">
      <c r="A7" s="105"/>
      <c r="B7" s="106"/>
    </row>
    <row r="8" spans="1:12" hidden="1" x14ac:dyDescent="0.3">
      <c r="A8" s="49" t="s">
        <v>50</v>
      </c>
      <c r="B8" s="75">
        <f>MIN(B3:B5)</f>
        <v>249309494.01235768</v>
      </c>
      <c r="C8" s="80"/>
      <c r="D8" s="10"/>
      <c r="E8" s="10"/>
      <c r="F8" s="77">
        <f>MIN(F3:F5)</f>
        <v>165808</v>
      </c>
      <c r="G8" s="10"/>
      <c r="H8" s="10"/>
      <c r="I8" s="10"/>
      <c r="J8" s="10"/>
      <c r="K8" s="10"/>
      <c r="L8" s="10"/>
    </row>
    <row r="9" spans="1:12" hidden="1" x14ac:dyDescent="0.3">
      <c r="A9" s="49" t="s">
        <v>51</v>
      </c>
      <c r="B9" s="75">
        <f>MAX(B3:B5)</f>
        <v>318924501.79426736</v>
      </c>
      <c r="C9" s="80"/>
      <c r="F9" s="75">
        <f>MAX(F3:F5)</f>
        <v>436347.6</v>
      </c>
    </row>
    <row r="10" spans="1:12" hidden="1" x14ac:dyDescent="0.3"/>
    <row r="11" spans="1:12" x14ac:dyDescent="0.3">
      <c r="A11" s="60"/>
      <c r="D11" s="67"/>
    </row>
    <row r="12" spans="1:12" x14ac:dyDescent="0.3">
      <c r="A12" s="62"/>
      <c r="B12" s="54"/>
    </row>
    <row r="13" spans="1:12" x14ac:dyDescent="0.3">
      <c r="A13" s="73"/>
      <c r="B13" s="74"/>
      <c r="D13" s="67"/>
    </row>
    <row r="14" spans="1:12" ht="15.95" customHeight="1" x14ac:dyDescent="0.3">
      <c r="A14" s="62"/>
      <c r="B14" s="74"/>
    </row>
    <row r="15" spans="1:12" ht="15.75" customHeight="1" x14ac:dyDescent="0.3">
      <c r="A15" s="62"/>
    </row>
    <row r="16" spans="1:12" ht="16.5" customHeight="1" x14ac:dyDescent="0.3">
      <c r="B16" s="15"/>
    </row>
    <row r="17" spans="2:2" x14ac:dyDescent="0.3">
      <c r="B17" s="54"/>
    </row>
  </sheetData>
  <mergeCells count="3">
    <mergeCell ref="C3:C5"/>
    <mergeCell ref="E3:E5"/>
    <mergeCell ref="B1:C1"/>
  </mergeCells>
  <phoneticPr fontId="11" type="noConversion"/>
  <pageMargins left="0.7" right="0.7" top="0.75" bottom="0.75" header="0.3" footer="0.3"/>
  <pageSetup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54EC-D4E6-40C9-A971-5B789973C156}">
  <sheetPr>
    <pageSetUpPr fitToPage="1"/>
  </sheetPr>
  <dimension ref="A1:E29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31" sqref="D31"/>
    </sheetView>
  </sheetViews>
  <sheetFormatPr defaultColWidth="9.140625" defaultRowHeight="16.5" x14ac:dyDescent="0.3"/>
  <cols>
    <col min="1" max="1" width="75.7109375" style="1" customWidth="1"/>
    <col min="2" max="4" width="16.7109375" style="1" customWidth="1"/>
    <col min="5" max="5" width="2.42578125" style="1" customWidth="1"/>
    <col min="6" max="6" width="18.28515625" style="1" customWidth="1"/>
    <col min="7" max="16384" width="9.140625" style="1"/>
  </cols>
  <sheetData>
    <row r="1" spans="1:5" s="12" customFormat="1" ht="24" customHeight="1" x14ac:dyDescent="0.2">
      <c r="A1" s="128" t="s">
        <v>52</v>
      </c>
      <c r="B1" s="128" t="s">
        <v>41</v>
      </c>
      <c r="C1" s="85">
        <v>0.3</v>
      </c>
      <c r="D1" s="128"/>
    </row>
    <row r="2" spans="1:5" s="12" customFormat="1" ht="20.100000000000001" customHeight="1" x14ac:dyDescent="0.2">
      <c r="A2" s="128" t="s">
        <v>53</v>
      </c>
      <c r="B2" s="128" t="s">
        <v>4</v>
      </c>
      <c r="C2" s="128" t="s">
        <v>2</v>
      </c>
      <c r="D2" s="128" t="str">
        <f>'Summary Total'!A5</f>
        <v>Gainwell</v>
      </c>
    </row>
    <row r="3" spans="1:5" s="12" customFormat="1" ht="17.100000000000001" customHeight="1" x14ac:dyDescent="0.3">
      <c r="A3" s="76" t="s">
        <v>54</v>
      </c>
      <c r="B3" s="51">
        <v>5260662.7771848999</v>
      </c>
      <c r="C3" s="51">
        <v>1758110.89</v>
      </c>
      <c r="D3" s="51">
        <v>13658675.055937713</v>
      </c>
    </row>
    <row r="4" spans="1:5" ht="17.100000000000001" customHeight="1" x14ac:dyDescent="0.3">
      <c r="A4" s="76" t="s">
        <v>55</v>
      </c>
      <c r="B4" s="51">
        <v>21042651.108739607</v>
      </c>
      <c r="C4" s="51">
        <v>15822997.91</v>
      </c>
      <c r="D4" s="51">
        <v>24282088.988333713</v>
      </c>
      <c r="E4" s="44"/>
    </row>
    <row r="5" spans="1:5" ht="17.100000000000001" customHeight="1" x14ac:dyDescent="0.3">
      <c r="A5" s="76" t="s">
        <v>56</v>
      </c>
      <c r="B5" s="51">
        <v>5937894.9958317354</v>
      </c>
      <c r="C5" s="51">
        <v>9340064.9000000004</v>
      </c>
      <c r="D5" s="51">
        <v>2565523.2000000002</v>
      </c>
      <c r="E5" s="44"/>
    </row>
    <row r="6" spans="1:5" ht="17.100000000000001" customHeight="1" x14ac:dyDescent="0.3">
      <c r="A6" s="76" t="s">
        <v>57</v>
      </c>
      <c r="B6" s="51">
        <v>650684.62199999997</v>
      </c>
      <c r="C6" s="51">
        <v>1823992</v>
      </c>
      <c r="D6" s="51">
        <v>741915.91999999993</v>
      </c>
      <c r="E6" s="44"/>
    </row>
    <row r="7" spans="1:5" ht="17.100000000000001" customHeight="1" x14ac:dyDescent="0.3">
      <c r="A7" s="76" t="s">
        <v>58</v>
      </c>
      <c r="B7" s="51">
        <v>3757474.7706345213</v>
      </c>
      <c r="C7" s="51">
        <v>2141412.1942674066</v>
      </c>
      <c r="D7" s="51">
        <v>0</v>
      </c>
    </row>
    <row r="8" spans="1:5" ht="17.100000000000001" customHeight="1" x14ac:dyDescent="0.3">
      <c r="A8" s="76" t="s">
        <v>59</v>
      </c>
      <c r="B8" s="51">
        <v>299481641.0624488</v>
      </c>
      <c r="C8" s="51">
        <v>305019032.69999999</v>
      </c>
      <c r="D8" s="51">
        <v>240798490.24358401</v>
      </c>
    </row>
    <row r="9" spans="1:5" ht="17.100000000000001" customHeight="1" x14ac:dyDescent="0.3">
      <c r="A9" s="76" t="s">
        <v>60</v>
      </c>
      <c r="B9" s="51">
        <v>2919310.9999999986</v>
      </c>
      <c r="C9" s="51">
        <v>600000</v>
      </c>
      <c r="D9" s="51">
        <v>5203564.6487737056</v>
      </c>
    </row>
    <row r="10" spans="1:5" ht="6.95" customHeight="1" x14ac:dyDescent="0.3">
      <c r="A10" s="156"/>
      <c r="B10" s="156"/>
      <c r="C10" s="156"/>
      <c r="D10" s="156"/>
    </row>
    <row r="11" spans="1:5" ht="18.95" customHeight="1" x14ac:dyDescent="0.3">
      <c r="A11" s="90" t="s">
        <v>61</v>
      </c>
      <c r="B11" s="51">
        <f>SUM(B3:B9)</f>
        <v>339050320.33683956</v>
      </c>
      <c r="C11" s="51">
        <f t="shared" ref="C11:D11" si="0">SUM(C3:C9)</f>
        <v>336505610.59426737</v>
      </c>
      <c r="D11" s="51">
        <f t="shared" si="0"/>
        <v>287250258.05662918</v>
      </c>
    </row>
    <row r="12" spans="1:5" ht="9.9499999999999993" customHeight="1" x14ac:dyDescent="0.3">
      <c r="A12" s="152"/>
      <c r="B12" s="153"/>
      <c r="C12" s="153"/>
      <c r="D12" s="154"/>
    </row>
    <row r="13" spans="1:5" ht="30" customHeight="1" x14ac:dyDescent="0.3">
      <c r="A13" s="90" t="s">
        <v>62</v>
      </c>
      <c r="B13" s="93">
        <v>312747006.45091504</v>
      </c>
      <c r="C13" s="93">
        <v>318924501.79426736</v>
      </c>
      <c r="D13" s="93">
        <v>249309494.01235768</v>
      </c>
    </row>
    <row r="14" spans="1:5" ht="9.9499999999999993" customHeight="1" x14ac:dyDescent="0.3">
      <c r="A14" s="152"/>
      <c r="B14" s="153"/>
      <c r="C14" s="153"/>
      <c r="D14" s="154"/>
    </row>
    <row r="15" spans="1:5" ht="18.95" customHeight="1" x14ac:dyDescent="0.3">
      <c r="A15" s="65" t="s">
        <v>63</v>
      </c>
      <c r="B15" s="51">
        <v>333789657.55965465</v>
      </c>
      <c r="C15" s="51">
        <v>334747499.70426738</v>
      </c>
      <c r="D15" s="51">
        <v>273591583.00069141</v>
      </c>
    </row>
    <row r="16" spans="1:5" ht="9.9499999999999993" customHeight="1" x14ac:dyDescent="0.3">
      <c r="A16" s="155"/>
      <c r="B16" s="155"/>
      <c r="C16" s="155"/>
      <c r="D16" s="155"/>
    </row>
    <row r="17" spans="1:4" ht="18.95" customHeight="1" x14ac:dyDescent="0.3">
      <c r="A17" s="65" t="s">
        <v>64</v>
      </c>
      <c r="B17" s="51">
        <v>223347153.43720263</v>
      </c>
      <c r="C17" s="51">
        <v>235603342.58363393</v>
      </c>
      <c r="D17" s="51">
        <v>184545050.26609915</v>
      </c>
    </row>
    <row r="18" spans="1:4" ht="9.9499999999999993" customHeight="1" x14ac:dyDescent="0.3">
      <c r="A18" s="155"/>
      <c r="B18" s="155"/>
      <c r="C18" s="155"/>
      <c r="D18" s="155"/>
    </row>
    <row r="19" spans="1:4" ht="18.95" customHeight="1" x14ac:dyDescent="0.3">
      <c r="A19" s="65" t="s">
        <v>65</v>
      </c>
      <c r="B19" s="51">
        <v>546761930.72685122</v>
      </c>
      <c r="C19" s="51">
        <v>556322472.52603841</v>
      </c>
      <c r="D19" s="51">
        <v>471795308.32272822</v>
      </c>
    </row>
    <row r="20" spans="1:4" ht="9.9499999999999993" customHeight="1" x14ac:dyDescent="0.3">
      <c r="A20" s="155"/>
      <c r="B20" s="155"/>
      <c r="C20" s="155"/>
      <c r="D20" s="155"/>
    </row>
    <row r="21" spans="1:4" ht="18.95" customHeight="1" x14ac:dyDescent="0.3">
      <c r="A21" s="65" t="s">
        <v>66</v>
      </c>
      <c r="B21" s="94">
        <f>'Price Score'!D3</f>
        <v>19.929007222287055</v>
      </c>
      <c r="C21" s="94">
        <f>'Price Score'!D4</f>
        <v>19.542986867561439</v>
      </c>
      <c r="D21" s="94">
        <f>'Price Score'!D5</f>
        <v>25</v>
      </c>
    </row>
    <row r="22" spans="1:4" ht="9.9499999999999993" customHeight="1" x14ac:dyDescent="0.3"/>
    <row r="23" spans="1:4" ht="18.95" customHeight="1" x14ac:dyDescent="0.3">
      <c r="A23" s="65" t="s">
        <v>67</v>
      </c>
      <c r="B23" s="51">
        <v>165808</v>
      </c>
      <c r="C23" s="51">
        <v>436347.6</v>
      </c>
      <c r="D23" s="51">
        <v>195467.61</v>
      </c>
    </row>
    <row r="24" spans="1:4" ht="9.9499999999999993" customHeight="1" x14ac:dyDescent="0.3">
      <c r="B24" s="54"/>
      <c r="C24" s="50"/>
    </row>
    <row r="25" spans="1:4" ht="18.95" customHeight="1" x14ac:dyDescent="0.3">
      <c r="A25" s="65" t="s">
        <v>68</v>
      </c>
      <c r="B25" s="94">
        <f>'Price Score'!G3</f>
        <v>5</v>
      </c>
      <c r="C25" s="94">
        <f>'Price Score'!G4</f>
        <v>1.8999531566118388</v>
      </c>
      <c r="D25" s="94">
        <f>'Price Score'!G5</f>
        <v>4.2413165025141506</v>
      </c>
    </row>
    <row r="26" spans="1:4" ht="9.9499999999999993" customHeight="1" x14ac:dyDescent="0.3"/>
    <row r="27" spans="1:4" ht="18.95" customHeight="1" x14ac:dyDescent="0.3">
      <c r="A27" s="65" t="s">
        <v>69</v>
      </c>
      <c r="B27" s="94">
        <f>'Price Score'!I3</f>
        <v>24.929007222287055</v>
      </c>
      <c r="C27" s="94">
        <f>'Price Score'!I4</f>
        <v>21.442940024173279</v>
      </c>
      <c r="D27" s="94">
        <f>'Price Score'!I5</f>
        <v>29.241316502514152</v>
      </c>
    </row>
    <row r="28" spans="1:4" ht="9.9499999999999993" customHeight="1" x14ac:dyDescent="0.3"/>
    <row r="29" spans="1:4" ht="18.95" customHeight="1" x14ac:dyDescent="0.3">
      <c r="A29" s="65" t="s">
        <v>70</v>
      </c>
      <c r="B29" s="96">
        <v>108.78678187207549</v>
      </c>
      <c r="C29" s="96">
        <v>138.87586442554738</v>
      </c>
      <c r="D29" s="96">
        <v>73.31813553772362</v>
      </c>
    </row>
  </sheetData>
  <mergeCells count="6">
    <mergeCell ref="A14:D14"/>
    <mergeCell ref="A16:D16"/>
    <mergeCell ref="A18:D18"/>
    <mergeCell ref="A20:D20"/>
    <mergeCell ref="A10:D10"/>
    <mergeCell ref="A12:D12"/>
  </mergeCells>
  <pageMargins left="0.7" right="0.7" top="0.75" bottom="0.75" header="0.3" footer="0.3"/>
  <pageSetup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40834-EAAC-458F-B5D6-4E7077224BA8}">
  <sheetPr>
    <pageSetUpPr fitToPage="1"/>
  </sheetPr>
  <dimension ref="A2:G10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9" sqref="G9"/>
    </sheetView>
  </sheetViews>
  <sheetFormatPr defaultColWidth="9.140625" defaultRowHeight="16.5" x14ac:dyDescent="0.3"/>
  <cols>
    <col min="1" max="3" width="16.7109375" style="1" customWidth="1"/>
    <col min="4" max="4" width="2" style="1" customWidth="1"/>
    <col min="5" max="5" width="16.7109375" style="1" customWidth="1"/>
    <col min="6" max="6" width="2" style="1" customWidth="1"/>
    <col min="7" max="7" width="16.7109375" style="1" customWidth="1"/>
    <col min="8" max="8" width="4.85546875" style="1" customWidth="1"/>
    <col min="9" max="16384" width="9.140625" style="1"/>
  </cols>
  <sheetData>
    <row r="2" spans="1:7" ht="16.5" customHeight="1" x14ac:dyDescent="0.3">
      <c r="A2" s="133" t="s">
        <v>71</v>
      </c>
      <c r="B2" s="157"/>
      <c r="C2" s="157"/>
      <c r="D2" s="157"/>
      <c r="E2" s="157"/>
      <c r="F2" s="157"/>
      <c r="G2" s="157"/>
    </row>
    <row r="3" spans="1:7" s="12" customFormat="1" ht="63.95" customHeight="1" x14ac:dyDescent="0.2">
      <c r="A3" s="128" t="s">
        <v>42</v>
      </c>
      <c r="B3" s="128" t="s">
        <v>72</v>
      </c>
      <c r="C3" s="128" t="s">
        <v>48</v>
      </c>
      <c r="D3" s="128"/>
      <c r="E3" s="128" t="s">
        <v>73</v>
      </c>
      <c r="F3" s="128"/>
      <c r="G3" s="128" t="s">
        <v>74</v>
      </c>
    </row>
    <row r="4" spans="1:7" x14ac:dyDescent="0.3">
      <c r="A4" s="5" t="str">
        <f>'Summary Total'!A3</f>
        <v>Accenture</v>
      </c>
      <c r="B4" s="51">
        <f>'Price Score'!B3</f>
        <v>312747006.45091504</v>
      </c>
      <c r="C4" s="51">
        <f>B4/6</f>
        <v>52124501.075152509</v>
      </c>
      <c r="D4" s="158"/>
      <c r="E4" s="51">
        <v>64575630</v>
      </c>
      <c r="F4" s="158"/>
      <c r="G4" s="51">
        <f>E4-C4</f>
        <v>12451128.924847491</v>
      </c>
    </row>
    <row r="5" spans="1:7" ht="16.5" customHeight="1" x14ac:dyDescent="0.3">
      <c r="A5" s="5" t="str">
        <f>'Summary Total'!A4</f>
        <v>Deloitte</v>
      </c>
      <c r="B5" s="51">
        <f>'Price Score'!B4</f>
        <v>318924501.79426736</v>
      </c>
      <c r="C5" s="51">
        <f t="shared" ref="C5:C6" si="0">B5/6</f>
        <v>53154083.632377893</v>
      </c>
      <c r="D5" s="159"/>
      <c r="E5" s="51">
        <v>64575630</v>
      </c>
      <c r="F5" s="159"/>
      <c r="G5" s="51">
        <f>E5-C5</f>
        <v>11421546.367622107</v>
      </c>
    </row>
    <row r="6" spans="1:7" x14ac:dyDescent="0.3">
      <c r="A6" s="5" t="str">
        <f>'Summary Total'!A5</f>
        <v>Gainwell</v>
      </c>
      <c r="B6" s="51">
        <f>'Price Score'!B5</f>
        <v>249309494.01235768</v>
      </c>
      <c r="C6" s="51">
        <f t="shared" si="0"/>
        <v>41551582.335392945</v>
      </c>
      <c r="D6" s="160"/>
      <c r="E6" s="51">
        <v>64575630</v>
      </c>
      <c r="F6" s="160"/>
      <c r="G6" s="51">
        <f>E6-C6</f>
        <v>23024047.664607055</v>
      </c>
    </row>
    <row r="8" spans="1:7" ht="15.75" customHeight="1" x14ac:dyDescent="0.3">
      <c r="A8" s="62"/>
    </row>
    <row r="9" spans="1:7" ht="16.5" customHeight="1" x14ac:dyDescent="0.3">
      <c r="B9" s="15"/>
      <c r="C9" s="15"/>
    </row>
    <row r="10" spans="1:7" x14ac:dyDescent="0.3">
      <c r="B10" s="54"/>
      <c r="C10" s="54"/>
    </row>
  </sheetData>
  <mergeCells count="3">
    <mergeCell ref="A2:G2"/>
    <mergeCell ref="D4:D6"/>
    <mergeCell ref="F4:F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13" sqref="O13"/>
    </sheetView>
  </sheetViews>
  <sheetFormatPr defaultColWidth="9.140625" defaultRowHeight="16.5" x14ac:dyDescent="0.3"/>
  <cols>
    <col min="1" max="1" width="18.7109375" style="1" customWidth="1"/>
    <col min="2" max="3" width="16.7109375" style="1" customWidth="1"/>
    <col min="4" max="5" width="15.7109375" style="1" customWidth="1"/>
    <col min="6" max="6" width="1.85546875" style="1" customWidth="1"/>
    <col min="7" max="8" width="15.7109375" style="1" customWidth="1"/>
    <col min="9" max="9" width="14.7109375" style="1" customWidth="1"/>
    <col min="10" max="10" width="1.85546875" style="1" customWidth="1"/>
    <col min="11" max="15" width="15.7109375" style="1" customWidth="1"/>
    <col min="16" max="16384" width="9.140625" style="1"/>
  </cols>
  <sheetData>
    <row r="1" spans="1:13" ht="18" customHeight="1" x14ac:dyDescent="0.3">
      <c r="A1" s="133"/>
      <c r="B1" s="157"/>
      <c r="C1" s="157"/>
      <c r="D1" s="157"/>
      <c r="E1" s="157"/>
      <c r="F1" s="58"/>
      <c r="G1" s="169" t="s">
        <v>75</v>
      </c>
      <c r="H1" s="170"/>
      <c r="I1" s="171"/>
      <c r="J1" s="150"/>
      <c r="K1" s="169" t="s">
        <v>76</v>
      </c>
      <c r="L1" s="170"/>
      <c r="M1" s="171"/>
    </row>
    <row r="2" spans="1:13" s="12" customFormat="1" ht="45" customHeight="1" x14ac:dyDescent="0.2">
      <c r="A2" s="164" t="s">
        <v>42</v>
      </c>
      <c r="B2" s="164" t="s">
        <v>77</v>
      </c>
      <c r="C2" s="164" t="s">
        <v>78</v>
      </c>
      <c r="D2" s="166" t="s">
        <v>79</v>
      </c>
      <c r="E2" s="166" t="s">
        <v>80</v>
      </c>
      <c r="G2" s="164" t="s">
        <v>78</v>
      </c>
      <c r="H2" s="166" t="s">
        <v>81</v>
      </c>
      <c r="I2" s="164" t="s">
        <v>82</v>
      </c>
      <c r="J2" s="151"/>
      <c r="K2" s="164" t="s">
        <v>78</v>
      </c>
      <c r="L2" s="166" t="s">
        <v>83</v>
      </c>
      <c r="M2" s="164" t="s">
        <v>84</v>
      </c>
    </row>
    <row r="3" spans="1:13" s="12" customFormat="1" ht="14.25" customHeight="1" x14ac:dyDescent="0.2">
      <c r="A3" s="165"/>
      <c r="B3" s="165"/>
      <c r="C3" s="165"/>
      <c r="D3" s="167"/>
      <c r="E3" s="167"/>
      <c r="G3" s="165"/>
      <c r="H3" s="167"/>
      <c r="I3" s="165"/>
      <c r="J3" s="151"/>
      <c r="K3" s="165"/>
      <c r="L3" s="167"/>
      <c r="M3" s="165"/>
    </row>
    <row r="4" spans="1:13" x14ac:dyDescent="0.3">
      <c r="A4" s="5" t="s">
        <v>4</v>
      </c>
      <c r="B4" s="51">
        <v>322428375.36574614</v>
      </c>
      <c r="C4" s="51">
        <f>'Price Score'!B3</f>
        <v>312747006.45091504</v>
      </c>
      <c r="D4" s="51">
        <f>B4-C4</f>
        <v>9681368.9148311019</v>
      </c>
      <c r="E4" s="53">
        <f>(B4-C4)/B4</f>
        <v>3.0026417196839624E-2</v>
      </c>
      <c r="G4" s="51">
        <f>C4</f>
        <v>312747006.45091504</v>
      </c>
      <c r="H4" s="51">
        <f>G4-$C$6</f>
        <v>63437512.438557357</v>
      </c>
      <c r="I4" s="53">
        <f>H4/$C$6</f>
        <v>0.25445285463301653</v>
      </c>
      <c r="J4" s="151"/>
      <c r="K4" s="51">
        <f>C4</f>
        <v>312747006.45091504</v>
      </c>
      <c r="L4" s="51">
        <f>K4-$K$4</f>
        <v>0</v>
      </c>
      <c r="M4" s="53">
        <f>L4/$C$4</f>
        <v>0</v>
      </c>
    </row>
    <row r="5" spans="1:13" x14ac:dyDescent="0.3">
      <c r="A5" s="5" t="s">
        <v>2</v>
      </c>
      <c r="B5" s="51">
        <v>362387845.34074742</v>
      </c>
      <c r="C5" s="51">
        <f>'Price Score'!B4</f>
        <v>318924501.79426736</v>
      </c>
      <c r="D5" s="51">
        <f t="shared" ref="D5" si="0">B5-C5</f>
        <v>43463343.54648006</v>
      </c>
      <c r="E5" s="53">
        <f t="shared" ref="E5" si="1">(B5-C5)/B5</f>
        <v>0.11993598600309617</v>
      </c>
      <c r="G5" s="51">
        <f t="shared" ref="G5" si="2">C5</f>
        <v>318924501.79426736</v>
      </c>
      <c r="H5" s="51">
        <f t="shared" ref="H5:H6" si="3">G5-$C$6</f>
        <v>69615007.781909674</v>
      </c>
      <c r="I5" s="53">
        <f t="shared" ref="I5:I6" si="4">H5/$C$6</f>
        <v>0.27923127459582031</v>
      </c>
      <c r="J5" s="151"/>
      <c r="K5" s="51">
        <f t="shared" ref="K5" si="5">C5</f>
        <v>318924501.79426736</v>
      </c>
      <c r="L5" s="51">
        <f t="shared" ref="L5:L6" si="6">K5-$K$4</f>
        <v>6177495.3433523178</v>
      </c>
      <c r="M5" s="53">
        <f>L5/$C$4</f>
        <v>1.9752372415823147E-2</v>
      </c>
    </row>
    <row r="6" spans="1:13" x14ac:dyDescent="0.3">
      <c r="A6" s="5" t="str">
        <f>'Summary Total'!A5</f>
        <v>Gainwell</v>
      </c>
      <c r="B6" s="51">
        <v>348547503.15261006</v>
      </c>
      <c r="C6" s="51">
        <f>'Price Score'!B5</f>
        <v>249309494.01235768</v>
      </c>
      <c r="D6" s="51">
        <f t="shared" ref="D6" si="7">B6-C6</f>
        <v>99238009.140252382</v>
      </c>
      <c r="E6" s="53">
        <f t="shared" ref="E6" si="8">(B6-C6)/B6</f>
        <v>0.28471874921680745</v>
      </c>
      <c r="G6" s="51">
        <f t="shared" ref="G6" si="9">C6</f>
        <v>249309494.01235768</v>
      </c>
      <c r="H6" s="51">
        <f t="shared" si="3"/>
        <v>0</v>
      </c>
      <c r="I6" s="53">
        <f t="shared" si="4"/>
        <v>0</v>
      </c>
      <c r="J6" s="151"/>
      <c r="K6" s="51">
        <f t="shared" ref="K6" si="10">C6</f>
        <v>249309494.01235768</v>
      </c>
      <c r="L6" s="51">
        <f t="shared" si="6"/>
        <v>-63437512.438557357</v>
      </c>
      <c r="M6" s="53">
        <f>L6/$C$4</f>
        <v>-0.20283971110851778</v>
      </c>
    </row>
    <row r="7" spans="1:13" ht="6.95" customHeight="1" x14ac:dyDescent="0.3">
      <c r="A7" s="168"/>
      <c r="B7" s="155"/>
      <c r="C7" s="155"/>
      <c r="D7" s="155"/>
      <c r="E7" s="155"/>
    </row>
    <row r="8" spans="1:13" hidden="1" x14ac:dyDescent="0.3">
      <c r="A8" s="6"/>
      <c r="B8" s="161" t="s">
        <v>85</v>
      </c>
      <c r="C8" s="162"/>
      <c r="D8" s="163"/>
      <c r="E8" s="52">
        <f>AVERAGE(E4:E6)</f>
        <v>0.14489371747224775</v>
      </c>
    </row>
    <row r="9" spans="1:13" x14ac:dyDescent="0.3">
      <c r="D9" s="14"/>
    </row>
    <row r="10" spans="1:13" x14ac:dyDescent="0.3">
      <c r="D10" s="14"/>
    </row>
    <row r="11" spans="1:13" x14ac:dyDescent="0.3">
      <c r="A11" s="1" t="s">
        <v>86</v>
      </c>
      <c r="D11" s="14"/>
      <c r="I11" s="54"/>
    </row>
    <row r="12" spans="1:13" x14ac:dyDescent="0.3">
      <c r="D12" s="43"/>
    </row>
    <row r="13" spans="1:13" x14ac:dyDescent="0.3">
      <c r="D13" s="14"/>
    </row>
  </sheetData>
  <mergeCells count="17">
    <mergeCell ref="A1:E1"/>
    <mergeCell ref="K1:M1"/>
    <mergeCell ref="K2:K3"/>
    <mergeCell ref="L2:L3"/>
    <mergeCell ref="M2:M3"/>
    <mergeCell ref="I2:I3"/>
    <mergeCell ref="G1:I1"/>
    <mergeCell ref="J1:J6"/>
    <mergeCell ref="B8:D8"/>
    <mergeCell ref="C2:C3"/>
    <mergeCell ref="G2:G3"/>
    <mergeCell ref="H2:H3"/>
    <mergeCell ref="B2:B3"/>
    <mergeCell ref="D2:D3"/>
    <mergeCell ref="E2:E3"/>
    <mergeCell ref="A7:E7"/>
    <mergeCell ref="A2:A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0"/>
  <sheetViews>
    <sheetView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J11" sqref="J11"/>
    </sheetView>
  </sheetViews>
  <sheetFormatPr defaultColWidth="9.140625" defaultRowHeight="16.5" x14ac:dyDescent="0.3"/>
  <cols>
    <col min="1" max="1" width="18.7109375" style="1" customWidth="1"/>
    <col min="2" max="4" width="15.7109375" style="1" customWidth="1"/>
    <col min="5" max="5" width="16.7109375" style="1" customWidth="1"/>
    <col min="6" max="6" width="15.7109375" style="1" customWidth="1"/>
    <col min="7" max="7" width="1.85546875" style="1" customWidth="1"/>
    <col min="8" max="8" width="15.7109375" style="1" customWidth="1"/>
    <col min="9" max="9" width="1.85546875" style="1" customWidth="1"/>
    <col min="10" max="10" width="15.7109375" style="1" customWidth="1"/>
    <col min="11" max="16384" width="9.140625" style="1"/>
  </cols>
  <sheetData>
    <row r="1" spans="1:10" s="12" customFormat="1" ht="20.100000000000001" customHeight="1" x14ac:dyDescent="0.2">
      <c r="A1" s="133" t="s">
        <v>87</v>
      </c>
      <c r="B1" s="134"/>
      <c r="C1" s="128"/>
      <c r="D1" s="133" t="s">
        <v>88</v>
      </c>
      <c r="E1" s="134"/>
      <c r="F1" s="128">
        <v>70</v>
      </c>
      <c r="G1" s="128"/>
      <c r="H1" s="113"/>
      <c r="I1" s="121"/>
      <c r="J1" s="114"/>
    </row>
    <row r="2" spans="1:10" s="10" customFormat="1" ht="16.5" customHeight="1" x14ac:dyDescent="0.3">
      <c r="A2" s="91" t="s">
        <v>89</v>
      </c>
      <c r="B2" s="92">
        <f>' Master'!D3</f>
        <v>0.05</v>
      </c>
      <c r="C2" s="92">
        <f>' Master'!D4</f>
        <v>0.05</v>
      </c>
      <c r="D2" s="92">
        <f>' Master'!D5</f>
        <v>0.1</v>
      </c>
      <c r="E2" s="92">
        <f>' Master'!D6</f>
        <v>0.5</v>
      </c>
      <c r="F2" s="91"/>
      <c r="G2" s="164"/>
      <c r="H2" s="164" t="s">
        <v>90</v>
      </c>
      <c r="I2" s="164"/>
      <c r="J2" s="164" t="s">
        <v>27</v>
      </c>
    </row>
    <row r="3" spans="1:10" s="12" customFormat="1" ht="57" x14ac:dyDescent="0.2">
      <c r="A3" s="123" t="s">
        <v>42</v>
      </c>
      <c r="B3" s="123" t="str">
        <f>' Master'!C3</f>
        <v>Staff Qualifications and Experience</v>
      </c>
      <c r="C3" s="123" t="str">
        <f>' Master'!C4</f>
        <v>Oral Presentations</v>
      </c>
      <c r="D3" s="123" t="str">
        <f>' Master'!C5</f>
        <v>Key Staff Interviews</v>
      </c>
      <c r="E3" s="123" t="str">
        <f>' Master'!C6</f>
        <v>Understanding and Approach</v>
      </c>
      <c r="F3" s="127" t="s">
        <v>91</v>
      </c>
      <c r="G3" s="165"/>
      <c r="H3" s="165"/>
      <c r="I3" s="165"/>
      <c r="J3" s="165"/>
    </row>
    <row r="4" spans="1:10" x14ac:dyDescent="0.3">
      <c r="A4" s="5" t="s">
        <v>4</v>
      </c>
      <c r="B4" s="9">
        <f>'Staff Quals-Exp'!D3</f>
        <v>4.6805555555555562</v>
      </c>
      <c r="C4" s="9">
        <f>'Oral Presentations'!D3</f>
        <v>4</v>
      </c>
      <c r="D4" s="9">
        <f>'Key Staff Interviews'!D3</f>
        <v>8.4166666666666661</v>
      </c>
      <c r="E4" s="9">
        <f>'Understanding &amp; Approach'!M4</f>
        <v>36.75</v>
      </c>
      <c r="F4" s="17">
        <f>SUM(B4:E4)</f>
        <v>53.847222222222221</v>
      </c>
      <c r="G4" s="150"/>
      <c r="H4" s="9">
        <f>F4/$F$8*$F$1</f>
        <v>65.124920150642311</v>
      </c>
      <c r="I4" s="150"/>
      <c r="J4" s="16">
        <f>_xlfn.RANK.AVG(H4,$H$4:$H$6)</f>
        <v>2</v>
      </c>
    </row>
    <row r="5" spans="1:10" x14ac:dyDescent="0.3">
      <c r="A5" s="5" t="s">
        <v>2</v>
      </c>
      <c r="B5" s="9">
        <f>'Staff Quals-Exp'!D4</f>
        <v>4.3780833333333344</v>
      </c>
      <c r="C5" s="9">
        <f>'Oral Presentations'!D4</f>
        <v>3.5000000000000004</v>
      </c>
      <c r="D5" s="9">
        <f>'Key Staff Interviews'!D4</f>
        <v>8.25</v>
      </c>
      <c r="E5" s="9">
        <f>'Understanding &amp; Approach'!M5</f>
        <v>41.75</v>
      </c>
      <c r="F5" s="17">
        <f t="shared" ref="F5" si="0">SUM(B5:E5)</f>
        <v>57.878083333333336</v>
      </c>
      <c r="G5" s="151"/>
      <c r="H5" s="9">
        <f>F5/$F$8*$F$1</f>
        <v>70</v>
      </c>
      <c r="I5" s="151"/>
      <c r="J5" s="16">
        <f>_xlfn.RANK.AVG(H5,$H$4:$H$6)</f>
        <v>1</v>
      </c>
    </row>
    <row r="6" spans="1:10" x14ac:dyDescent="0.3">
      <c r="A6" s="5" t="str">
        <f>'Summary Total'!A5</f>
        <v>Gainwell</v>
      </c>
      <c r="B6" s="9">
        <f>'Staff Quals-Exp'!D5</f>
        <v>4.3262222222222233</v>
      </c>
      <c r="C6" s="9">
        <f>'Oral Presentations'!D5</f>
        <v>3.0000000000000004</v>
      </c>
      <c r="D6" s="9">
        <f>'Key Staff Interviews'!D5</f>
        <v>6.9166666666666679</v>
      </c>
      <c r="E6" s="9">
        <f>'Understanding &amp; Approach'!M6</f>
        <v>33.583333333333336</v>
      </c>
      <c r="F6" s="17">
        <f t="shared" ref="F6" si="1">SUM(B6:E6)</f>
        <v>47.826222222222228</v>
      </c>
      <c r="G6" s="151"/>
      <c r="H6" s="9">
        <f>F6/$F$8*$F$1</f>
        <v>57.842889099740795</v>
      </c>
      <c r="I6" s="151"/>
      <c r="J6" s="16">
        <f>_xlfn.RANK.AVG(H6,$H$4:$H$6)</f>
        <v>3</v>
      </c>
    </row>
    <row r="7" spans="1:10" ht="8.1" hidden="1" customHeight="1" x14ac:dyDescent="0.3">
      <c r="A7" s="168"/>
      <c r="B7" s="155"/>
      <c r="C7" s="155"/>
      <c r="D7" s="155"/>
      <c r="E7" s="155"/>
      <c r="F7" s="155"/>
      <c r="G7" s="155"/>
      <c r="H7" s="155"/>
    </row>
    <row r="8" spans="1:10" hidden="1" x14ac:dyDescent="0.3">
      <c r="A8" s="168"/>
      <c r="B8" s="155"/>
      <c r="C8" s="172"/>
      <c r="D8" s="5"/>
      <c r="E8" s="18" t="s">
        <v>92</v>
      </c>
      <c r="F8" s="19">
        <f>MAX(F4:F6)</f>
        <v>57.878083333333336</v>
      </c>
      <c r="G8" s="5"/>
      <c r="H8" s="5"/>
      <c r="I8" s="5"/>
      <c r="J8" s="5"/>
    </row>
    <row r="9" spans="1:10" hidden="1" x14ac:dyDescent="0.3">
      <c r="D9" s="76"/>
      <c r="E9" s="18" t="s">
        <v>93</v>
      </c>
      <c r="F9" s="19">
        <f>MIN(F4:F6)</f>
        <v>47.826222222222228</v>
      </c>
    </row>
    <row r="10" spans="1:10" x14ac:dyDescent="0.3">
      <c r="E10" s="97"/>
      <c r="F10" s="98"/>
    </row>
  </sheetData>
  <mergeCells count="10">
    <mergeCell ref="D1:E1"/>
    <mergeCell ref="A1:B1"/>
    <mergeCell ref="H2:H3"/>
    <mergeCell ref="G2:G3"/>
    <mergeCell ref="I2:I3"/>
    <mergeCell ref="J2:J3"/>
    <mergeCell ref="I4:I6"/>
    <mergeCell ref="A8:C8"/>
    <mergeCell ref="G4:G6"/>
    <mergeCell ref="A7:H7"/>
  </mergeCells>
  <pageMargins left="0.7" right="0.7" top="0.75" bottom="0.75" header="0.3" footer="0.3"/>
  <pageSetup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5bce90d6-5a2c-47e0-8337-aac7acda0e97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PROCURE-1039933742-2574</_dlc_DocId>
    <_dlc_DocIdUrl xmlns="500343c0-af67-4d55-b6f3-a7838e163d14">
      <Url>https://osicagov.sharepoint.com/sites/Procurement/CalSAWS/_layouts/15/DocIdRedir.aspx?ID=PROCURE-1039933742-2574</Url>
      <Description>PROCURE-1039933742-2574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AA9B18646CA547AA0211C62BE25688" ma:contentTypeVersion="10" ma:contentTypeDescription="Create a new document." ma:contentTypeScope="" ma:versionID="a26dd4920e6a7af0a23a108fdd398b34">
  <xsd:schema xmlns:xsd="http://www.w3.org/2001/XMLSchema" xmlns:xs="http://www.w3.org/2001/XMLSchema" xmlns:p="http://schemas.microsoft.com/office/2006/metadata/properties" xmlns:ns2="500343c0-af67-4d55-b6f3-a7838e163d14" xmlns:ns3="4ec7b936-c78e-4e69-b316-5df51d9cc692" targetNamespace="http://schemas.microsoft.com/office/2006/metadata/properties" ma:root="true" ma:fieldsID="1bf0ff0181ed50f16477b8326e512fb2" ns2:_="" ns3:_="">
    <xsd:import namespace="500343c0-af67-4d55-b6f3-a7838e163d14"/>
    <xsd:import namespace="4ec7b936-c78e-4e69-b316-5df51d9cc69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c7b936-c78e-4e69-b316-5df51d9cc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F8C816-29DB-4230-B27A-9C8AD0856B43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582B1E7-CE09-4D16-8B7C-8827E5C52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3F22F-56F3-4094-B35C-266BB4A31C9E}">
  <ds:schemaRefs>
    <ds:schemaRef ds:uri="http://schemas.microsoft.com/office/2006/metadata/properties"/>
    <ds:schemaRef ds:uri="http://schemas.microsoft.com/office/infopath/2007/PartnerControls"/>
    <ds:schemaRef ds:uri="500343c0-af67-4d55-b6f3-a7838e163d14"/>
  </ds:schemaRefs>
</ds:datastoreItem>
</file>

<file path=customXml/itemProps4.xml><?xml version="1.0" encoding="utf-8"?>
<ds:datastoreItem xmlns:ds="http://schemas.openxmlformats.org/officeDocument/2006/customXml" ds:itemID="{0461B983-F387-4033-9D02-45492384EFE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92346D6-2037-4C5A-B23B-37E454CF7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0343c0-af67-4d55-b6f3-a7838e163d14"/>
    <ds:schemaRef ds:uri="4ec7b936-c78e-4e69-b316-5df51d9cc6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13</vt:i4>
      </vt:variant>
    </vt:vector>
  </HeadingPairs>
  <TitlesOfParts>
    <vt:vector size="30" baseType="lpstr">
      <vt:lpstr> Master</vt:lpstr>
      <vt:lpstr>Directions</vt:lpstr>
      <vt:lpstr>Summary Total</vt:lpstr>
      <vt:lpstr>Overall Proposal Scores</vt:lpstr>
      <vt:lpstr>Price Score</vt:lpstr>
      <vt:lpstr>Price Details</vt:lpstr>
      <vt:lpstr>Price Metrics</vt:lpstr>
      <vt:lpstr>BAFO Variances</vt:lpstr>
      <vt:lpstr>Business Score</vt:lpstr>
      <vt:lpstr>Business Score Before v After</vt:lpstr>
      <vt:lpstr>Staff Quals-Exp</vt:lpstr>
      <vt:lpstr>Staff Quals &amp; Exp Vertical</vt:lpstr>
      <vt:lpstr>Oral Presentations</vt:lpstr>
      <vt:lpstr>Key Staff Interviews</vt:lpstr>
      <vt:lpstr>KSI and Orals Vertical</vt:lpstr>
      <vt:lpstr>Understanding &amp; Approach</vt:lpstr>
      <vt:lpstr>U&amp;A Requirement Detail</vt:lpstr>
      <vt:lpstr>' Master'!Print_Area</vt:lpstr>
      <vt:lpstr>'Business Score'!Print_Area</vt:lpstr>
      <vt:lpstr>'Business Score Before v After'!Print_Area</vt:lpstr>
      <vt:lpstr>'KSI and Orals Vertical'!Print_Area</vt:lpstr>
      <vt:lpstr>'Oral Presentations'!Print_Area</vt:lpstr>
      <vt:lpstr>'Overall Proposal Scores'!Print_Area</vt:lpstr>
      <vt:lpstr>'Price Details'!Print_Area</vt:lpstr>
      <vt:lpstr>'Price Metrics'!Print_Area</vt:lpstr>
      <vt:lpstr>'Price Score'!Print_Area</vt:lpstr>
      <vt:lpstr>'Staff Quals &amp; Exp Vertical'!Print_Area</vt:lpstr>
      <vt:lpstr>'Summary Total'!Print_Area</vt:lpstr>
      <vt:lpstr>'U&amp;A Requirement Detail'!Print_Area</vt:lpstr>
      <vt:lpstr>'Understanding &amp; Approach'!Print_Area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2024-02-13T19:00:27Z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0x010100BDAA9B18646CA547AA0211C62BE25688</vt:lpwstr>
  </property>
  <property fmtid="{D5CDD505-2E9C-101B-9397-08002B2CF9AE}" pid="3" name="_dlc_DocIdItemGuid">
    <vt:lpwstr>7d877a1a-e344-4048-ad56-e8f20f35a450</vt:lpwstr>
  </property>
  <property fmtid="{D5CDD505-2E9C-101B-9397-08002B2CF9AE}" pid="4" name="AuthorIds_UIVersion_2048">
    <vt:lpwstr>550</vt:lpwstr>
  </property>
  <property fmtid="{D5CDD505-2E9C-101B-9397-08002B2CF9AE}" pid="5" name="AuthorIds_UIVersion_2560">
    <vt:lpwstr>550</vt:lpwstr>
  </property>
</Properties>
</file>