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-my.sharepoint.com/personal/carlsenb_calaces_org/Documents/Documents/13 - Misc Claim Files/"/>
    </mc:Choice>
  </mc:AlternateContent>
  <xr:revisionPtr revIDLastSave="0" documentId="8_{C5937954-1109-41AC-A6A8-BB747455C316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TOC" sheetId="23" r:id="rId1"/>
    <sheet name="SFY 23-24 Q1 Share Summary" sheetId="19" r:id="rId2"/>
    <sheet name="SFY 23-24 Q1 Share by Project" sheetId="4" r:id="rId3"/>
    <sheet name="SFY 23-24 Q1 Share Calculations" sheetId="11" r:id="rId4"/>
    <sheet name="1a SFY 23-24 Q1 ABAWD" sheetId="22" r:id="rId5"/>
    <sheet name="2a SFY 23-24 Q1 CalSAWS " sheetId="32" r:id="rId6"/>
    <sheet name="2b SFY 23-24 Q1 CalSAWS MO" sheetId="35" r:id="rId7"/>
    <sheet name="2c SFY 2223 Q1 Adj-Late CalSAWS" sheetId="40" r:id="rId8"/>
    <sheet name="2d SFY 22-23 Q1 Adj-Late MO" sheetId="39" r:id="rId9"/>
    <sheet name="3a SFY 23-24 Q1 CalWIN MO" sheetId="14" r:id="rId10"/>
    <sheet name="3b SFY 22-23 Q1 Adj-Late MO" sheetId="41" r:id="rId11"/>
    <sheet name="4a 58C 20-21 Persons Count" sheetId="30" r:id="rId12"/>
    <sheet name="4b 58C 21-22 Persons Count" sheetId="37" r:id="rId13"/>
    <sheet name="5a SFY 2223 CalWIN MO Share Tbl" sheetId="36" r:id="rId14"/>
    <sheet name="5b SFY 2324 CalWIN MO Share Tbl" sheetId="38" r:id="rId15"/>
  </sheets>
  <definedNames>
    <definedName name="_1000___Project_Management" localSheetId="1">#REF!</definedName>
    <definedName name="_1000___Project_Management" localSheetId="0">#REF!</definedName>
    <definedName name="_1000___Project_Management">#REF!</definedName>
    <definedName name="_1100__Project_Initiation" localSheetId="1">#REF!</definedName>
    <definedName name="_1100__Project_Initiation" localSheetId="0">#REF!</definedName>
    <definedName name="_1100__Project_Initiation">#REF!</definedName>
    <definedName name="_1200__Confirm_Project_Expectations" localSheetId="1">#REF!</definedName>
    <definedName name="_1200__Confirm_Project_Expectations" localSheetId="0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 localSheetId="12">#REF!</definedName>
    <definedName name="_Base_Start_Date" localSheetId="14">#REF!</definedName>
    <definedName name="_Base_Start_Date">#REF!</definedName>
    <definedName name="_Blended_Hourly_Rate" localSheetId="12">#REF!</definedName>
    <definedName name="_Blended_Hourly_Rate" localSheetId="14">#REF!</definedName>
    <definedName name="_Blended_Hourly_Rate">#REF!</definedName>
    <definedName name="_xlnm._FilterDatabase" localSheetId="5" hidden="1">'2a SFY 23-24 Q1 CalSAWS '!$A$2:$CC$3</definedName>
    <definedName name="_xlnm._FilterDatabase" localSheetId="6" hidden="1">'2b SFY 23-24 Q1 CalSAWS MO'!#REF!</definedName>
    <definedName name="_xlnm._FilterDatabase" localSheetId="7" hidden="1">'2c SFY 2223 Q1 Adj-Late CalSAWS'!$A$2:$M$3</definedName>
    <definedName name="_xlnm._FilterDatabase" localSheetId="8" hidden="1">'2d SFY 22-23 Q1 Adj-Late MO'!#REF!</definedName>
    <definedName name="_xlnm._FilterDatabase" localSheetId="9" hidden="1">'3a SFY 23-24 Q1 CalWIN MO'!#REF!</definedName>
    <definedName name="_xlnm._FilterDatabase" localSheetId="10" hidden="1">'3b SFY 22-23 Q1 Adj-Late MO'!#REF!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" hidden="1">#REF!</definedName>
    <definedName name="_Key2" localSheetId="0" hidden="1">#REF!</definedName>
    <definedName name="_Key2" hidden="1">#REF!</definedName>
    <definedName name="_Months_Btw_Trans_and_Base" localSheetId="12">#REF!</definedName>
    <definedName name="_Months_Btw_Trans_and_Base" localSheetId="14">#REF!</definedName>
    <definedName name="_Months_Btw_Trans_and_Base">#REF!</definedName>
    <definedName name="_Order1" hidden="1">255</definedName>
    <definedName name="_Order2" hidden="1">255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0" hidden="1">#REF!</definedName>
    <definedName name="_Sort" hidden="1">#REF!</definedName>
    <definedName name="_Total_Allow_Monthly_Hours" localSheetId="12">#REF!</definedName>
    <definedName name="_Total_Allow_Monthly_Hours" localSheetId="14">#REF!</definedName>
    <definedName name="_Total_Allow_Monthly_Hours">#REF!</definedName>
    <definedName name="_Transition_Start_Date" localSheetId="12">#REF!</definedName>
    <definedName name="_Transition_Start_Date" localSheetId="14">#REF!</definedName>
    <definedName name="_Transition_Start_Date">#REF!</definedName>
    <definedName name="A" localSheetId="12" hidden="1">{"'Cost Centers'!$A$1:$P$373"}</definedName>
    <definedName name="A" localSheetId="13" hidden="1">{"'Cost Centers'!$A$1:$P$373"}</definedName>
    <definedName name="A" localSheetId="14" hidden="1">{"'Cost Centers'!$A$1:$P$373"}</definedName>
    <definedName name="A" localSheetId="3" hidden="1">{"'Cost Centers'!$A$1:$P$373"}</definedName>
    <definedName name="A" localSheetId="1" hidden="1">{"'Cost Centers'!$A$1:$P$373"}</definedName>
    <definedName name="A" localSheetId="0" hidden="1">{"'Cost Centers'!$A$1:$P$373"}</definedName>
    <definedName name="A" hidden="1">{"'Cost Centers'!$A$1:$P$373"}</definedName>
    <definedName name="Accenture_Rate">#REF!</definedName>
    <definedName name="AccessDatabase" hidden="1">"C:\My Documents\Office\1997 Forecasts\Forecast Template.mdb"</definedName>
    <definedName name="AllKits" localSheetId="0">#REF!</definedName>
    <definedName name="AllKits">#REF!</definedName>
    <definedName name="Allocation_DB">#REF!</definedName>
    <definedName name="Allocation_Resource">#REF!</definedName>
    <definedName name="Apr17C" localSheetId="12">#REF!</definedName>
    <definedName name="Apr17C" localSheetId="14">#REF!</definedName>
    <definedName name="Apr17C">#REF!</definedName>
    <definedName name="Apr18C" localSheetId="12">#REF!</definedName>
    <definedName name="Apr18C" localSheetId="14">#REF!</definedName>
    <definedName name="Apr18C">#REF!</definedName>
    <definedName name="Apr19C" localSheetId="12">#REF!</definedName>
    <definedName name="Apr19C" localSheetId="14">#REF!</definedName>
    <definedName name="Apr19C">#REF!</definedName>
    <definedName name="Apr20C" localSheetId="12">#REF!</definedName>
    <definedName name="Apr20C" localSheetId="14">#REF!</definedName>
    <definedName name="Apr20C">#REF!</definedName>
    <definedName name="Apr21C" localSheetId="12">#REF!</definedName>
    <definedName name="Apr21C" localSheetId="14">#REF!</definedName>
    <definedName name="Apr21C">#REF!</definedName>
    <definedName name="Apr22C" localSheetId="12">#REF!</definedName>
    <definedName name="Apr22C" localSheetId="14">#REF!</definedName>
    <definedName name="Apr22C">#REF!</definedName>
    <definedName name="Aug11C" localSheetId="12">#REF!</definedName>
    <definedName name="Aug11C" localSheetId="14">#REF!</definedName>
    <definedName name="Aug11C">#REF!</definedName>
    <definedName name="Aug12C" localSheetId="12">#REF!</definedName>
    <definedName name="Aug12C" localSheetId="14">#REF!</definedName>
    <definedName name="Aug12C">#REF!</definedName>
    <definedName name="Aug13C" localSheetId="12">#REF!</definedName>
    <definedName name="Aug13C" localSheetId="14">#REF!</definedName>
    <definedName name="Aug13C">#REF!</definedName>
    <definedName name="Aug14C" localSheetId="12">#REF!</definedName>
    <definedName name="Aug14C" localSheetId="14">#REF!</definedName>
    <definedName name="Aug14C">#REF!</definedName>
    <definedName name="Aug15C" localSheetId="12">#REF!</definedName>
    <definedName name="Aug15C" localSheetId="14">#REF!</definedName>
    <definedName name="Aug15C">#REF!</definedName>
    <definedName name="Aug16C" localSheetId="12">#REF!</definedName>
    <definedName name="Aug16C" localSheetId="14">#REF!</definedName>
    <definedName name="Aug16C">#REF!</definedName>
    <definedName name="Aug17C" localSheetId="12">#REF!</definedName>
    <definedName name="Aug17C" localSheetId="14">#REF!</definedName>
    <definedName name="Aug17C">#REF!</definedName>
    <definedName name="Aug18C" localSheetId="12">#REF!</definedName>
    <definedName name="Aug18C" localSheetId="14">#REF!</definedName>
    <definedName name="Aug18C">#REF!</definedName>
    <definedName name="Aug19C" localSheetId="12">#REF!</definedName>
    <definedName name="Aug19C" localSheetId="14">#REF!</definedName>
    <definedName name="Aug19C">#REF!</definedName>
    <definedName name="Aug20C" localSheetId="12">#REF!</definedName>
    <definedName name="Aug20C" localSheetId="14">#REF!</definedName>
    <definedName name="Aug20C">#REF!</definedName>
    <definedName name="Aug21C" localSheetId="12">#REF!</definedName>
    <definedName name="Aug21C" localSheetId="14">#REF!</definedName>
    <definedName name="Aug21C">#REF!</definedName>
    <definedName name="Aug22C" localSheetId="12">#REF!</definedName>
    <definedName name="Aug22C" localSheetId="14">#REF!</definedName>
    <definedName name="Aug22C">#REF!</definedName>
    <definedName name="BA">#REF!</definedName>
    <definedName name="Batch_AT_Factor" localSheetId="1">#REF!</definedName>
    <definedName name="Batch_AT_Factor" localSheetId="0">#REF!</definedName>
    <definedName name="Batch_AT_Factor">#REF!</definedName>
    <definedName name="Batch_DAO_Factor" localSheetId="1">#REF!</definedName>
    <definedName name="Batch_DAO_Factor" localSheetId="0">#REF!</definedName>
    <definedName name="Batch_DAO_Factor">#REF!</definedName>
    <definedName name="Batch_VBean_Factor" localSheetId="1">#REF!</definedName>
    <definedName name="Batch_VBean_Factor" localSheetId="0">#REF!</definedName>
    <definedName name="Batch_VBean_Factor">#REF!</definedName>
    <definedName name="BDlist">#REF!</definedName>
    <definedName name="BillCodes">#REF!</definedName>
    <definedName name="BillRate">#REF!</definedName>
    <definedName name="BuildPct" localSheetId="1">#REF!</definedName>
    <definedName name="BuildPct" localSheetId="0">#REF!</definedName>
    <definedName name="BuildPct">#REF!</definedName>
    <definedName name="Case__Tiers40" localSheetId="12">#REF!</definedName>
    <definedName name="Case__Tiers40" localSheetId="13">#REF!</definedName>
    <definedName name="Case__Tiers40" localSheetId="14">#REF!</definedName>
    <definedName name="Case__Tiers40" localSheetId="1">#REF!</definedName>
    <definedName name="Case__Tiers40" localSheetId="0">#REF!</definedName>
    <definedName name="Case__Tiers40">#REF!</definedName>
    <definedName name="Case_Tiers100" localSheetId="12">#REF!</definedName>
    <definedName name="Case_Tiers100" localSheetId="13">#REF!</definedName>
    <definedName name="Case_Tiers100" localSheetId="14">#REF!</definedName>
    <definedName name="Case_Tiers100" localSheetId="1">#REF!</definedName>
    <definedName name="Case_Tiers100" localSheetId="0">#REF!</definedName>
    <definedName name="Case_Tiers100">#REF!</definedName>
    <definedName name="Case_Tiers60" localSheetId="12">#REF!</definedName>
    <definedName name="Case_Tiers60" localSheetId="13">#REF!</definedName>
    <definedName name="Case_Tiers60" localSheetId="14">#REF!</definedName>
    <definedName name="Case_Tiers60">#REF!</definedName>
    <definedName name="Case_Tiers80" localSheetId="12">#REF!</definedName>
    <definedName name="Case_Tiers80" localSheetId="13">#REF!</definedName>
    <definedName name="Case_Tiers80" localSheetId="14">#REF!</definedName>
    <definedName name="Case_Tiers80">#REF!</definedName>
    <definedName name="Category">#REF!</definedName>
    <definedName name="Class_DropDown">#REF!</definedName>
    <definedName name="Class_List">#REF!</definedName>
    <definedName name="Contract_Name_VPF" localSheetId="12">#REF!</definedName>
    <definedName name="Contract_Name_VPF" localSheetId="14">#REF!</definedName>
    <definedName name="Contract_Name_VPF">#REF!</definedName>
    <definedName name="Contract2" localSheetId="12">#REF!</definedName>
    <definedName name="Contract2" localSheetId="14">#REF!</definedName>
    <definedName name="Contract2">#REF!</definedName>
    <definedName name="ContractSelected" localSheetId="12">#REF!</definedName>
    <definedName name="ContractSelected" localSheetId="14">#REF!</definedName>
    <definedName name="ContractSelected">#REF!</definedName>
    <definedName name="ContractSelected2" localSheetId="12">#REF!</definedName>
    <definedName name="ContractSelected2" localSheetId="14">#REF!</definedName>
    <definedName name="ContractSelected2">#REF!</definedName>
    <definedName name="ContractSelected3" localSheetId="12">#REF!</definedName>
    <definedName name="ContractSelected3" localSheetId="14">#REF!</definedName>
    <definedName name="ContractSelected3">#REF!</definedName>
    <definedName name="ContractSelected4" localSheetId="12">#REF!</definedName>
    <definedName name="ContractSelected4" localSheetId="14">#REF!</definedName>
    <definedName name="ContractSelected4">#REF!</definedName>
    <definedName name="ContractStart_Month" localSheetId="12">#REF!</definedName>
    <definedName name="ContractStart_Month" localSheetId="14">#REF!</definedName>
    <definedName name="ContractStart_Month">#REF!</definedName>
    <definedName name="ContractStart_Year" localSheetId="12">#REF!</definedName>
    <definedName name="ContractStart_Year" localSheetId="14">#REF!</definedName>
    <definedName name="ContractStart_Year">#REF!</definedName>
    <definedName name="ContractSubDivisionList2" localSheetId="12">#REF!</definedName>
    <definedName name="ContractSubDivisionList2" localSheetId="14">#REF!</definedName>
    <definedName name="ContractSubDivisionList2">#REF!</definedName>
    <definedName name="ContractSubDivisionList3" localSheetId="12">#REF!</definedName>
    <definedName name="ContractSubDivisionList3" localSheetId="14">#REF!</definedName>
    <definedName name="ContractSubDivisionList3">#REF!</definedName>
    <definedName name="ContractSubDivisionList4" localSheetId="12">#REF!</definedName>
    <definedName name="ContractSubDivisionList4" localSheetId="14">#REF!</definedName>
    <definedName name="ContractSubDivisionList4">#REF!</definedName>
    <definedName name="ContractSubDivisionListing" localSheetId="12">#REF!</definedName>
    <definedName name="ContractSubDivisionListing" localSheetId="14">#REF!</definedName>
    <definedName name="ContractSubDivisionListing">#REF!</definedName>
    <definedName name="ConversionRate_SOAR_Reports" localSheetId="12">#REF!</definedName>
    <definedName name="ConversionRate_SOAR_Reports" localSheetId="14">#REF!</definedName>
    <definedName name="ConversionRate_SOAR_Reports">#REF!</definedName>
    <definedName name="Count_Online_Panel_Medium">#REF!</definedName>
    <definedName name="Countries">#REF!</definedName>
    <definedName name="Dec17C" localSheetId="12">#REF!</definedName>
    <definedName name="Dec17C" localSheetId="14">#REF!</definedName>
    <definedName name="Dec17C">#REF!</definedName>
    <definedName name="Dec18C" localSheetId="12">#REF!</definedName>
    <definedName name="Dec18C" localSheetId="14">#REF!</definedName>
    <definedName name="Dec18C">#REF!</definedName>
    <definedName name="Dec19C" localSheetId="12">#REF!</definedName>
    <definedName name="Dec19C" localSheetId="14">#REF!</definedName>
    <definedName name="Dec19C">#REF!</definedName>
    <definedName name="Dec20C" localSheetId="12">#REF!</definedName>
    <definedName name="Dec20C" localSheetId="14">#REF!</definedName>
    <definedName name="Dec20C">#REF!</definedName>
    <definedName name="Dec21C" localSheetId="12">#REF!</definedName>
    <definedName name="Dec21C" localSheetId="14">#REF!</definedName>
    <definedName name="Dec21C">#REF!</definedName>
    <definedName name="Dec22C" localSheetId="12">#REF!</definedName>
    <definedName name="Dec22C" localSheetId="14">#REF!</definedName>
    <definedName name="Dec22C">#REF!</definedName>
    <definedName name="Del_Allocation_DB" localSheetId="1">#REF!</definedName>
    <definedName name="Del_Allocation_DB" localSheetId="0">#REF!</definedName>
    <definedName name="Del_Allocation_DB">#REF!</definedName>
    <definedName name="Dev_Alloc_DB" localSheetId="1">#REF!</definedName>
    <definedName name="Dev_Alloc_DB" localSheetId="0">#REF!</definedName>
    <definedName name="Dev_Alloc_DB">#REF!</definedName>
    <definedName name="Development_Phase___months">#REF!</definedName>
    <definedName name="DifAT" localSheetId="1">#REF!</definedName>
    <definedName name="DifAT" localSheetId="0">#REF!</definedName>
    <definedName name="DifAT">#REF!</definedName>
    <definedName name="DifBatch" localSheetId="1">#REF!</definedName>
    <definedName name="DifBatch" localSheetId="0">#REF!</definedName>
    <definedName name="DifBatch">#REF!</definedName>
    <definedName name="DifChg" localSheetId="1">#REF!</definedName>
    <definedName name="DifChg" localSheetId="0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#REF!</definedName>
    <definedName name="ds" localSheetId="3" hidden="1">{"'Sheet1'!$B$2:$F$25"}</definedName>
    <definedName name="ds" localSheetId="1" hidden="1">{"'Sheet1'!$B$2:$F$25"}</definedName>
    <definedName name="ds" localSheetId="0" hidden="1">{"'Sheet1'!$B$2:$F$25"}</definedName>
    <definedName name="ds" hidden="1">{"'Sheet1'!$B$2:$F$25"}</definedName>
    <definedName name="DS3_Install">#REF!</definedName>
    <definedName name="DS3_Recurring_Cost">#REF!</definedName>
    <definedName name="DSL_Install">#REF!</definedName>
    <definedName name="DSL_Recurring_Cost">#REF!</definedName>
    <definedName name="EasyAT" localSheetId="1">#REF!</definedName>
    <definedName name="EasyAT" localSheetId="0">#REF!</definedName>
    <definedName name="EasyAT">#REF!</definedName>
    <definedName name="EasyBatch" localSheetId="1">#REF!</definedName>
    <definedName name="EasyBatch" localSheetId="0">#REF!</definedName>
    <definedName name="EasyBatch">#REF!</definedName>
    <definedName name="EasyChg" localSheetId="1">#REF!</definedName>
    <definedName name="EasyChg" localSheetId="0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 localSheetId="0">#REF!</definedName>
    <definedName name="Exhibit_A_DB">#REF!</definedName>
    <definedName name="f1_rate100" localSheetId="12">#REF!</definedName>
    <definedName name="f1_rate100" localSheetId="13">#REF!</definedName>
    <definedName name="f1_rate100" localSheetId="14">#REF!</definedName>
    <definedName name="f1_rate100" localSheetId="0">#REF!</definedName>
    <definedName name="f1_rate100">#REF!</definedName>
    <definedName name="f1_rate40" localSheetId="12">#REF!</definedName>
    <definedName name="f1_rate40" localSheetId="13">#REF!</definedName>
    <definedName name="f1_rate40" localSheetId="14">#REF!</definedName>
    <definedName name="f1_rate40" localSheetId="0">#REF!</definedName>
    <definedName name="f1_rate40">#REF!</definedName>
    <definedName name="f1_rate60" localSheetId="12">#REF!</definedName>
    <definedName name="f1_rate60" localSheetId="13">#REF!</definedName>
    <definedName name="f1_rate60" localSheetId="14">#REF!</definedName>
    <definedName name="f1_rate60">#REF!</definedName>
    <definedName name="f1_rate80" localSheetId="12">#REF!</definedName>
    <definedName name="f1_rate80" localSheetId="13">#REF!</definedName>
    <definedName name="f1_rate80" localSheetId="14">#REF!</definedName>
    <definedName name="f1_rate80">#REF!</definedName>
    <definedName name="f2_rate100" localSheetId="12">#REF!</definedName>
    <definedName name="f2_rate100" localSheetId="13">#REF!</definedName>
    <definedName name="f2_rate100" localSheetId="14">#REF!</definedName>
    <definedName name="f2_rate100">#REF!</definedName>
    <definedName name="f2_rate40" localSheetId="12">#REF!</definedName>
    <definedName name="f2_rate40" localSheetId="13">#REF!</definedName>
    <definedName name="f2_rate40" localSheetId="14">#REF!</definedName>
    <definedName name="f2_rate40">#REF!</definedName>
    <definedName name="f2_rate60" localSheetId="12">#REF!</definedName>
    <definedName name="f2_rate60" localSheetId="13">#REF!</definedName>
    <definedName name="f2_rate60" localSheetId="14">#REF!</definedName>
    <definedName name="f2_rate60">#REF!</definedName>
    <definedName name="f2_rate80" localSheetId="12">#REF!</definedName>
    <definedName name="f2_rate80" localSheetId="13">#REF!</definedName>
    <definedName name="f2_rate80" localSheetId="14">#REF!</definedName>
    <definedName name="f2_rate80">#REF!</definedName>
    <definedName name="f3_rate100" localSheetId="12">#REF!</definedName>
    <definedName name="f3_rate100" localSheetId="13">#REF!</definedName>
    <definedName name="f3_rate100" localSheetId="14">#REF!</definedName>
    <definedName name="f3_rate100">#REF!</definedName>
    <definedName name="f3_rate40" localSheetId="12">#REF!</definedName>
    <definedName name="f3_rate40" localSheetId="13">#REF!</definedName>
    <definedName name="f3_rate40" localSheetId="14">#REF!</definedName>
    <definedName name="f3_rate40">#REF!</definedName>
    <definedName name="f3_rate60" localSheetId="12">#REF!</definedName>
    <definedName name="f3_rate60" localSheetId="13">#REF!</definedName>
    <definedName name="f3_rate60" localSheetId="14">#REF!</definedName>
    <definedName name="f3_rate60">#REF!</definedName>
    <definedName name="f3_rate80" localSheetId="12">#REF!</definedName>
    <definedName name="f3_rate80" localSheetId="13">#REF!</definedName>
    <definedName name="f3_rate80" localSheetId="14">#REF!</definedName>
    <definedName name="f3_rate80">#REF!</definedName>
    <definedName name="f4_rate100" localSheetId="12">#REF!</definedName>
    <definedName name="f4_rate100" localSheetId="13">#REF!</definedName>
    <definedName name="f4_rate100" localSheetId="14">#REF!</definedName>
    <definedName name="f4_rate100">#REF!</definedName>
    <definedName name="f4_rate40" localSheetId="12">#REF!</definedName>
    <definedName name="f4_rate40" localSheetId="13">#REF!</definedName>
    <definedName name="f4_rate40" localSheetId="14">#REF!</definedName>
    <definedName name="f4_rate40">#REF!</definedName>
    <definedName name="f4_rate60" localSheetId="12">#REF!</definedName>
    <definedName name="f4_rate60" localSheetId="13">#REF!</definedName>
    <definedName name="f4_rate60" localSheetId="14">#REF!</definedName>
    <definedName name="f4_rate60">#REF!</definedName>
    <definedName name="f4_rate80" localSheetId="12">#REF!</definedName>
    <definedName name="f4_rate80" localSheetId="13">#REF!</definedName>
    <definedName name="f4_rate80" localSheetId="14">#REF!</definedName>
    <definedName name="f4_rate80">#REF!</definedName>
    <definedName name="Feb11c" localSheetId="12">#REF!</definedName>
    <definedName name="Feb11c" localSheetId="14">#REF!</definedName>
    <definedName name="Feb11c">#REF!</definedName>
    <definedName name="Feb12C" localSheetId="12">#REF!</definedName>
    <definedName name="Feb12C" localSheetId="14">#REF!</definedName>
    <definedName name="Feb12C">#REF!</definedName>
    <definedName name="Feb13C" localSheetId="12">#REF!</definedName>
    <definedName name="Feb13C" localSheetId="14">#REF!</definedName>
    <definedName name="Feb13C">#REF!</definedName>
    <definedName name="Feb14C" localSheetId="12">#REF!</definedName>
    <definedName name="Feb14C" localSheetId="14">#REF!</definedName>
    <definedName name="Feb14C">#REF!</definedName>
    <definedName name="Feb15C" localSheetId="12">#REF!</definedName>
    <definedName name="Feb15C" localSheetId="14">#REF!</definedName>
    <definedName name="Feb15C">#REF!</definedName>
    <definedName name="Feb16C" localSheetId="12">#REF!</definedName>
    <definedName name="Feb16C" localSheetId="14">#REF!</definedName>
    <definedName name="Feb16C">#REF!</definedName>
    <definedName name="Feb17C" localSheetId="12">#REF!</definedName>
    <definedName name="Feb17C" localSheetId="14">#REF!</definedName>
    <definedName name="Feb17C">#REF!</definedName>
    <definedName name="Feb18C" localSheetId="12">#REF!</definedName>
    <definedName name="Feb18C" localSheetId="14">#REF!</definedName>
    <definedName name="Feb18C">#REF!</definedName>
    <definedName name="Feb19C" localSheetId="12">#REF!</definedName>
    <definedName name="Feb19C" localSheetId="14">#REF!</definedName>
    <definedName name="Feb19C">#REF!</definedName>
    <definedName name="Feb20C" localSheetId="12">#REF!</definedName>
    <definedName name="Feb20C" localSheetId="14">#REF!</definedName>
    <definedName name="Feb20C">#REF!</definedName>
    <definedName name="Feb21C" localSheetId="12">#REF!</definedName>
    <definedName name="Feb21C" localSheetId="14">#REF!</definedName>
    <definedName name="Feb21C">#REF!</definedName>
    <definedName name="Feb22C" localSheetId="12">#REF!</definedName>
    <definedName name="Feb22C" localSheetId="14">#REF!</definedName>
    <definedName name="Feb22C">#REF!</definedName>
    <definedName name="Feb23C" localSheetId="12">#REF!</definedName>
    <definedName name="Feb23C" localSheetId="14">#REF!</definedName>
    <definedName name="Feb23C">#REF!</definedName>
    <definedName name="Form_AT_Factor" localSheetId="1">#REF!</definedName>
    <definedName name="Form_AT_Factor" localSheetId="0">#REF!</definedName>
    <definedName name="Form_AT_Factor">#REF!</definedName>
    <definedName name="Form_DAO_Factor" localSheetId="1">#REF!</definedName>
    <definedName name="Form_DAO_Factor" localSheetId="0">#REF!</definedName>
    <definedName name="Form_DAO_Factor">#REF!</definedName>
    <definedName name="FTE_Days_Per_Month" localSheetId="1">#REF!</definedName>
    <definedName name="FTE_Days_Per_Month" localSheetId="0">#REF!</definedName>
    <definedName name="FTE_Days_Per_Month">#REF!</definedName>
    <definedName name="GBUList2" localSheetId="12">#REF!</definedName>
    <definedName name="GBUList2" localSheetId="14">#REF!</definedName>
    <definedName name="GBUList2">#REF!</definedName>
    <definedName name="hgg" localSheetId="1">#REF!</definedName>
    <definedName name="hgg" localSheetId="0">#REF!</definedName>
    <definedName name="hgg">#REF!</definedName>
    <definedName name="Hours_per_month" localSheetId="1">#REF!</definedName>
    <definedName name="Hours_per_month" localSheetId="0">#REF!</definedName>
    <definedName name="Hours_per_month">#REF!</definedName>
    <definedName name="HP_Contr" localSheetId="12">#REF!</definedName>
    <definedName name="HP_Contr" localSheetId="14">#REF!</definedName>
    <definedName name="HP_Contr">#REF!</definedName>
    <definedName name="HTML_CodePage" hidden="1">1252</definedName>
    <definedName name="HTML_Control" localSheetId="12" hidden="1">{"'Sheet1'!$B$2:$F$25"}</definedName>
    <definedName name="HTML_Control" localSheetId="13" hidden="1">{"'Sheet1'!$B$2:$F$25"}</definedName>
    <definedName name="HTML_Control" localSheetId="14" hidden="1">{"'Sheet1'!$B$2:$F$25"}</definedName>
    <definedName name="HTML_Control" localSheetId="3" hidden="1">{"'Sheet1'!$B$2:$F$25"}</definedName>
    <definedName name="HTML_Control" localSheetId="1" hidden="1">{"'Sheet1'!$B$2:$F$25"}</definedName>
    <definedName name="HTML_Control" localSheetId="0" hidden="1">{"'Sheet1'!$B$2:$F$25"}</definedName>
    <definedName name="HTML_Control" hidden="1">{"'Sheet1'!$B$2:$F$25"}</definedName>
    <definedName name="HTML_Control2" localSheetId="3" hidden="1">{"'Sheet1'!$B$2:$F$25"}</definedName>
    <definedName name="HTML_Control2" localSheetId="1" hidden="1">{"'Sheet1'!$B$2:$F$25"}</definedName>
    <definedName name="HTML_Control2" localSheetId="0" hidden="1">{"'Sheet1'!$B$2:$F$25"}</definedName>
    <definedName name="HTML_Control2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0">#REF!</definedName>
    <definedName name="IAPDU">#REF!</definedName>
    <definedName name="ICRECON" localSheetId="0">#REF!</definedName>
    <definedName name="ICRECON">#REF!</definedName>
    <definedName name="Implementation_Phase___months">#REF!</definedName>
    <definedName name="inactive_mult" localSheetId="12">#REF!</definedName>
    <definedName name="inactive_mult" localSheetId="13">#REF!</definedName>
    <definedName name="inactive_mult" localSheetId="14">#REF!</definedName>
    <definedName name="inactive_mult" localSheetId="1">#REF!</definedName>
    <definedName name="inactive_mult" localSheetId="0">#REF!</definedName>
    <definedName name="inactive_mult">#REF!</definedName>
    <definedName name="INDIRECT" localSheetId="0">#REF!</definedName>
    <definedName name="INDIRECT">#REF!</definedName>
    <definedName name="InputRefBSAcct" localSheetId="12">#REF!</definedName>
    <definedName name="InputRefBSAcct" localSheetId="14">#REF!</definedName>
    <definedName name="InputRefBSAcct">#REF!</definedName>
    <definedName name="InputRefBSAll" localSheetId="12">#REF!</definedName>
    <definedName name="InputRefBSAll" localSheetId="14">#REF!</definedName>
    <definedName name="InputRefBSAll">#REF!</definedName>
    <definedName name="InputRefGrossAcct" localSheetId="12">#REF!</definedName>
    <definedName name="InputRefGrossAcct" localSheetId="14">#REF!</definedName>
    <definedName name="InputRefGrossAcct">#REF!</definedName>
    <definedName name="InputRefNonGrossAll" localSheetId="12">#REF!</definedName>
    <definedName name="InputRefNonGrossAll" localSheetId="14">#REF!</definedName>
    <definedName name="InputRefNonGrossAll">#REF!</definedName>
    <definedName name="InputRefRevenueAcct" localSheetId="12">#REF!</definedName>
    <definedName name="InputRefRevenueAcct" localSheetId="14">#REF!</definedName>
    <definedName name="InputRefRevenueAcct">#REF!</definedName>
    <definedName name="InputRefRevenueAll" localSheetId="12">#REF!</definedName>
    <definedName name="InputRefRevenueAll" localSheetId="14">#REF!</definedName>
    <definedName name="InputRefRevenueAll">#REF!</definedName>
    <definedName name="int_ext_sel">1</definedName>
    <definedName name="Itemized_Software_Description">#REF!</definedName>
    <definedName name="ItemTagInsert" localSheetId="12">#REF!</definedName>
    <definedName name="ItemTagInsert" localSheetId="14">#REF!</definedName>
    <definedName name="ItemTagInsert">#REF!</definedName>
    <definedName name="Jan11C" localSheetId="12">#REF!</definedName>
    <definedName name="Jan11C" localSheetId="14">#REF!</definedName>
    <definedName name="Jan11C">#REF!</definedName>
    <definedName name="Jan12C" localSheetId="12">#REF!</definedName>
    <definedName name="Jan12C" localSheetId="14">#REF!</definedName>
    <definedName name="Jan12C">#REF!</definedName>
    <definedName name="Jan13C" localSheetId="12">#REF!</definedName>
    <definedName name="Jan13C" localSheetId="14">#REF!</definedName>
    <definedName name="Jan13C">#REF!</definedName>
    <definedName name="Jan14C" localSheetId="12">#REF!</definedName>
    <definedName name="Jan14C" localSheetId="14">#REF!</definedName>
    <definedName name="Jan14C">#REF!</definedName>
    <definedName name="Jan15C" localSheetId="12">#REF!</definedName>
    <definedName name="Jan15C" localSheetId="14">#REF!</definedName>
    <definedName name="Jan15C">#REF!</definedName>
    <definedName name="Jan16C" localSheetId="12">#REF!</definedName>
    <definedName name="Jan16C" localSheetId="14">#REF!</definedName>
    <definedName name="Jan16C">#REF!</definedName>
    <definedName name="Jan17C" localSheetId="12">#REF!</definedName>
    <definedName name="Jan17C" localSheetId="14">#REF!</definedName>
    <definedName name="Jan17C">#REF!</definedName>
    <definedName name="Jan18C" localSheetId="12">#REF!</definedName>
    <definedName name="Jan18C" localSheetId="14">#REF!</definedName>
    <definedName name="Jan18C">#REF!</definedName>
    <definedName name="Jan19C" localSheetId="12">#REF!</definedName>
    <definedName name="Jan19C" localSheetId="14">#REF!</definedName>
    <definedName name="Jan19C">#REF!</definedName>
    <definedName name="Jan20C" localSheetId="12">#REF!</definedName>
    <definedName name="Jan20C" localSheetId="14">#REF!</definedName>
    <definedName name="Jan20C">#REF!</definedName>
    <definedName name="Jan21C" localSheetId="12">#REF!</definedName>
    <definedName name="Jan21C" localSheetId="14">#REF!</definedName>
    <definedName name="Jan21C">#REF!</definedName>
    <definedName name="Jan22C" localSheetId="12">#REF!</definedName>
    <definedName name="Jan22C" localSheetId="14">#REF!</definedName>
    <definedName name="Jan22C">#REF!</definedName>
    <definedName name="Jan23C" localSheetId="12">#REF!</definedName>
    <definedName name="Jan23C" localSheetId="14">#REF!</definedName>
    <definedName name="Jan23C">#REF!</definedName>
    <definedName name="Jblank" localSheetId="12">#REF!</definedName>
    <definedName name="Jblank" localSheetId="14">#REF!</definedName>
    <definedName name="Jblank">#REF!</definedName>
    <definedName name="JCCol" localSheetId="12">#REF!</definedName>
    <definedName name="JCCol" localSheetId="14">#REF!</definedName>
    <definedName name="JCCol">#REF!</definedName>
    <definedName name="JCStart" localSheetId="12">#REF!</definedName>
    <definedName name="JCStart" localSheetId="14">#REF!</definedName>
    <definedName name="JCStart">#REF!</definedName>
    <definedName name="JobCode" localSheetId="12">#REF!</definedName>
    <definedName name="JobCode" localSheetId="14">#REF!</definedName>
    <definedName name="JobCode">#REF!</definedName>
    <definedName name="JSP_AT_Factor" localSheetId="1">#REF!</definedName>
    <definedName name="JSP_AT_Factor" localSheetId="0">#REF!</definedName>
    <definedName name="JSP_AT_Factor">#REF!</definedName>
    <definedName name="JSP_Conv_Factor" localSheetId="1">#REF!</definedName>
    <definedName name="JSP_Conv_Factor" localSheetId="0">#REF!</definedName>
    <definedName name="JSP_Conv_Factor">#REF!</definedName>
    <definedName name="JSP_DAO_Factor" localSheetId="1">#REF!</definedName>
    <definedName name="JSP_DAO_Factor" localSheetId="0">#REF!</definedName>
    <definedName name="JSP_DAO_Factor">#REF!</definedName>
    <definedName name="JSP_EJB_Factor">#REF!</definedName>
    <definedName name="JSP_VBean_Factor">#REF!</definedName>
    <definedName name="Jul11C" localSheetId="12">#REF!</definedName>
    <definedName name="Jul11C" localSheetId="14">#REF!</definedName>
    <definedName name="Jul11C">#REF!</definedName>
    <definedName name="Jul12C" localSheetId="12">#REF!</definedName>
    <definedName name="Jul12C" localSheetId="14">#REF!</definedName>
    <definedName name="Jul12C">#REF!</definedName>
    <definedName name="Jul13C" localSheetId="12">#REF!</definedName>
    <definedName name="Jul13C" localSheetId="14">#REF!</definedName>
    <definedName name="Jul13C">#REF!</definedName>
    <definedName name="Jul14C" localSheetId="12">#REF!</definedName>
    <definedName name="Jul14C" localSheetId="14">#REF!</definedName>
    <definedName name="Jul14C">#REF!</definedName>
    <definedName name="Jul15C" localSheetId="12">#REF!</definedName>
    <definedName name="Jul15C" localSheetId="14">#REF!</definedName>
    <definedName name="Jul15C">#REF!</definedName>
    <definedName name="Jul16C" localSheetId="12">#REF!</definedName>
    <definedName name="Jul16C" localSheetId="14">#REF!</definedName>
    <definedName name="Jul16C">#REF!</definedName>
    <definedName name="Jul17C" localSheetId="12">#REF!</definedName>
    <definedName name="Jul17C" localSheetId="14">#REF!</definedName>
    <definedName name="Jul17C">#REF!</definedName>
    <definedName name="Jul18C" localSheetId="12">#REF!</definedName>
    <definedName name="Jul18C" localSheetId="14">#REF!</definedName>
    <definedName name="Jul18C">#REF!</definedName>
    <definedName name="Jul19C" localSheetId="12">#REF!</definedName>
    <definedName name="Jul19C" localSheetId="14">#REF!</definedName>
    <definedName name="Jul19C">#REF!</definedName>
    <definedName name="Jul20C" localSheetId="12">#REF!</definedName>
    <definedName name="Jul20C" localSheetId="14">#REF!</definedName>
    <definedName name="Jul20C">#REF!</definedName>
    <definedName name="Jul21C" localSheetId="12">#REF!</definedName>
    <definedName name="Jul21C" localSheetId="14">#REF!</definedName>
    <definedName name="Jul21C">#REF!</definedName>
    <definedName name="Jul22C" localSheetId="12">#REF!</definedName>
    <definedName name="Jul22C" localSheetId="14">#REF!</definedName>
    <definedName name="Jul22C">#REF!</definedName>
    <definedName name="Jun11C" localSheetId="12">#REF!</definedName>
    <definedName name="Jun11C" localSheetId="14">#REF!</definedName>
    <definedName name="Jun11C">#REF!</definedName>
    <definedName name="Jun12C" localSheetId="12">#REF!</definedName>
    <definedName name="Jun12C" localSheetId="14">#REF!</definedName>
    <definedName name="Jun12C">#REF!</definedName>
    <definedName name="Jun13C" localSheetId="12">#REF!</definedName>
    <definedName name="Jun13C" localSheetId="14">#REF!</definedName>
    <definedName name="Jun13C">#REF!</definedName>
    <definedName name="Jun14C" localSheetId="12">#REF!</definedName>
    <definedName name="Jun14C" localSheetId="14">#REF!</definedName>
    <definedName name="Jun14C">#REF!</definedName>
    <definedName name="Jun15C" localSheetId="12">#REF!</definedName>
    <definedName name="Jun15C" localSheetId="14">#REF!</definedName>
    <definedName name="Jun15C">#REF!</definedName>
    <definedName name="Jun16C" localSheetId="12">#REF!</definedName>
    <definedName name="Jun16C" localSheetId="14">#REF!</definedName>
    <definedName name="Jun16C">#REF!</definedName>
    <definedName name="Jun17C" localSheetId="12">#REF!</definedName>
    <definedName name="Jun17C" localSheetId="14">#REF!</definedName>
    <definedName name="Jun17C">#REF!</definedName>
    <definedName name="Jun18C" localSheetId="12">#REF!</definedName>
    <definedName name="Jun18C" localSheetId="14">#REF!</definedName>
    <definedName name="Jun18C">#REF!</definedName>
    <definedName name="Jun19C" localSheetId="12">#REF!</definedName>
    <definedName name="Jun19C" localSheetId="14">#REF!</definedName>
    <definedName name="Jun19C">#REF!</definedName>
    <definedName name="Jun20C" localSheetId="12">#REF!</definedName>
    <definedName name="Jun20C" localSheetId="14">#REF!</definedName>
    <definedName name="Jun20C">#REF!</definedName>
    <definedName name="Jun21C" localSheetId="12">#REF!</definedName>
    <definedName name="Jun21C" localSheetId="14">#REF!</definedName>
    <definedName name="Jun21C">#REF!</definedName>
    <definedName name="Jun22C" localSheetId="12">#REF!</definedName>
    <definedName name="Jun22C" localSheetId="14">#REF!</definedName>
    <definedName name="Jun22C">#REF!</definedName>
    <definedName name="Last_Row" localSheetId="12">#REF!</definedName>
    <definedName name="Last_Row" localSheetId="14">#REF!</definedName>
    <definedName name="Last_Row">#REF!</definedName>
    <definedName name="LastRefreshed" localSheetId="12">#REF!</definedName>
    <definedName name="LastRefreshed" localSheetId="14">#REF!</definedName>
    <definedName name="LastRefreshed">#REF!</definedName>
    <definedName name="Locations" localSheetId="12">#REF!</definedName>
    <definedName name="Locations" localSheetId="14">#REF!</definedName>
    <definedName name="Locations">#REF!</definedName>
    <definedName name="Mar11C" localSheetId="12">#REF!</definedName>
    <definedName name="Mar11C" localSheetId="14">#REF!</definedName>
    <definedName name="Mar11C">#REF!</definedName>
    <definedName name="Mar12C" localSheetId="12">#REF!</definedName>
    <definedName name="Mar12C" localSheetId="14">#REF!</definedName>
    <definedName name="Mar12C">#REF!</definedName>
    <definedName name="Mar13C" localSheetId="12">#REF!</definedName>
    <definedName name="Mar13C" localSheetId="14">#REF!</definedName>
    <definedName name="Mar13C">#REF!</definedName>
    <definedName name="Mar14C" localSheetId="12">#REF!</definedName>
    <definedName name="Mar14C" localSheetId="14">#REF!</definedName>
    <definedName name="Mar14C">#REF!</definedName>
    <definedName name="Mar15C" localSheetId="12">#REF!</definedName>
    <definedName name="Mar15C" localSheetId="14">#REF!</definedName>
    <definedName name="Mar15C">#REF!</definedName>
    <definedName name="Mar16C" localSheetId="12">#REF!</definedName>
    <definedName name="Mar16C" localSheetId="14">#REF!</definedName>
    <definedName name="Mar16C">#REF!</definedName>
    <definedName name="Mar17C" localSheetId="12">#REF!</definedName>
    <definedName name="Mar17C" localSheetId="14">#REF!</definedName>
    <definedName name="Mar17C">#REF!</definedName>
    <definedName name="Mar18C" localSheetId="12">#REF!</definedName>
    <definedName name="Mar18C" localSheetId="14">#REF!</definedName>
    <definedName name="Mar18C">#REF!</definedName>
    <definedName name="Mar19C" localSheetId="12">#REF!</definedName>
    <definedName name="Mar19C" localSheetId="14">#REF!</definedName>
    <definedName name="Mar19C">#REF!</definedName>
    <definedName name="Mar20C" localSheetId="12">#REF!</definedName>
    <definedName name="Mar20C" localSheetId="14">#REF!</definedName>
    <definedName name="Mar20C">#REF!</definedName>
    <definedName name="Mar21C" localSheetId="12">#REF!</definedName>
    <definedName name="Mar21C" localSheetId="14">#REF!</definedName>
    <definedName name="Mar21C">#REF!</definedName>
    <definedName name="Mar22C" localSheetId="12">#REF!</definedName>
    <definedName name="Mar22C" localSheetId="14">#REF!</definedName>
    <definedName name="Mar22C">#REF!</definedName>
    <definedName name="Mar23C" localSheetId="12">#REF!</definedName>
    <definedName name="Mar23C" localSheetId="14">#REF!</definedName>
    <definedName name="Mar23C">#REF!</definedName>
    <definedName name="Margin" localSheetId="12">#REF!</definedName>
    <definedName name="Margin" localSheetId="13">#REF!</definedName>
    <definedName name="Margin" localSheetId="14">#REF!</definedName>
    <definedName name="Margin">#REF!</definedName>
    <definedName name="MarginCalc" localSheetId="12">#REF!</definedName>
    <definedName name="MarginCalc" localSheetId="14">#REF!</definedName>
    <definedName name="MarginCalc">#REF!</definedName>
    <definedName name="May11C" localSheetId="12">#REF!</definedName>
    <definedName name="May11C" localSheetId="14">#REF!</definedName>
    <definedName name="May11C">#REF!</definedName>
    <definedName name="May12C" localSheetId="12">#REF!</definedName>
    <definedName name="May12C" localSheetId="14">#REF!</definedName>
    <definedName name="May12C">#REF!</definedName>
    <definedName name="May13C" localSheetId="12">#REF!</definedName>
    <definedName name="May13C" localSheetId="14">#REF!</definedName>
    <definedName name="May13C">#REF!</definedName>
    <definedName name="May14C" localSheetId="12">#REF!</definedName>
    <definedName name="May14C" localSheetId="14">#REF!</definedName>
    <definedName name="May14C">#REF!</definedName>
    <definedName name="May15C" localSheetId="12">#REF!</definedName>
    <definedName name="May15C" localSheetId="14">#REF!</definedName>
    <definedName name="May15C">#REF!</definedName>
    <definedName name="May16C" localSheetId="12">#REF!</definedName>
    <definedName name="May16C" localSheetId="14">#REF!</definedName>
    <definedName name="May16C">#REF!</definedName>
    <definedName name="May17C" localSheetId="12">#REF!</definedName>
    <definedName name="May17C" localSheetId="14">#REF!</definedName>
    <definedName name="May17C">#REF!</definedName>
    <definedName name="May18C" localSheetId="12">#REF!</definedName>
    <definedName name="May18C" localSheetId="14">#REF!</definedName>
    <definedName name="May18C">#REF!</definedName>
    <definedName name="May19C" localSheetId="12">#REF!</definedName>
    <definedName name="May19C" localSheetId="14">#REF!</definedName>
    <definedName name="May19C">#REF!</definedName>
    <definedName name="May20C" localSheetId="12">#REF!</definedName>
    <definedName name="May20C" localSheetId="14">#REF!</definedName>
    <definedName name="May20C">#REF!</definedName>
    <definedName name="May21C" localSheetId="12">#REF!</definedName>
    <definedName name="May21C" localSheetId="14">#REF!</definedName>
    <definedName name="May21C">#REF!</definedName>
    <definedName name="May22C" localSheetId="12">#REF!</definedName>
    <definedName name="May22C" localSheetId="14">#REF!</definedName>
    <definedName name="May22C">#REF!</definedName>
    <definedName name="MedAT" localSheetId="1">#REF!</definedName>
    <definedName name="MedAT" localSheetId="0">#REF!</definedName>
    <definedName name="MedAT">#REF!</definedName>
    <definedName name="MedBatch" localSheetId="1">#REF!</definedName>
    <definedName name="MedBatch" localSheetId="0">#REF!</definedName>
    <definedName name="MedBatch">#REF!</definedName>
    <definedName name="MedChg" localSheetId="1">#REF!</definedName>
    <definedName name="MedChg" localSheetId="0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localSheetId="12" hidden="1">{"'Overview'!$A$2:$E$37"}</definedName>
    <definedName name="MIS" localSheetId="13" hidden="1">{"'Overview'!$A$2:$E$37"}</definedName>
    <definedName name="MIS" localSheetId="14" hidden="1">{"'Overview'!$A$2:$E$37"}</definedName>
    <definedName name="MIS" localSheetId="3" hidden="1">{"'Overview'!$A$2:$E$37"}</definedName>
    <definedName name="MIS" localSheetId="1" hidden="1">{"'Overview'!$A$2:$E$37"}</definedName>
    <definedName name="MIS" localSheetId="0" hidden="1">{"'Overview'!$A$2:$E$37"}</definedName>
    <definedName name="MIS" hidden="1">{"'Overview'!$A$2:$E$37"}</definedName>
    <definedName name="Months_SS" localSheetId="12">#REF!</definedName>
    <definedName name="Months_SS" localSheetId="14">#REF!</definedName>
    <definedName name="Months_SS">#REF!</definedName>
    <definedName name="Months_Total" localSheetId="12">#REF!</definedName>
    <definedName name="Months_Total" localSheetId="14">#REF!</definedName>
    <definedName name="Months_Total">#REF!</definedName>
    <definedName name="Months_Trans" localSheetId="12">#REF!</definedName>
    <definedName name="Months_Trans" localSheetId="14">#REF!</definedName>
    <definedName name="Months_Trans">#REF!</definedName>
    <definedName name="Months_Transformation" localSheetId="12">#REF!</definedName>
    <definedName name="Months_Transformation" localSheetId="14">#REF!</definedName>
    <definedName name="Months_Transformation">#REF!</definedName>
    <definedName name="MONTHSUM">#REF!</definedName>
    <definedName name="Moody_s_ratings" localSheetId="12">#REF!</definedName>
    <definedName name="Moody_s_ratings" localSheetId="14">#REF!</definedName>
    <definedName name="Moody_s_ratings">#REF!</definedName>
    <definedName name="myRange" localSheetId="12">#REF!</definedName>
    <definedName name="myRange" localSheetId="14">#REF!</definedName>
    <definedName name="myRange">#REF!</definedName>
    <definedName name="Neg_PCT" localSheetId="12">#REF!</definedName>
    <definedName name="Neg_PCT" localSheetId="13">#REF!</definedName>
    <definedName name="Neg_PCT" localSheetId="14">#REF!</definedName>
    <definedName name="Neg_PCT" localSheetId="1">#REF!</definedName>
    <definedName name="Neg_PCT" localSheetId="0">#REF!</definedName>
    <definedName name="Neg_PCT">#REF!</definedName>
    <definedName name="new" localSheetId="12">#REF!</definedName>
    <definedName name="new" localSheetId="14">#REF!</definedName>
    <definedName name="new">#REF!</definedName>
    <definedName name="Nov10C" localSheetId="12">#REF!</definedName>
    <definedName name="Nov10C" localSheetId="14">#REF!</definedName>
    <definedName name="Nov10C">#REF!</definedName>
    <definedName name="Nov11C" localSheetId="12">#REF!</definedName>
    <definedName name="Nov11C" localSheetId="14">#REF!</definedName>
    <definedName name="Nov11C">#REF!</definedName>
    <definedName name="Nov12C" localSheetId="12">#REF!</definedName>
    <definedName name="Nov12C" localSheetId="14">#REF!</definedName>
    <definedName name="Nov12C">#REF!</definedName>
    <definedName name="Nov13C" localSheetId="12">#REF!</definedName>
    <definedName name="Nov13C" localSheetId="14">#REF!</definedName>
    <definedName name="Nov13C">#REF!</definedName>
    <definedName name="Nov14C" localSheetId="12">#REF!</definedName>
    <definedName name="Nov14C" localSheetId="14">#REF!</definedName>
    <definedName name="Nov14C">#REF!</definedName>
    <definedName name="Nov15C" localSheetId="12">#REF!</definedName>
    <definedName name="Nov15C" localSheetId="14">#REF!</definedName>
    <definedName name="Nov15C">#REF!</definedName>
    <definedName name="Nov16C" localSheetId="12">#REF!</definedName>
    <definedName name="Nov16C" localSheetId="14">#REF!</definedName>
    <definedName name="Nov16C">#REF!</definedName>
    <definedName name="nov17C" localSheetId="12">#REF!</definedName>
    <definedName name="nov17C" localSheetId="14">#REF!</definedName>
    <definedName name="nov17C">#REF!</definedName>
    <definedName name="Nov18C" localSheetId="12">#REF!</definedName>
    <definedName name="Nov18C" localSheetId="14">#REF!</definedName>
    <definedName name="Nov18C">#REF!</definedName>
    <definedName name="Nov19C" localSheetId="12">#REF!</definedName>
    <definedName name="Nov19C" localSheetId="14">#REF!</definedName>
    <definedName name="Nov19C">#REF!</definedName>
    <definedName name="Nov20C" localSheetId="12">#REF!</definedName>
    <definedName name="Nov20C" localSheetId="14">#REF!</definedName>
    <definedName name="Nov20C">#REF!</definedName>
    <definedName name="Nov21C" localSheetId="12">#REF!</definedName>
    <definedName name="Nov21C" localSheetId="14">#REF!</definedName>
    <definedName name="Nov21C">#REF!</definedName>
    <definedName name="Nov22C" localSheetId="12">#REF!</definedName>
    <definedName name="Nov22C" localSheetId="14">#REF!</definedName>
    <definedName name="Nov22C">#REF!</definedName>
    <definedName name="NPV_HurdleRate" localSheetId="12">#REF!</definedName>
    <definedName name="NPV_HurdleRate" localSheetId="14">#REF!</definedName>
    <definedName name="NPV_HurdleRate">#REF!</definedName>
    <definedName name="Number_of_users_to_be_supported_during_implementation">#REF!</definedName>
    <definedName name="Oct11c" localSheetId="12">#REF!</definedName>
    <definedName name="Oct11c" localSheetId="14">#REF!</definedName>
    <definedName name="Oct11c">#REF!</definedName>
    <definedName name="Oct12C" localSheetId="12">#REF!</definedName>
    <definedName name="Oct12C" localSheetId="14">#REF!</definedName>
    <definedName name="Oct12C">#REF!</definedName>
    <definedName name="Oct13C" localSheetId="12">#REF!</definedName>
    <definedName name="Oct13C" localSheetId="14">#REF!</definedName>
    <definedName name="Oct13C">#REF!</definedName>
    <definedName name="Oct14C" localSheetId="12">#REF!</definedName>
    <definedName name="Oct14C" localSheetId="14">#REF!</definedName>
    <definedName name="Oct14C">#REF!</definedName>
    <definedName name="Oct15C" localSheetId="12">#REF!</definedName>
    <definedName name="Oct15C" localSheetId="14">#REF!</definedName>
    <definedName name="Oct15C">#REF!</definedName>
    <definedName name="Oct16C" localSheetId="12">#REF!</definedName>
    <definedName name="Oct16C" localSheetId="14">#REF!</definedName>
    <definedName name="Oct16C">#REF!</definedName>
    <definedName name="Oct17C" localSheetId="12">#REF!</definedName>
    <definedName name="Oct17C" localSheetId="14">#REF!</definedName>
    <definedName name="Oct17C">#REF!</definedName>
    <definedName name="Oct18C" localSheetId="12">#REF!</definedName>
    <definedName name="Oct18C" localSheetId="14">#REF!</definedName>
    <definedName name="Oct18C">#REF!</definedName>
    <definedName name="Oct19C" localSheetId="12">#REF!</definedName>
    <definedName name="Oct19C" localSheetId="14">#REF!</definedName>
    <definedName name="Oct19C">#REF!</definedName>
    <definedName name="Oct20C" localSheetId="12">#REF!</definedName>
    <definedName name="Oct20C" localSheetId="14">#REF!</definedName>
    <definedName name="Oct20C">#REF!</definedName>
    <definedName name="Oct21C" localSheetId="12">#REF!</definedName>
    <definedName name="Oct21C" localSheetId="14">#REF!</definedName>
    <definedName name="Oct21C">#REF!</definedName>
    <definedName name="Oct22C" localSheetId="12">#REF!</definedName>
    <definedName name="Oct22C" localSheetId="14">#REF!</definedName>
    <definedName name="Oct22C">#REF!</definedName>
    <definedName name="of_Application_Teams_AD" localSheetId="1">#REF!</definedName>
    <definedName name="of_Application_Teams_AD" localSheetId="0">#REF!</definedName>
    <definedName name="of_Application_Teams_AD">#REF!</definedName>
    <definedName name="of_Application_Teams_FA" localSheetId="1">#REF!</definedName>
    <definedName name="of_Application_Teams_FA" localSheetId="0">#REF!</definedName>
    <definedName name="of_Application_Teams_FA">#REF!</definedName>
    <definedName name="of_Application_Teams_SF" localSheetId="1">#REF!</definedName>
    <definedName name="of_Application_Teams_SF" localSheetId="0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 localSheetId="12">#REF!,#REF!</definedName>
    <definedName name="one" localSheetId="14">#REF!,#REF!</definedName>
    <definedName name="one">#REF!,#REF!</definedName>
    <definedName name="OpenviewStdRates" localSheetId="12">#REF!</definedName>
    <definedName name="OpenviewStdRates" localSheetId="14">#REF!</definedName>
    <definedName name="OpenviewStdRates">#REF!</definedName>
    <definedName name="Organization" localSheetId="12">#REF!</definedName>
    <definedName name="Organization" localSheetId="14">#REF!</definedName>
    <definedName name="Organization">#REF!</definedName>
    <definedName name="OS_GoalSeekAllowance" localSheetId="12">#REF!</definedName>
    <definedName name="OS_GoalSeekAllowance" localSheetId="14">#REF!</definedName>
    <definedName name="OS_GoalSeekAllowance">#REF!</definedName>
    <definedName name="OS_Ops_GoalSeekAllowance" localSheetId="12">#REF!</definedName>
    <definedName name="OS_Ops_GoalSeekAllowance" localSheetId="14">#REF!</definedName>
    <definedName name="OS_Ops_GoalSeekAllowance">#REF!</definedName>
    <definedName name="OS_TargetGM" localSheetId="12">#REF!</definedName>
    <definedName name="OS_TargetGM" localSheetId="14">#REF!</definedName>
    <definedName name="OS_TargetGM">#REF!</definedName>
    <definedName name="Output_Currency" localSheetId="12">#REF!</definedName>
    <definedName name="Output_Currency" localSheetId="14">#REF!</definedName>
    <definedName name="Output_Currency">#REF!</definedName>
    <definedName name="PCHierarchy" localSheetId="12">#REF!</definedName>
    <definedName name="PCHierarchy" localSheetId="14">#REF!</definedName>
    <definedName name="PCHierarchy">#REF!</definedName>
    <definedName name="PCNode" localSheetId="12">#REF!</definedName>
    <definedName name="PCNode" localSheetId="14">#REF!</definedName>
    <definedName name="PCNode">#REF!</definedName>
    <definedName name="PeopleForm.Revenue" localSheetId="12">#REF!</definedName>
    <definedName name="PeopleForm.Revenue" localSheetId="14">#REF!</definedName>
    <definedName name="PeopleForm.Revenue">#REF!</definedName>
    <definedName name="_xlnm.Print_Area" localSheetId="6">'2b SFY 23-24 Q1 CalSAWS MO'!#REF!</definedName>
    <definedName name="_xlnm.Print_Area" localSheetId="8">'2d SFY 22-23 Q1 Adj-Late MO'!#REF!</definedName>
    <definedName name="_xlnm.Print_Area" localSheetId="13">'5a SFY 2223 CalWIN MO Share Tbl'!$A$1:$M$25</definedName>
    <definedName name="_xlnm.Print_Area" localSheetId="14">'5b SFY 2324 CalWIN MO Share Tbl'!$A$1:$M$25</definedName>
    <definedName name="Prior_Flash" localSheetId="12">#REF!</definedName>
    <definedName name="Prior_Flash" localSheetId="14">#REF!</definedName>
    <definedName name="Prior_Flash">#REF!</definedName>
    <definedName name="Prod">#REF!</definedName>
    <definedName name="Prod_Codes">#REF!</definedName>
    <definedName name="Prod1">#REF!</definedName>
    <definedName name="Product_Codes">#REF!</definedName>
    <definedName name="ProductDepMethodInsert" localSheetId="12">#REF!</definedName>
    <definedName name="ProductDepMethodInsert" localSheetId="14">#REF!</definedName>
    <definedName name="ProductDepMethodInsert">#REF!</definedName>
    <definedName name="ProductFamilyInsert" localSheetId="12">#REF!</definedName>
    <definedName name="ProductFamilyInsert" localSheetId="14">#REF!</definedName>
    <definedName name="ProductFamilyInsert">#REF!</definedName>
    <definedName name="Project_Yr">#REF!</definedName>
    <definedName name="ProjectDiscount" localSheetId="1">#REF!</definedName>
    <definedName name="ProjectDiscount" localSheetId="0">#REF!</definedName>
    <definedName name="ProjectDiscount">#REF!</definedName>
    <definedName name="PY_Hours">#REF!</definedName>
    <definedName name="PY_Hours_DB">#REF!</definedName>
    <definedName name="PY_Name" localSheetId="12">#REF!</definedName>
    <definedName name="PY_Name" localSheetId="14">#REF!</definedName>
    <definedName name="PY_Name">#REF!</definedName>
    <definedName name="PY_Percent_DB" localSheetId="1">#REF!</definedName>
    <definedName name="PY_Percent_DB" localSheetId="0">#REF!</definedName>
    <definedName name="PY_Percent_DB">#REF!</definedName>
    <definedName name="QA_Rate">#REF!</definedName>
    <definedName name="QTRALLOC">#N/A</definedName>
    <definedName name="rate100" localSheetId="12">#REF!</definedName>
    <definedName name="rate100" localSheetId="13">#REF!</definedName>
    <definedName name="rate100" localSheetId="14">#REF!</definedName>
    <definedName name="rate100" localSheetId="0">#REF!</definedName>
    <definedName name="rate100">#REF!</definedName>
    <definedName name="rate40" localSheetId="12">#REF!</definedName>
    <definedName name="rate40" localSheetId="13">#REF!</definedName>
    <definedName name="rate40" localSheetId="14">#REF!</definedName>
    <definedName name="rate40" localSheetId="0">#REF!</definedName>
    <definedName name="rate40">#REF!</definedName>
    <definedName name="rate60" localSheetId="12">#REF!</definedName>
    <definedName name="rate60" localSheetId="13">#REF!</definedName>
    <definedName name="rate60" localSheetId="14">#REF!</definedName>
    <definedName name="rate60" localSheetId="0">#REF!</definedName>
    <definedName name="rate60">#REF!</definedName>
    <definedName name="rate80" localSheetId="12">#REF!</definedName>
    <definedName name="rate80" localSheetId="13">#REF!</definedName>
    <definedName name="rate80" localSheetId="14">#REF!</definedName>
    <definedName name="rate80">#REF!</definedName>
    <definedName name="RateCard">#REF!</definedName>
    <definedName name="RatesLook" localSheetId="12">#REF!</definedName>
    <definedName name="RatesLook" localSheetId="14">#REF!</definedName>
    <definedName name="RatesLook">#REF!</definedName>
    <definedName name="_xlnm.Recorder">#REF!</definedName>
    <definedName name="RevenueCalc" localSheetId="12">#REF!</definedName>
    <definedName name="RevenueCalc" localSheetId="14">#REF!</definedName>
    <definedName name="RevenueCalc">#REF!</definedName>
    <definedName name="RFPRole">#REF!</definedName>
    <definedName name="rolelookup" localSheetId="12">#REF!</definedName>
    <definedName name="rolelookup" localSheetId="14">#REF!</definedName>
    <definedName name="rolelookup">#REF!</definedName>
    <definedName name="Rpt_AT_Factor" localSheetId="1">#REF!</definedName>
    <definedName name="Rpt_AT_Factor" localSheetId="0">#REF!</definedName>
    <definedName name="Rpt_AT_Factor">#REF!</definedName>
    <definedName name="Rule_AT_Factor" localSheetId="1">#REF!</definedName>
    <definedName name="Rule_AT_Factor" localSheetId="0">#REF!</definedName>
    <definedName name="Rule_AT_Factor">#REF!</definedName>
    <definedName name="Rule_DAO_Factor" localSheetId="1">#REF!</definedName>
    <definedName name="Rule_DAO_Factor" localSheetId="0">#REF!</definedName>
    <definedName name="Rule_DAO_Factor">#REF!</definedName>
    <definedName name="Rule_VBean_Factor">#REF!</definedName>
    <definedName name="sacs">#REF!</definedName>
    <definedName name="SalaryLevelInsert" localSheetId="12">#REF!</definedName>
    <definedName name="SalaryLevelInsert" localSheetId="14">#REF!</definedName>
    <definedName name="SalaryLevelInsert">#REF!</definedName>
    <definedName name="SalaryTable" localSheetId="12">#REF!</definedName>
    <definedName name="SalaryTable" localSheetId="14">#REF!</definedName>
    <definedName name="SalaryTable">#REF!</definedName>
    <definedName name="SalaryTable_Americas" localSheetId="12">#REF!</definedName>
    <definedName name="SalaryTable_Americas" localSheetId="14">#REF!</definedName>
    <definedName name="SalaryTable_Americas">#REF!</definedName>
    <definedName name="Sales_Tax">#REF!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 localSheetId="0">#REF!</definedName>
    <definedName name="Schedule">#REF!</definedName>
    <definedName name="sdd" localSheetId="12">#REF!</definedName>
    <definedName name="sdd" localSheetId="14">#REF!</definedName>
    <definedName name="sdd">#REF!</definedName>
    <definedName name="SECAIB" localSheetId="12">#REF!</definedName>
    <definedName name="SECAIB" localSheetId="14">#REF!</definedName>
    <definedName name="SECAIB">#REF!</definedName>
    <definedName name="Sep17C" localSheetId="12">#REF!</definedName>
    <definedName name="Sep17C" localSheetId="14">#REF!</definedName>
    <definedName name="Sep17C">#REF!</definedName>
    <definedName name="Sep18C" localSheetId="12">#REF!</definedName>
    <definedName name="Sep18C" localSheetId="14">#REF!</definedName>
    <definedName name="Sep18C">#REF!</definedName>
    <definedName name="Sep19C" localSheetId="12">#REF!</definedName>
    <definedName name="Sep19C" localSheetId="14">#REF!</definedName>
    <definedName name="Sep19C">#REF!</definedName>
    <definedName name="Sep20C" localSheetId="12">#REF!</definedName>
    <definedName name="Sep20C" localSheetId="14">#REF!</definedName>
    <definedName name="Sep20C">#REF!</definedName>
    <definedName name="Sep21C" localSheetId="12">#REF!</definedName>
    <definedName name="Sep21C" localSheetId="14">#REF!</definedName>
    <definedName name="Sep21C">#REF!</definedName>
    <definedName name="Sep22C" localSheetId="12">#REF!</definedName>
    <definedName name="Sep22C" localSheetId="14">#REF!</definedName>
    <definedName name="Sep22C">#REF!</definedName>
    <definedName name="Sep23C" localSheetId="12">#REF!</definedName>
    <definedName name="Sep23C" localSheetId="14">#REF!</definedName>
    <definedName name="Sep23C">#REF!</definedName>
    <definedName name="Serv_Line" localSheetId="12">#REF!</definedName>
    <definedName name="Serv_Line" localSheetId="14">#REF!</definedName>
    <definedName name="Serv_Line">#REF!</definedName>
    <definedName name="Service_Line" localSheetId="12">#REF!</definedName>
    <definedName name="Service_Line" localSheetId="14">#REF!</definedName>
    <definedName name="Service_Line">#REF!</definedName>
    <definedName name="ServicesHours">#REF!</definedName>
    <definedName name="ShiftCodeUplift" localSheetId="12">#REF!</definedName>
    <definedName name="ShiftCodeUplift" localSheetId="14">#REF!</definedName>
    <definedName name="ShiftCodeUplift">#REF!</definedName>
    <definedName name="Shipping">#REF!</definedName>
    <definedName name="SIFTCAT2" localSheetId="12">#REF!</definedName>
    <definedName name="SIFTCAT2" localSheetId="14">#REF!</definedName>
    <definedName name="SIFTCAT2">#REF!</definedName>
    <definedName name="SiteLocation" localSheetId="12">#REF!</definedName>
    <definedName name="SiteLocation" localSheetId="14">#REF!</definedName>
    <definedName name="SiteLocation">#REF!</definedName>
    <definedName name="SO_ALL" localSheetId="12">#REF!</definedName>
    <definedName name="SO_ALL" localSheetId="14">#REF!</definedName>
    <definedName name="SO_ALL">#REF!</definedName>
    <definedName name="SO_Tbl" localSheetId="12">#REF!</definedName>
    <definedName name="SO_Tbl" localSheetId="14">#REF!</definedName>
    <definedName name="SO_Tbl">#REF!</definedName>
    <definedName name="Soar_ID" localSheetId="12">#REF!</definedName>
    <definedName name="Soar_ID" localSheetId="14">#REF!</definedName>
    <definedName name="Soar_ID">#REF!</definedName>
    <definedName name="Spec_pct" localSheetId="12">#REF!</definedName>
    <definedName name="Spec_pct" localSheetId="13">#REF!</definedName>
    <definedName name="Spec_pct" localSheetId="14">#REF!</definedName>
    <definedName name="Spec_pct" localSheetId="1">#REF!</definedName>
    <definedName name="Spec_pct" localSheetId="0">#REF!</definedName>
    <definedName name="Spec_pct">#REF!</definedName>
    <definedName name="State" localSheetId="12">#REF!</definedName>
    <definedName name="State" localSheetId="14">#REF!</definedName>
    <definedName name="State">#REF!</definedName>
    <definedName name="StdPaymentOption" localSheetId="12">#REF!</definedName>
    <definedName name="StdPaymentOption" localSheetId="14">#REF!</definedName>
    <definedName name="StdPaymentOption">#REF!</definedName>
    <definedName name="String2" localSheetId="12">#REF!</definedName>
    <definedName name="String2" localSheetId="14">#REF!</definedName>
    <definedName name="String2">#REF!</definedName>
    <definedName name="StringA" localSheetId="12">#REF!</definedName>
    <definedName name="StringA" localSheetId="14">#REF!</definedName>
    <definedName name="StringA">#REF!</definedName>
    <definedName name="SubDivisionList" localSheetId="12">#REF!</definedName>
    <definedName name="SubDivisionList" localSheetId="14">#REF!</definedName>
    <definedName name="SubDivisionList">#REF!</definedName>
    <definedName name="SUPPLIES">#REF!</definedName>
    <definedName name="SystemData115" localSheetId="12">#REF!</definedName>
    <definedName name="SystemData115" localSheetId="14">#REF!</definedName>
    <definedName name="SystemData115">#REF!</definedName>
    <definedName name="SystemTest" localSheetId="1">#REF!</definedName>
    <definedName name="SystemTest" localSheetId="0">#REF!</definedName>
    <definedName name="SystemTest">#REF!</definedName>
    <definedName name="t_channels" localSheetId="0">#REF!</definedName>
    <definedName name="t_channels">#REF!</definedName>
    <definedName name="t_seats" localSheetId="0">#REF!</definedName>
    <definedName name="t_seats">#REF!</definedName>
    <definedName name="T1_Install" localSheetId="0">#REF!</definedName>
    <definedName name="T1_Install">#REF!</definedName>
    <definedName name="T1_Recurring_Cost" localSheetId="0">#REF!</definedName>
    <definedName name="T1_Recurring_Cost">#REF!</definedName>
    <definedName name="Tables4" localSheetId="3" hidden="1">{"'Sheet1'!$B$2:$F$25"}</definedName>
    <definedName name="Tables4" localSheetId="1" hidden="1">{"'Sheet1'!$B$2:$F$25"}</definedName>
    <definedName name="Tables4" localSheetId="0" hidden="1">{"'Sheet1'!$B$2:$F$25"}</definedName>
    <definedName name="Tables4" hidden="1">{"'Sheet1'!$B$2:$F$25"}</definedName>
    <definedName name="TagsUsed" localSheetId="12">#REF!</definedName>
    <definedName name="TagsUsed" localSheetId="14">#REF!</definedName>
    <definedName name="TagsUsed">#REF!</definedName>
    <definedName name="Tasks" localSheetId="1">#REF!</definedName>
    <definedName name="Tasks" localSheetId="0">#REF!</definedName>
    <definedName name="Tasks">#REF!</definedName>
    <definedName name="Team" localSheetId="1">#REF!</definedName>
    <definedName name="Team" localSheetId="0">#REF!</definedName>
    <definedName name="Team">#REF!</definedName>
    <definedName name="TestPct" localSheetId="1">#REF!</definedName>
    <definedName name="TestPct" localSheetId="0">#REF!</definedName>
    <definedName name="TestPct">#REF!</definedName>
    <definedName name="Tiers100" localSheetId="12">#REF!</definedName>
    <definedName name="Tiers100" localSheetId="13">#REF!</definedName>
    <definedName name="Tiers100" localSheetId="14">#REF!</definedName>
    <definedName name="Tiers100">#REF!</definedName>
    <definedName name="Tiers40" localSheetId="12">#REF!</definedName>
    <definedName name="Tiers40" localSheetId="13">#REF!</definedName>
    <definedName name="Tiers40" localSheetId="14">#REF!</definedName>
    <definedName name="Tiers40">#REF!</definedName>
    <definedName name="Tiers60" localSheetId="12">#REF!</definedName>
    <definedName name="Tiers60" localSheetId="13">#REF!</definedName>
    <definedName name="Tiers60" localSheetId="14">#REF!</definedName>
    <definedName name="Tiers60">#REF!</definedName>
    <definedName name="Tiers80" localSheetId="12">#REF!</definedName>
    <definedName name="Tiers80" localSheetId="13">#REF!</definedName>
    <definedName name="Tiers80" localSheetId="14">#REF!</definedName>
    <definedName name="Tiers80">#REF!</definedName>
    <definedName name="Title" localSheetId="12">#REF!</definedName>
    <definedName name="Title" localSheetId="14">#REF!</definedName>
    <definedName name="Title">#REF!</definedName>
    <definedName name="Trans" localSheetId="12">#REF!</definedName>
    <definedName name="Trans" localSheetId="14">#REF!</definedName>
    <definedName name="Trans">#REF!</definedName>
    <definedName name="us">1.5037</definedName>
    <definedName name="USASourceList">#REF!</definedName>
    <definedName name="V" localSheetId="12">#REF!</definedName>
    <definedName name="V" localSheetId="13">#REF!</definedName>
    <definedName name="V" localSheetId="14">#REF!</definedName>
    <definedName name="V">#REF!</definedName>
    <definedName name="ValidResources">#REF!</definedName>
    <definedName name="VARTYPE2" localSheetId="12">#REF!</definedName>
    <definedName name="VARTYPE2" localSheetId="14">#REF!</definedName>
    <definedName name="VARTYPE2">#REF!</definedName>
    <definedName name="Version" localSheetId="12">#REF!</definedName>
    <definedName name="Version" localSheetId="14">#REF!</definedName>
    <definedName name="Version">#REF!</definedName>
    <definedName name="WorkforceList">#REF!</definedName>
    <definedName name="xxx" localSheetId="12">#REF!</definedName>
    <definedName name="xxx" localSheetId="13">#REF!</definedName>
    <definedName name="xxx" localSheetId="14">#REF!</definedName>
    <definedName name="xxx">#REF!</definedName>
    <definedName name="ZLE" localSheetId="12" hidden="1">{"'Overview'!$A$2:$E$37"}</definedName>
    <definedName name="ZLE" localSheetId="13" hidden="1">{"'Overview'!$A$2:$E$37"}</definedName>
    <definedName name="ZLE" localSheetId="14" hidden="1">{"'Overview'!$A$2:$E$37"}</definedName>
    <definedName name="ZLE" localSheetId="3" hidden="1">{"'Overview'!$A$2:$E$37"}</definedName>
    <definedName name="ZLE" localSheetId="1" hidden="1">{"'Overview'!$A$2:$E$37"}</definedName>
    <definedName name="ZLE" localSheetId="0" hidden="1">{"'Overview'!$A$2:$E$37"}</definedName>
    <definedName name="ZLE" hidden="1">{"'Overview'!$A$2:$E$37"}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9" l="1"/>
  <c r="C68" i="19"/>
  <c r="B68" i="19"/>
  <c r="AQ68" i="11" l="1"/>
  <c r="AP68" i="11"/>
  <c r="AO68" i="11"/>
  <c r="AK68" i="11"/>
  <c r="AJ68" i="11"/>
  <c r="AI68" i="11"/>
  <c r="AX68" i="11"/>
  <c r="AW68" i="11"/>
  <c r="AV68" i="11"/>
  <c r="AU68" i="11"/>
  <c r="AU62" i="11"/>
  <c r="AV62" i="11"/>
  <c r="AW62" i="11"/>
  <c r="AU61" i="11"/>
  <c r="AV61" i="11"/>
  <c r="AW61" i="11"/>
  <c r="AU59" i="11"/>
  <c r="AV59" i="11"/>
  <c r="AW59" i="11"/>
  <c r="AU53" i="11"/>
  <c r="AV53" i="11"/>
  <c r="AW53" i="11"/>
  <c r="AU54" i="11"/>
  <c r="AV54" i="11"/>
  <c r="AW54" i="11"/>
  <c r="AU49" i="11"/>
  <c r="AV49" i="11"/>
  <c r="AW49" i="11"/>
  <c r="AU48" i="11"/>
  <c r="AV48" i="11"/>
  <c r="AW48" i="11"/>
  <c r="AU47" i="11"/>
  <c r="AV47" i="11"/>
  <c r="AW47" i="11"/>
  <c r="AU46" i="11"/>
  <c r="AV46" i="11"/>
  <c r="AW46" i="11"/>
  <c r="AU45" i="11"/>
  <c r="AV45" i="11"/>
  <c r="AW45" i="11"/>
  <c r="AU43" i="11"/>
  <c r="AV43" i="11"/>
  <c r="AW43" i="11"/>
  <c r="AU42" i="11"/>
  <c r="AV42" i="11"/>
  <c r="AW42" i="11"/>
  <c r="AU39" i="11"/>
  <c r="AV39" i="11"/>
  <c r="AW39" i="11"/>
  <c r="AU35" i="11"/>
  <c r="AU5" i="11" s="1"/>
  <c r="AV35" i="11"/>
  <c r="AW35" i="11"/>
  <c r="AU36" i="11"/>
  <c r="AV36" i="11"/>
  <c r="AW36" i="11"/>
  <c r="AU15" i="11"/>
  <c r="AV15" i="11"/>
  <c r="AW15" i="11"/>
  <c r="AU12" i="11"/>
  <c r="AV12" i="11"/>
  <c r="AW12" i="11"/>
  <c r="AW6" i="11"/>
  <c r="AW5" i="11" s="1"/>
  <c r="AV6" i="11"/>
  <c r="AV5" i="11" s="1"/>
  <c r="AU6" i="11"/>
  <c r="AO62" i="11"/>
  <c r="AP62" i="11"/>
  <c r="AQ62" i="11"/>
  <c r="AO61" i="11"/>
  <c r="AP61" i="11"/>
  <c r="AQ61" i="11"/>
  <c r="AO59" i="11"/>
  <c r="AP59" i="11"/>
  <c r="AQ59" i="11"/>
  <c r="AO53" i="11"/>
  <c r="AP53" i="11"/>
  <c r="AQ53" i="11"/>
  <c r="AO54" i="11"/>
  <c r="AP54" i="11"/>
  <c r="AQ54" i="11"/>
  <c r="AO45" i="11"/>
  <c r="AP45" i="11"/>
  <c r="AQ45" i="11"/>
  <c r="AO46" i="11"/>
  <c r="AP46" i="11"/>
  <c r="AQ46" i="11"/>
  <c r="AO47" i="11"/>
  <c r="AP47" i="11"/>
  <c r="AQ47" i="11"/>
  <c r="AO48" i="11"/>
  <c r="AP48" i="11"/>
  <c r="AQ48" i="11"/>
  <c r="AO49" i="11"/>
  <c r="AP49" i="11"/>
  <c r="AQ49" i="11"/>
  <c r="AO42" i="11"/>
  <c r="AP42" i="11"/>
  <c r="AQ42" i="11"/>
  <c r="AO43" i="11"/>
  <c r="AP43" i="11"/>
  <c r="AQ43" i="11"/>
  <c r="AO39" i="11"/>
  <c r="AP39" i="11"/>
  <c r="AQ39" i="11"/>
  <c r="AO35" i="11"/>
  <c r="AP35" i="11"/>
  <c r="AQ35" i="11"/>
  <c r="AO36" i="11"/>
  <c r="AP36" i="11"/>
  <c r="AQ36" i="11"/>
  <c r="AO15" i="11"/>
  <c r="AP15" i="11"/>
  <c r="AQ15" i="11"/>
  <c r="AO12" i="11"/>
  <c r="AP12" i="11"/>
  <c r="AQ12" i="11"/>
  <c r="AQ6" i="11"/>
  <c r="AP6" i="11"/>
  <c r="AO6" i="11"/>
  <c r="AK5" i="11"/>
  <c r="AJ5" i="11"/>
  <c r="AI5" i="11"/>
  <c r="AI6" i="11" s="1"/>
  <c r="C5" i="11"/>
  <c r="X10" i="11"/>
  <c r="X41" i="11"/>
  <c r="X44" i="11"/>
  <c r="X50" i="11"/>
  <c r="W52" i="11"/>
  <c r="W24" i="11"/>
  <c r="W55" i="11"/>
  <c r="W63" i="11"/>
  <c r="V38" i="11"/>
  <c r="V20" i="11"/>
  <c r="V24" i="11"/>
  <c r="W20" i="11"/>
  <c r="W5" i="11"/>
  <c r="X5" i="11"/>
  <c r="V5" i="11"/>
  <c r="R5" i="11"/>
  <c r="L5" i="11"/>
  <c r="M5" i="11"/>
  <c r="K5" i="11"/>
  <c r="G5" i="11"/>
  <c r="AJ6" i="11"/>
  <c r="I10" i="4"/>
  <c r="I13" i="4"/>
  <c r="I33" i="4"/>
  <c r="I34" i="4"/>
  <c r="I37" i="4"/>
  <c r="I40" i="4"/>
  <c r="I41" i="4"/>
  <c r="I43" i="4"/>
  <c r="I44" i="4"/>
  <c r="I45" i="4"/>
  <c r="I46" i="4"/>
  <c r="I47" i="4"/>
  <c r="I51" i="4"/>
  <c r="I52" i="4"/>
  <c r="I57" i="4"/>
  <c r="I59" i="4"/>
  <c r="I60" i="4"/>
  <c r="I4" i="4"/>
  <c r="H10" i="4"/>
  <c r="H13" i="4"/>
  <c r="H33" i="4"/>
  <c r="H34" i="4"/>
  <c r="H37" i="4"/>
  <c r="H40" i="4"/>
  <c r="H41" i="4"/>
  <c r="H43" i="4"/>
  <c r="H44" i="4"/>
  <c r="H45" i="4"/>
  <c r="H46" i="4"/>
  <c r="H47" i="4"/>
  <c r="H51" i="4"/>
  <c r="H52" i="4"/>
  <c r="H57" i="4"/>
  <c r="H59" i="4"/>
  <c r="H60" i="4"/>
  <c r="H4" i="4"/>
  <c r="G10" i="4"/>
  <c r="G13" i="4"/>
  <c r="G33" i="4"/>
  <c r="G34" i="4"/>
  <c r="G37" i="4"/>
  <c r="G40" i="4"/>
  <c r="G41" i="4"/>
  <c r="G43" i="4"/>
  <c r="G44" i="4"/>
  <c r="G45" i="4"/>
  <c r="G46" i="4"/>
  <c r="G47" i="4"/>
  <c r="G51" i="4"/>
  <c r="G52" i="4"/>
  <c r="G57" i="4"/>
  <c r="G59" i="4"/>
  <c r="G60" i="4"/>
  <c r="G4" i="4"/>
  <c r="X55" i="11"/>
  <c r="X24" i="11"/>
  <c r="AH62" i="11"/>
  <c r="AH61" i="11"/>
  <c r="AH59" i="11"/>
  <c r="AH54" i="11"/>
  <c r="AH53" i="11"/>
  <c r="AH46" i="11"/>
  <c r="AH47" i="11"/>
  <c r="AH48" i="11"/>
  <c r="AH49" i="11"/>
  <c r="AH45" i="11"/>
  <c r="AH43" i="11"/>
  <c r="AH42" i="11"/>
  <c r="AH39" i="11"/>
  <c r="AH36" i="11"/>
  <c r="AH35" i="11"/>
  <c r="AH15" i="11"/>
  <c r="AH12" i="11"/>
  <c r="AH6" i="11"/>
  <c r="AC12" i="11"/>
  <c r="AC15" i="11"/>
  <c r="AC35" i="11"/>
  <c r="AC36" i="11"/>
  <c r="AC39" i="11"/>
  <c r="AC42" i="11"/>
  <c r="AC43" i="11"/>
  <c r="AC45" i="11"/>
  <c r="AC46" i="11"/>
  <c r="AC47" i="11"/>
  <c r="AC48" i="11"/>
  <c r="AC49" i="11"/>
  <c r="AC53" i="11"/>
  <c r="AC54" i="11"/>
  <c r="AC59" i="11"/>
  <c r="AC61" i="11"/>
  <c r="AC62" i="11"/>
  <c r="AC6" i="11"/>
  <c r="AB12" i="11"/>
  <c r="AB15" i="11"/>
  <c r="AB35" i="11"/>
  <c r="AB36" i="11"/>
  <c r="AB39" i="11"/>
  <c r="AB42" i="11"/>
  <c r="AB43" i="11"/>
  <c r="AB45" i="11"/>
  <c r="AB46" i="11"/>
  <c r="AB47" i="11"/>
  <c r="AB48" i="11"/>
  <c r="AB49" i="11"/>
  <c r="AB53" i="11"/>
  <c r="AB54" i="11"/>
  <c r="AB59" i="11"/>
  <c r="AB61" i="11"/>
  <c r="AB62" i="11"/>
  <c r="AB6" i="11"/>
  <c r="U63" i="11"/>
  <c r="U60" i="11"/>
  <c r="U58" i="11"/>
  <c r="U57" i="11"/>
  <c r="U56" i="11"/>
  <c r="U55" i="11"/>
  <c r="U52" i="11"/>
  <c r="U51" i="11"/>
  <c r="U50" i="11"/>
  <c r="U44" i="11"/>
  <c r="U41" i="11"/>
  <c r="U40" i="11"/>
  <c r="U38" i="11"/>
  <c r="U37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4" i="11"/>
  <c r="U13" i="11"/>
  <c r="U8" i="11"/>
  <c r="U9" i="11"/>
  <c r="U10" i="11"/>
  <c r="U11" i="11"/>
  <c r="U7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" i="11"/>
  <c r="AX62" i="11" l="1"/>
  <c r="AX36" i="11"/>
  <c r="AX45" i="11"/>
  <c r="AX61" i="11"/>
  <c r="AX35" i="11"/>
  <c r="AX48" i="11"/>
  <c r="AX12" i="11"/>
  <c r="AX46" i="11"/>
  <c r="AX43" i="11"/>
  <c r="AX49" i="11"/>
  <c r="AX42" i="11"/>
  <c r="AX39" i="11"/>
  <c r="AX53" i="11"/>
  <c r="AX15" i="11"/>
  <c r="V63" i="11"/>
  <c r="AX54" i="11"/>
  <c r="AX47" i="11"/>
  <c r="AX59" i="11"/>
  <c r="AW64" i="11"/>
  <c r="AU64" i="11"/>
  <c r="AV64" i="11"/>
  <c r="AX6" i="11"/>
  <c r="X63" i="11"/>
  <c r="V7" i="11"/>
  <c r="V17" i="11"/>
  <c r="V25" i="11"/>
  <c r="V33" i="11"/>
  <c r="V51" i="11"/>
  <c r="W7" i="11"/>
  <c r="W17" i="11"/>
  <c r="W25" i="11"/>
  <c r="W33" i="11"/>
  <c r="W51" i="11"/>
  <c r="X7" i="11"/>
  <c r="X17" i="11"/>
  <c r="X25" i="11"/>
  <c r="X33" i="11"/>
  <c r="X51" i="11"/>
  <c r="V26" i="11"/>
  <c r="W18" i="11"/>
  <c r="X26" i="11"/>
  <c r="V19" i="11"/>
  <c r="V55" i="11"/>
  <c r="W27" i="11"/>
  <c r="V9" i="11"/>
  <c r="V28" i="11"/>
  <c r="V56" i="11"/>
  <c r="W9" i="11"/>
  <c r="W28" i="11"/>
  <c r="W38" i="11"/>
  <c r="W56" i="11"/>
  <c r="X9" i="11"/>
  <c r="X20" i="11"/>
  <c r="X28" i="11"/>
  <c r="X38" i="11"/>
  <c r="X56" i="11"/>
  <c r="V18" i="11"/>
  <c r="V52" i="11"/>
  <c r="W26" i="11"/>
  <c r="X11" i="11"/>
  <c r="X18" i="11"/>
  <c r="X52" i="11"/>
  <c r="V27" i="11"/>
  <c r="W10" i="11"/>
  <c r="W37" i="11"/>
  <c r="X19" i="11"/>
  <c r="X27" i="11"/>
  <c r="V8" i="11"/>
  <c r="V21" i="11"/>
  <c r="V29" i="11"/>
  <c r="V40" i="11"/>
  <c r="V57" i="11"/>
  <c r="W8" i="11"/>
  <c r="W21" i="11"/>
  <c r="W29" i="11"/>
  <c r="W40" i="11"/>
  <c r="W57" i="11"/>
  <c r="X8" i="11"/>
  <c r="X21" i="11"/>
  <c r="X29" i="11"/>
  <c r="X40" i="11"/>
  <c r="X57" i="11"/>
  <c r="V11" i="11"/>
  <c r="V34" i="11"/>
  <c r="W11" i="11"/>
  <c r="W34" i="11"/>
  <c r="X34" i="11"/>
  <c r="V10" i="11"/>
  <c r="V37" i="11"/>
  <c r="W19" i="11"/>
  <c r="X37" i="11"/>
  <c r="V13" i="11"/>
  <c r="V22" i="11"/>
  <c r="V30" i="11"/>
  <c r="V41" i="11"/>
  <c r="V58" i="11"/>
  <c r="W13" i="11"/>
  <c r="W22" i="11"/>
  <c r="W30" i="11"/>
  <c r="W41" i="11"/>
  <c r="W58" i="11"/>
  <c r="X13" i="11"/>
  <c r="X22" i="11"/>
  <c r="X30" i="11"/>
  <c r="X58" i="11"/>
  <c r="V14" i="11"/>
  <c r="V23" i="11"/>
  <c r="V31" i="11"/>
  <c r="V44" i="11"/>
  <c r="V60" i="11"/>
  <c r="W14" i="11"/>
  <c r="W23" i="11"/>
  <c r="W31" i="11"/>
  <c r="W44" i="11"/>
  <c r="W60" i="11"/>
  <c r="X14" i="11"/>
  <c r="X23" i="11"/>
  <c r="X31" i="11"/>
  <c r="X60" i="11"/>
  <c r="V16" i="11"/>
  <c r="V32" i="11"/>
  <c r="V50" i="11"/>
  <c r="W16" i="11"/>
  <c r="W32" i="11"/>
  <c r="W50" i="11"/>
  <c r="X16" i="11"/>
  <c r="X32" i="11"/>
  <c r="U64" i="11"/>
  <c r="Q64" i="11"/>
  <c r="Y5" i="11"/>
  <c r="V4" i="11" s="1"/>
  <c r="F74" i="37"/>
  <c r="A63" i="37"/>
  <c r="A62" i="37"/>
  <c r="S60" i="37"/>
  <c r="Q60" i="37"/>
  <c r="X60" i="37"/>
  <c r="AE60" i="37"/>
  <c r="X59" i="37"/>
  <c r="V59" i="37"/>
  <c r="S59" i="37"/>
  <c r="X58" i="37"/>
  <c r="V58" i="37"/>
  <c r="S58" i="37"/>
  <c r="AE58" i="37"/>
  <c r="S57" i="37"/>
  <c r="Q57" i="37"/>
  <c r="X57" i="37"/>
  <c r="X56" i="37"/>
  <c r="V56" i="37"/>
  <c r="S55" i="37"/>
  <c r="Q55" i="37"/>
  <c r="X55" i="37"/>
  <c r="S54" i="37"/>
  <c r="Q54" i="37"/>
  <c r="X54" i="37"/>
  <c r="S53" i="37"/>
  <c r="Q53" i="37"/>
  <c r="X53" i="37"/>
  <c r="S52" i="37"/>
  <c r="Q52" i="37"/>
  <c r="X52" i="37"/>
  <c r="X51" i="37"/>
  <c r="V51" i="37"/>
  <c r="S51" i="37"/>
  <c r="X50" i="37"/>
  <c r="V50" i="37"/>
  <c r="S50" i="37"/>
  <c r="S49" i="37"/>
  <c r="Q49" i="37"/>
  <c r="X49" i="37"/>
  <c r="S48" i="37"/>
  <c r="Q48" i="37"/>
  <c r="X48" i="37"/>
  <c r="S47" i="37"/>
  <c r="Q47" i="37"/>
  <c r="X47" i="37"/>
  <c r="AE47" i="37"/>
  <c r="X46" i="37"/>
  <c r="V46" i="37"/>
  <c r="S46" i="37"/>
  <c r="X45" i="37"/>
  <c r="V45" i="37"/>
  <c r="AC45" i="37"/>
  <c r="X44" i="37"/>
  <c r="V44" i="37"/>
  <c r="S44" i="37"/>
  <c r="X43" i="37"/>
  <c r="V43" i="37"/>
  <c r="S43" i="37"/>
  <c r="X42" i="37"/>
  <c r="V42" i="37"/>
  <c r="AE42" i="37"/>
  <c r="S41" i="37"/>
  <c r="Q41" i="37"/>
  <c r="X40" i="37"/>
  <c r="V40" i="37"/>
  <c r="X39" i="37"/>
  <c r="V39" i="37"/>
  <c r="S39" i="37"/>
  <c r="S38" i="37"/>
  <c r="Q38" i="37"/>
  <c r="S37" i="37"/>
  <c r="Q37" i="37"/>
  <c r="X36" i="37"/>
  <c r="V36" i="37"/>
  <c r="O36" i="37"/>
  <c r="S36" i="37"/>
  <c r="S35" i="37"/>
  <c r="Q35" i="37"/>
  <c r="S34" i="37"/>
  <c r="Q34" i="37"/>
  <c r="X34" i="37"/>
  <c r="X33" i="37"/>
  <c r="V33" i="37"/>
  <c r="AE33" i="37"/>
  <c r="X32" i="37"/>
  <c r="V32" i="37"/>
  <c r="S31" i="37"/>
  <c r="Q31" i="37"/>
  <c r="X31" i="37"/>
  <c r="S30" i="37"/>
  <c r="Q30" i="37"/>
  <c r="X30" i="37"/>
  <c r="S29" i="37"/>
  <c r="Q29" i="37"/>
  <c r="AC29" i="37"/>
  <c r="S28" i="37"/>
  <c r="Q28" i="37"/>
  <c r="X28" i="37"/>
  <c r="S27" i="37"/>
  <c r="Q27" i="37"/>
  <c r="X27" i="37"/>
  <c r="S26" i="37"/>
  <c r="Q26" i="37"/>
  <c r="X26" i="37"/>
  <c r="AE26" i="37"/>
  <c r="S25" i="37"/>
  <c r="Q25" i="37"/>
  <c r="X25" i="37"/>
  <c r="S24" i="37"/>
  <c r="Q24" i="37"/>
  <c r="X24" i="37"/>
  <c r="AE24" i="37"/>
  <c r="S23" i="37"/>
  <c r="Q23" i="37"/>
  <c r="X23" i="37"/>
  <c r="S22" i="37"/>
  <c r="Q22" i="37"/>
  <c r="X22" i="37"/>
  <c r="X21" i="37"/>
  <c r="S21" i="37"/>
  <c r="Q21" i="37"/>
  <c r="X20" i="37"/>
  <c r="S20" i="37"/>
  <c r="Q20" i="37"/>
  <c r="X19" i="37"/>
  <c r="S19" i="37"/>
  <c r="Q19" i="37"/>
  <c r="S18" i="37"/>
  <c r="Q18" i="37"/>
  <c r="AC18" i="37"/>
  <c r="X18" i="37"/>
  <c r="S17" i="37"/>
  <c r="Q17" i="37"/>
  <c r="S16" i="37"/>
  <c r="Q16" i="37"/>
  <c r="S15" i="37"/>
  <c r="Q15" i="37"/>
  <c r="X15" i="37"/>
  <c r="S14" i="37"/>
  <c r="Q14" i="37"/>
  <c r="S13" i="37"/>
  <c r="Q13" i="37"/>
  <c r="X13" i="37"/>
  <c r="X12" i="37"/>
  <c r="V12" i="37"/>
  <c r="S12" i="37"/>
  <c r="S11" i="37"/>
  <c r="Q11" i="37"/>
  <c r="X11" i="37"/>
  <c r="S10" i="37"/>
  <c r="Q10" i="37"/>
  <c r="X9" i="37"/>
  <c r="V9" i="37"/>
  <c r="S8" i="37"/>
  <c r="Q8" i="37"/>
  <c r="X8" i="37"/>
  <c r="S7" i="37"/>
  <c r="Q7" i="37"/>
  <c r="X7" i="37"/>
  <c r="AE7" i="37"/>
  <c r="S6" i="37"/>
  <c r="Q6" i="37"/>
  <c r="X6" i="37"/>
  <c r="S5" i="37"/>
  <c r="Q5" i="37"/>
  <c r="X5" i="37"/>
  <c r="S4" i="37"/>
  <c r="Q4" i="37"/>
  <c r="X4" i="37"/>
  <c r="X3" i="37"/>
  <c r="V3" i="37"/>
  <c r="S3" i="37"/>
  <c r="AC16" i="37" l="1"/>
  <c r="AC24" i="37"/>
  <c r="AC25" i="37"/>
  <c r="AC50" i="37"/>
  <c r="O9" i="37"/>
  <c r="AA9" i="37" s="1"/>
  <c r="AC7" i="37"/>
  <c r="AC14" i="37"/>
  <c r="O18" i="37"/>
  <c r="O21" i="37"/>
  <c r="AC23" i="37"/>
  <c r="O34" i="37"/>
  <c r="AC39" i="37"/>
  <c r="AC59" i="37"/>
  <c r="AE5" i="37"/>
  <c r="AC10" i="37"/>
  <c r="AE39" i="37"/>
  <c r="AC42" i="37"/>
  <c r="O48" i="37"/>
  <c r="AE4" i="37"/>
  <c r="AC5" i="37"/>
  <c r="AI9" i="37"/>
  <c r="AE11" i="37"/>
  <c r="AE15" i="37"/>
  <c r="AC21" i="37"/>
  <c r="X29" i="37"/>
  <c r="AC30" i="37"/>
  <c r="AC41" i="37"/>
  <c r="Q43" i="37"/>
  <c r="Q46" i="37"/>
  <c r="AE13" i="37"/>
  <c r="X17" i="37"/>
  <c r="X61" i="37" s="1"/>
  <c r="Y9" i="37" s="1"/>
  <c r="AC26" i="37"/>
  <c r="AC28" i="37"/>
  <c r="O31" i="37"/>
  <c r="AE35" i="37"/>
  <c r="AE37" i="37"/>
  <c r="AC40" i="37"/>
  <c r="S42" i="37"/>
  <c r="AE44" i="37"/>
  <c r="AC44" i="37"/>
  <c r="AC55" i="37"/>
  <c r="X16" i="37"/>
  <c r="O29" i="37"/>
  <c r="X41" i="37"/>
  <c r="AE49" i="37"/>
  <c r="AE51" i="37"/>
  <c r="AC51" i="37"/>
  <c r="AC53" i="37"/>
  <c r="Q59" i="37"/>
  <c r="X10" i="37"/>
  <c r="X14" i="37"/>
  <c r="O27" i="37"/>
  <c r="AC31" i="37"/>
  <c r="S33" i="37"/>
  <c r="X35" i="37"/>
  <c r="X37" i="37"/>
  <c r="O45" i="37"/>
  <c r="AA45" i="37" s="1"/>
  <c r="O67" i="37"/>
  <c r="O43" i="37"/>
  <c r="AX64" i="11"/>
  <c r="AU66" i="11"/>
  <c r="AV66" i="11"/>
  <c r="AX5" i="11"/>
  <c r="AW66" i="11"/>
  <c r="W4" i="11"/>
  <c r="X4" i="11"/>
  <c r="AC9" i="37"/>
  <c r="S9" i="37"/>
  <c r="O10" i="37"/>
  <c r="O13" i="37"/>
  <c r="AI13" i="37" s="1"/>
  <c r="AC13" i="37"/>
  <c r="AE19" i="37"/>
  <c r="AA36" i="37"/>
  <c r="AI36" i="37"/>
  <c r="AC4" i="37"/>
  <c r="O4" i="37"/>
  <c r="AI4" i="37" s="1"/>
  <c r="AA43" i="37"/>
  <c r="AI43" i="37"/>
  <c r="Q58" i="37"/>
  <c r="O58" i="37"/>
  <c r="AC8" i="37"/>
  <c r="O8" i="37"/>
  <c r="AE12" i="37"/>
  <c r="AC20" i="37"/>
  <c r="V34" i="37"/>
  <c r="AA34" i="37"/>
  <c r="AI10" i="37"/>
  <c r="O14" i="37"/>
  <c r="AI14" i="37" s="1"/>
  <c r="AC19" i="37"/>
  <c r="O19" i="37"/>
  <c r="AI19" i="37" s="1"/>
  <c r="O7" i="37"/>
  <c r="AE8" i="37"/>
  <c r="AC15" i="37"/>
  <c r="O15" i="37"/>
  <c r="AI15" i="37" s="1"/>
  <c r="AA21" i="37"/>
  <c r="V21" i="37"/>
  <c r="AI21" i="37"/>
  <c r="AC22" i="37"/>
  <c r="AI6" i="37"/>
  <c r="AI17" i="37"/>
  <c r="AA18" i="37"/>
  <c r="V18" i="37"/>
  <c r="AI18" i="37"/>
  <c r="AC6" i="37"/>
  <c r="O6" i="37"/>
  <c r="AI8" i="37"/>
  <c r="AC11" i="37"/>
  <c r="O11" i="37"/>
  <c r="Q12" i="37"/>
  <c r="O16" i="37"/>
  <c r="AI16" i="37" s="1"/>
  <c r="O17" i="37"/>
  <c r="AC17" i="37"/>
  <c r="G61" i="37"/>
  <c r="AC3" i="37"/>
  <c r="O3" i="37"/>
  <c r="H61" i="37"/>
  <c r="Q3" i="37"/>
  <c r="O5" i="37"/>
  <c r="AE6" i="37"/>
  <c r="AE9" i="37"/>
  <c r="AC12" i="37"/>
  <c r="AE17" i="37"/>
  <c r="AI48" i="37"/>
  <c r="V48" i="37"/>
  <c r="AA48" i="37"/>
  <c r="AE40" i="37"/>
  <c r="S40" i="37"/>
  <c r="Q40" i="37"/>
  <c r="AI45" i="37"/>
  <c r="I61" i="37"/>
  <c r="R61" i="37"/>
  <c r="Q9" i="37"/>
  <c r="AE10" i="37"/>
  <c r="AI27" i="37"/>
  <c r="AI29" i="37"/>
  <c r="AI31" i="37"/>
  <c r="Q42" i="37"/>
  <c r="O42" i="37"/>
  <c r="AE45" i="37"/>
  <c r="S45" i="37"/>
  <c r="Q45" i="37"/>
  <c r="AC46" i="37"/>
  <c r="AA27" i="37"/>
  <c r="V27" i="37"/>
  <c r="AE30" i="37"/>
  <c r="AA31" i="37"/>
  <c r="V31" i="37"/>
  <c r="O50" i="37"/>
  <c r="AE18" i="37"/>
  <c r="K61" i="37"/>
  <c r="AC27" i="37"/>
  <c r="AC33" i="37"/>
  <c r="AE38" i="37"/>
  <c r="AC47" i="37"/>
  <c r="O47" i="37"/>
  <c r="O59" i="37"/>
  <c r="Q32" i="37"/>
  <c r="D61" i="37"/>
  <c r="O23" i="37"/>
  <c r="O25" i="37"/>
  <c r="AC32" i="37"/>
  <c r="Q33" i="37"/>
  <c r="O33" i="37"/>
  <c r="AC34" i="37"/>
  <c r="AI34" i="37"/>
  <c r="AC48" i="37"/>
  <c r="AE52" i="37"/>
  <c r="AE53" i="37"/>
  <c r="AE54" i="37"/>
  <c r="AE55" i="37"/>
  <c r="AE56" i="37"/>
  <c r="J61" i="37"/>
  <c r="AA29" i="37"/>
  <c r="V29" i="37"/>
  <c r="C61" i="37"/>
  <c r="L61" i="37"/>
  <c r="AE3" i="37"/>
  <c r="E61" i="37"/>
  <c r="M61" i="37"/>
  <c r="O12" i="37"/>
  <c r="AA12" i="37" s="1"/>
  <c r="AC35" i="37"/>
  <c r="O35" i="37"/>
  <c r="X38" i="37"/>
  <c r="AC49" i="37"/>
  <c r="O49" i="37"/>
  <c r="O52" i="37"/>
  <c r="O54" i="37"/>
  <c r="AI54" i="37" s="1"/>
  <c r="AI57" i="37"/>
  <c r="AE14" i="37"/>
  <c r="AE16" i="37"/>
  <c r="AE20" i="37"/>
  <c r="O20" i="37"/>
  <c r="AE28" i="37"/>
  <c r="F61" i="37"/>
  <c r="N61" i="37"/>
  <c r="AH61" i="37"/>
  <c r="AE22" i="37"/>
  <c r="Q36" i="37"/>
  <c r="O38" i="37"/>
  <c r="AC38" i="37"/>
  <c r="O40" i="37"/>
  <c r="AA40" i="37" s="1"/>
  <c r="Q50" i="37"/>
  <c r="O56" i="37"/>
  <c r="S56" i="37"/>
  <c r="Q56" i="37"/>
  <c r="AC57" i="37"/>
  <c r="AC58" i="37"/>
  <c r="AE32" i="37"/>
  <c r="AC36" i="37"/>
  <c r="AE41" i="37"/>
  <c r="AC43" i="37"/>
  <c r="AE57" i="37"/>
  <c r="AE34" i="37"/>
  <c r="AE46" i="37"/>
  <c r="AE48" i="37"/>
  <c r="AC52" i="37"/>
  <c r="AC54" i="37"/>
  <c r="AE36" i="37"/>
  <c r="O37" i="37"/>
  <c r="O39" i="37"/>
  <c r="AA39" i="37" s="1"/>
  <c r="AE43" i="37"/>
  <c r="O44" i="37"/>
  <c r="AE50" i="37"/>
  <c r="O51" i="37"/>
  <c r="AA51" i="37" s="1"/>
  <c r="AC56" i="37"/>
  <c r="AE59" i="37"/>
  <c r="O60" i="37"/>
  <c r="AI60" i="37" s="1"/>
  <c r="AE21" i="37"/>
  <c r="O22" i="37"/>
  <c r="AE23" i="37"/>
  <c r="O24" i="37"/>
  <c r="AE25" i="37"/>
  <c r="O26" i="37"/>
  <c r="AE27" i="37"/>
  <c r="O28" i="37"/>
  <c r="AI28" i="37" s="1"/>
  <c r="AE29" i="37"/>
  <c r="O30" i="37"/>
  <c r="AI30" i="37" s="1"/>
  <c r="AE31" i="37"/>
  <c r="O32" i="37"/>
  <c r="AA32" i="37" s="1"/>
  <c r="Q39" i="37"/>
  <c r="Q44" i="37"/>
  <c r="Q51" i="37"/>
  <c r="O53" i="37"/>
  <c r="O55" i="37"/>
  <c r="AI55" i="37" s="1"/>
  <c r="AC37" i="37"/>
  <c r="O41" i="37"/>
  <c r="AI41" i="37" s="1"/>
  <c r="O46" i="37"/>
  <c r="O57" i="37"/>
  <c r="AC60" i="37"/>
  <c r="S32" i="37"/>
  <c r="AI12" i="37" l="1"/>
  <c r="AU4" i="11"/>
  <c r="AW4" i="11"/>
  <c r="AV4" i="11"/>
  <c r="AX66" i="11"/>
  <c r="Y4" i="11"/>
  <c r="L71" i="37"/>
  <c r="V53" i="37"/>
  <c r="AA53" i="37"/>
  <c r="V37" i="37"/>
  <c r="AA37" i="37"/>
  <c r="AI37" i="37"/>
  <c r="N71" i="37"/>
  <c r="AA25" i="37"/>
  <c r="V25" i="37"/>
  <c r="Y8" i="37"/>
  <c r="B11" i="11" s="1"/>
  <c r="C11" i="11" s="1"/>
  <c r="Y29" i="37"/>
  <c r="B32" i="11" s="1"/>
  <c r="Y10" i="37"/>
  <c r="B13" i="11" s="1"/>
  <c r="F71" i="37"/>
  <c r="AA52" i="37"/>
  <c r="V52" i="37"/>
  <c r="Y40" i="37"/>
  <c r="Y41" i="37"/>
  <c r="B44" i="11" s="1"/>
  <c r="C44" i="11" s="1"/>
  <c r="AA33" i="37"/>
  <c r="AI33" i="37"/>
  <c r="AA23" i="37"/>
  <c r="V23" i="37"/>
  <c r="Y39" i="37"/>
  <c r="Y52" i="37"/>
  <c r="B55" i="11" s="1"/>
  <c r="C55" i="11" s="1"/>
  <c r="I71" i="37"/>
  <c r="V5" i="37"/>
  <c r="AI5" i="37"/>
  <c r="AA5" i="37"/>
  <c r="AA6" i="37"/>
  <c r="V6" i="37"/>
  <c r="Y16" i="37"/>
  <c r="B19" i="11" s="1"/>
  <c r="Y27" i="37"/>
  <c r="B30" i="11" s="1"/>
  <c r="V15" i="37"/>
  <c r="AA15" i="37"/>
  <c r="Y24" i="37"/>
  <c r="B27" i="11" s="1"/>
  <c r="AA8" i="37"/>
  <c r="V8" i="37"/>
  <c r="Y22" i="37"/>
  <c r="B25" i="11" s="1"/>
  <c r="V55" i="37"/>
  <c r="AA55" i="37"/>
  <c r="Y56" i="37"/>
  <c r="Y46" i="37"/>
  <c r="Y58" i="37"/>
  <c r="Y42" i="37"/>
  <c r="Y33" i="37"/>
  <c r="Y43" i="37"/>
  <c r="Y59" i="37"/>
  <c r="Y3" i="37"/>
  <c r="Y7" i="37"/>
  <c r="B10" i="11" s="1"/>
  <c r="Y36" i="37"/>
  <c r="Y11" i="37"/>
  <c r="B14" i="11" s="1"/>
  <c r="Y50" i="37"/>
  <c r="Y26" i="37"/>
  <c r="B29" i="11" s="1"/>
  <c r="Y28" i="37"/>
  <c r="B31" i="11" s="1"/>
  <c r="Y25" i="37"/>
  <c r="B28" i="11" s="1"/>
  <c r="V26" i="37"/>
  <c r="AA26" i="37"/>
  <c r="AI56" i="37"/>
  <c r="AA56" i="37"/>
  <c r="AA38" i="37"/>
  <c r="V38" i="37"/>
  <c r="AI38" i="37"/>
  <c r="AA49" i="37"/>
  <c r="AI49" i="37"/>
  <c r="V49" i="37"/>
  <c r="AI39" i="37"/>
  <c r="D71" i="37"/>
  <c r="Y55" i="37"/>
  <c r="B58" i="11" s="1"/>
  <c r="Y38" i="37"/>
  <c r="B41" i="11" s="1"/>
  <c r="AI53" i="37"/>
  <c r="AI32" i="37"/>
  <c r="AA42" i="37"/>
  <c r="AI42" i="37"/>
  <c r="AI26" i="37"/>
  <c r="H71" i="37"/>
  <c r="V17" i="37"/>
  <c r="AA17" i="37"/>
  <c r="AI23" i="37"/>
  <c r="Y14" i="37"/>
  <c r="B17" i="11" s="1"/>
  <c r="AA4" i="37"/>
  <c r="V4" i="37"/>
  <c r="C71" i="37"/>
  <c r="AA50" i="37"/>
  <c r="AI50" i="37"/>
  <c r="Q61" i="37"/>
  <c r="AI25" i="37"/>
  <c r="AD8" i="37"/>
  <c r="Y13" i="37"/>
  <c r="B16" i="11" s="1"/>
  <c r="Y57" i="37"/>
  <c r="B60" i="11" s="1"/>
  <c r="O61" i="37"/>
  <c r="H62" i="37" s="1"/>
  <c r="H74" i="37" s="1"/>
  <c r="AI3" i="37"/>
  <c r="AA3" i="37"/>
  <c r="Y15" i="37"/>
  <c r="B18" i="11" s="1"/>
  <c r="Y12" i="37"/>
  <c r="Y35" i="37"/>
  <c r="B38" i="11" s="1"/>
  <c r="Y17" i="37"/>
  <c r="B20" i="11" s="1"/>
  <c r="Y31" i="37"/>
  <c r="B34" i="11" s="1"/>
  <c r="V19" i="37"/>
  <c r="AA19" i="37"/>
  <c r="Y23" i="37"/>
  <c r="B26" i="11" s="1"/>
  <c r="Y21" i="37"/>
  <c r="B24" i="11" s="1"/>
  <c r="V28" i="37"/>
  <c r="AA28" i="37"/>
  <c r="V60" i="37"/>
  <c r="AA60" i="37"/>
  <c r="V20" i="37"/>
  <c r="AA20" i="37"/>
  <c r="AA54" i="37"/>
  <c r="V54" i="37"/>
  <c r="K71" i="37"/>
  <c r="AA58" i="37"/>
  <c r="AI58" i="37"/>
  <c r="AD6" i="37"/>
  <c r="AA14" i="37"/>
  <c r="V14" i="37"/>
  <c r="AI20" i="37"/>
  <c r="Y5" i="37"/>
  <c r="B8" i="11" s="1"/>
  <c r="C8" i="11" s="1"/>
  <c r="AA57" i="37"/>
  <c r="V57" i="37"/>
  <c r="AI46" i="37"/>
  <c r="AA46" i="37"/>
  <c r="V24" i="37"/>
  <c r="AA24" i="37"/>
  <c r="Y53" i="37"/>
  <c r="B56" i="11" s="1"/>
  <c r="Y34" i="37"/>
  <c r="B37" i="11" s="1"/>
  <c r="Y60" i="37"/>
  <c r="B63" i="11" s="1"/>
  <c r="Y47" i="37"/>
  <c r="B50" i="11" s="1"/>
  <c r="M71" i="37"/>
  <c r="J71" i="37"/>
  <c r="Y44" i="37"/>
  <c r="AA41" i="37"/>
  <c r="V41" i="37"/>
  <c r="AA44" i="37"/>
  <c r="AI44" i="37"/>
  <c r="AA35" i="37"/>
  <c r="AI35" i="37"/>
  <c r="V35" i="37"/>
  <c r="E71" i="37"/>
  <c r="Y30" i="37"/>
  <c r="B33" i="11" s="1"/>
  <c r="AI51" i="37"/>
  <c r="AI24" i="37"/>
  <c r="Y54" i="37"/>
  <c r="B57" i="11" s="1"/>
  <c r="AC61" i="37"/>
  <c r="AD49" i="37" s="1"/>
  <c r="AD3" i="37"/>
  <c r="Y6" i="37"/>
  <c r="B9" i="11" s="1"/>
  <c r="V11" i="37"/>
  <c r="AA11" i="37"/>
  <c r="AI11" i="37"/>
  <c r="Y18" i="37"/>
  <c r="B21" i="11" s="1"/>
  <c r="V13" i="37"/>
  <c r="AA13" i="37"/>
  <c r="Y45" i="37"/>
  <c r="Y20" i="37"/>
  <c r="B23" i="11" s="1"/>
  <c r="AA16" i="37"/>
  <c r="V16" i="37"/>
  <c r="Y4" i="37"/>
  <c r="B7" i="11" s="1"/>
  <c r="AI52" i="37"/>
  <c r="S61" i="37"/>
  <c r="T45" i="37" s="1"/>
  <c r="V30" i="37"/>
  <c r="AA30" i="37"/>
  <c r="V22" i="37"/>
  <c r="AA22" i="37"/>
  <c r="Y48" i="37"/>
  <c r="B51" i="11" s="1"/>
  <c r="AE61" i="37"/>
  <c r="AF59" i="37" s="1"/>
  <c r="AF55" i="37"/>
  <c r="Y37" i="37"/>
  <c r="B40" i="11" s="1"/>
  <c r="AA59" i="37"/>
  <c r="AI59" i="37"/>
  <c r="AA47" i="37"/>
  <c r="AI47" i="37"/>
  <c r="V47" i="37"/>
  <c r="AI22" i="37"/>
  <c r="AF30" i="37"/>
  <c r="Y51" i="37"/>
  <c r="AF10" i="37"/>
  <c r="G71" i="37"/>
  <c r="AI40" i="37"/>
  <c r="Y32" i="37"/>
  <c r="V7" i="37"/>
  <c r="AI7" i="37"/>
  <c r="AA7" i="37"/>
  <c r="Y49" i="37"/>
  <c r="B52" i="11" s="1"/>
  <c r="AF12" i="37"/>
  <c r="Y19" i="37"/>
  <c r="B22" i="11" s="1"/>
  <c r="AA10" i="37"/>
  <c r="V10" i="37"/>
  <c r="AF25" i="37" l="1"/>
  <c r="AD47" i="37"/>
  <c r="AF32" i="37"/>
  <c r="AD34" i="37"/>
  <c r="F62" i="37"/>
  <c r="AF50" i="37"/>
  <c r="AF8" i="37"/>
  <c r="AF48" i="37"/>
  <c r="M62" i="37"/>
  <c r="M74" i="37" s="1"/>
  <c r="AD32" i="37"/>
  <c r="AF41" i="37"/>
  <c r="T56" i="37"/>
  <c r="AF46" i="37"/>
  <c r="AF45" i="37"/>
  <c r="T32" i="37"/>
  <c r="T40" i="37"/>
  <c r="AF16" i="37"/>
  <c r="AF38" i="37"/>
  <c r="AF56" i="37"/>
  <c r="AF23" i="37"/>
  <c r="AD36" i="37"/>
  <c r="AX4" i="11"/>
  <c r="I62" i="37"/>
  <c r="I74" i="37" s="1"/>
  <c r="AD9" i="37"/>
  <c r="AD58" i="37"/>
  <c r="T57" i="37"/>
  <c r="T49" i="37"/>
  <c r="T47" i="37"/>
  <c r="T35" i="37"/>
  <c r="T38" i="37"/>
  <c r="T36" i="37"/>
  <c r="T48" i="37"/>
  <c r="T34" i="37"/>
  <c r="T11" i="37"/>
  <c r="T22" i="37"/>
  <c r="T37" i="37"/>
  <c r="T4" i="37"/>
  <c r="T10" i="37"/>
  <c r="T6" i="37"/>
  <c r="T8" i="37"/>
  <c r="T5" i="37"/>
  <c r="T12" i="37"/>
  <c r="T28" i="37"/>
  <c r="T53" i="37"/>
  <c r="T60" i="37"/>
  <c r="T42" i="37"/>
  <c r="T15" i="37"/>
  <c r="T16" i="37"/>
  <c r="T29" i="37"/>
  <c r="T23" i="37"/>
  <c r="T39" i="37"/>
  <c r="T52" i="37"/>
  <c r="T59" i="37"/>
  <c r="T44" i="37"/>
  <c r="T51" i="37"/>
  <c r="T26" i="37"/>
  <c r="T41" i="37"/>
  <c r="T27" i="37"/>
  <c r="T7" i="37"/>
  <c r="T17" i="37"/>
  <c r="T30" i="37"/>
  <c r="T25" i="37"/>
  <c r="T18" i="37"/>
  <c r="T31" i="37"/>
  <c r="T13" i="37"/>
  <c r="T19" i="37"/>
  <c r="T58" i="37"/>
  <c r="T54" i="37"/>
  <c r="T55" i="37"/>
  <c r="T50" i="37"/>
  <c r="T21" i="37"/>
  <c r="T14" i="37"/>
  <c r="T43" i="37"/>
  <c r="T3" i="37"/>
  <c r="T33" i="37"/>
  <c r="T24" i="37"/>
  <c r="T20" i="37"/>
  <c r="T46" i="37"/>
  <c r="AD12" i="37"/>
  <c r="E62" i="37"/>
  <c r="E63" i="37" s="1"/>
  <c r="E74" i="37" s="1"/>
  <c r="J62" i="37"/>
  <c r="J74" i="37" s="1"/>
  <c r="AD52" i="37"/>
  <c r="AD60" i="37"/>
  <c r="AB54" i="37"/>
  <c r="F57" i="11" s="1"/>
  <c r="AI61" i="37"/>
  <c r="AD56" i="37"/>
  <c r="AF52" i="37"/>
  <c r="AD38" i="37"/>
  <c r="AF53" i="37"/>
  <c r="T9" i="37"/>
  <c r="AD17" i="37"/>
  <c r="AB28" i="37"/>
  <c r="F31" i="11" s="1"/>
  <c r="AD20" i="37"/>
  <c r="AD54" i="37"/>
  <c r="AD13" i="37"/>
  <c r="AF3" i="37"/>
  <c r="AF43" i="37"/>
  <c r="AF54" i="37"/>
  <c r="AF31" i="37"/>
  <c r="AF19" i="37"/>
  <c r="AD4" i="37"/>
  <c r="AF17" i="37"/>
  <c r="D62" i="37"/>
  <c r="D74" i="37" s="1"/>
  <c r="AD43" i="37"/>
  <c r="AD19" i="37"/>
  <c r="L62" i="37"/>
  <c r="L74" i="37" s="1"/>
  <c r="AD27" i="37"/>
  <c r="G62" i="37"/>
  <c r="G74" i="37" s="1"/>
  <c r="AF40" i="37"/>
  <c r="C62" i="37"/>
  <c r="AF18" i="37"/>
  <c r="AB6" i="37"/>
  <c r="F9" i="11" s="1"/>
  <c r="AF36" i="37"/>
  <c r="AD10" i="37"/>
  <c r="AD45" i="37"/>
  <c r="AD51" i="37"/>
  <c r="AD29" i="37"/>
  <c r="AD21" i="37"/>
  <c r="AD42" i="37"/>
  <c r="AD30" i="37"/>
  <c r="AD55" i="37"/>
  <c r="AD39" i="37"/>
  <c r="AD44" i="37"/>
  <c r="AD31" i="37"/>
  <c r="AD16" i="37"/>
  <c r="AD53" i="37"/>
  <c r="AD28" i="37"/>
  <c r="AD7" i="37"/>
  <c r="AD5" i="37"/>
  <c r="AD25" i="37"/>
  <c r="AD59" i="37"/>
  <c r="AD14" i="37"/>
  <c r="AD23" i="37"/>
  <c r="AD24" i="37"/>
  <c r="AD41" i="37"/>
  <c r="AD50" i="37"/>
  <c r="AD18" i="37"/>
  <c r="AD40" i="37"/>
  <c r="AD26" i="37"/>
  <c r="AA61" i="37"/>
  <c r="AB59" i="37" s="1"/>
  <c r="F62" i="11" s="1"/>
  <c r="AB3" i="37"/>
  <c r="F6" i="11" s="1"/>
  <c r="AD48" i="37"/>
  <c r="AD11" i="37"/>
  <c r="AD15" i="37"/>
  <c r="AF34" i="37"/>
  <c r="W14" i="37"/>
  <c r="J17" i="11" s="1"/>
  <c r="M17" i="11" s="1"/>
  <c r="K62" i="37"/>
  <c r="K74" i="37" s="1"/>
  <c r="AF57" i="37"/>
  <c r="AD33" i="37"/>
  <c r="AF14" i="37"/>
  <c r="W23" i="37"/>
  <c r="J26" i="11" s="1"/>
  <c r="L26" i="11" s="1"/>
  <c r="AB52" i="37"/>
  <c r="F55" i="11" s="1"/>
  <c r="G55" i="11" s="1"/>
  <c r="AB37" i="37"/>
  <c r="F40" i="11" s="1"/>
  <c r="AD57" i="37"/>
  <c r="AD37" i="37"/>
  <c r="O71" i="37"/>
  <c r="AH62" i="37"/>
  <c r="AH63" i="37" s="1"/>
  <c r="AB42" i="37"/>
  <c r="F45" i="11" s="1"/>
  <c r="N62" i="37"/>
  <c r="N74" i="37" s="1"/>
  <c r="AF26" i="37"/>
  <c r="AF15" i="37"/>
  <c r="AF49" i="37"/>
  <c r="AF44" i="37"/>
  <c r="AF58" i="37"/>
  <c r="AF7" i="37"/>
  <c r="AF60" i="37"/>
  <c r="AF39" i="37"/>
  <c r="AF33" i="37"/>
  <c r="AF35" i="37"/>
  <c r="AF11" i="37"/>
  <c r="AF24" i="37"/>
  <c r="AF5" i="37"/>
  <c r="AF4" i="37"/>
  <c r="AF13" i="37"/>
  <c r="AF42" i="37"/>
  <c r="AF37" i="37"/>
  <c r="AF47" i="37"/>
  <c r="AF51" i="37"/>
  <c r="AD35" i="37"/>
  <c r="W11" i="37"/>
  <c r="J14" i="11" s="1"/>
  <c r="AB41" i="37"/>
  <c r="F44" i="11" s="1"/>
  <c r="W7" i="37"/>
  <c r="J10" i="11" s="1"/>
  <c r="AF9" i="37"/>
  <c r="AF28" i="37"/>
  <c r="AF29" i="37"/>
  <c r="AF22" i="37"/>
  <c r="AB46" i="37"/>
  <c r="F49" i="11" s="1"/>
  <c r="AB14" i="37"/>
  <c r="F17" i="11" s="1"/>
  <c r="AB60" i="37"/>
  <c r="F63" i="11" s="1"/>
  <c r="AD22" i="37"/>
  <c r="V61" i="37"/>
  <c r="W53" i="37" s="1"/>
  <c r="J56" i="11" s="1"/>
  <c r="AB56" i="37"/>
  <c r="F59" i="11" s="1"/>
  <c r="R59" i="11" s="1"/>
  <c r="AD46" i="37"/>
  <c r="Y61" i="37"/>
  <c r="AB23" i="37"/>
  <c r="F26" i="11" s="1"/>
  <c r="AF20" i="37"/>
  <c r="AF27" i="37"/>
  <c r="AF6" i="37"/>
  <c r="W37" i="37"/>
  <c r="J40" i="11" s="1"/>
  <c r="L40" i="11" s="1"/>
  <c r="AF21" i="37"/>
  <c r="W19" i="37" l="1"/>
  <c r="J22" i="11" s="1"/>
  <c r="W52" i="37"/>
  <c r="J55" i="11" s="1"/>
  <c r="W13" i="37"/>
  <c r="J16" i="11" s="1"/>
  <c r="AD61" i="37"/>
  <c r="AB33" i="37"/>
  <c r="F36" i="11" s="1"/>
  <c r="W35" i="37"/>
  <c r="J38" i="11" s="1"/>
  <c r="W57" i="37"/>
  <c r="J60" i="11" s="1"/>
  <c r="AB5" i="37"/>
  <c r="F8" i="11" s="1"/>
  <c r="AB35" i="37"/>
  <c r="F38" i="11" s="1"/>
  <c r="AB57" i="37"/>
  <c r="F60" i="11" s="1"/>
  <c r="AB38" i="37"/>
  <c r="F41" i="11" s="1"/>
  <c r="G41" i="11" s="1"/>
  <c r="AB19" i="37"/>
  <c r="F22" i="11" s="1"/>
  <c r="AB17" i="37"/>
  <c r="F20" i="11" s="1"/>
  <c r="AB47" i="37"/>
  <c r="F50" i="11" s="1"/>
  <c r="AB53" i="37"/>
  <c r="F56" i="11" s="1"/>
  <c r="AB4" i="37"/>
  <c r="F7" i="11" s="1"/>
  <c r="AB50" i="37"/>
  <c r="F53" i="11" s="1"/>
  <c r="AB7" i="37"/>
  <c r="F10" i="11" s="1"/>
  <c r="W5" i="37"/>
  <c r="J8" i="11" s="1"/>
  <c r="W47" i="37"/>
  <c r="J50" i="11" s="1"/>
  <c r="W24" i="37"/>
  <c r="J27" i="11" s="1"/>
  <c r="W15" i="37"/>
  <c r="J18" i="11" s="1"/>
  <c r="O62" i="37"/>
  <c r="O74" i="37" s="1"/>
  <c r="C74" i="37"/>
  <c r="W49" i="37"/>
  <c r="J52" i="11" s="1"/>
  <c r="AB9" i="37"/>
  <c r="F12" i="11" s="1"/>
  <c r="AB45" i="37"/>
  <c r="F48" i="11" s="1"/>
  <c r="AB39" i="37"/>
  <c r="F42" i="11" s="1"/>
  <c r="G42" i="11" s="1"/>
  <c r="AB32" i="37"/>
  <c r="F35" i="11" s="1"/>
  <c r="AB12" i="37"/>
  <c r="F15" i="11" s="1"/>
  <c r="AB48" i="37"/>
  <c r="F51" i="11" s="1"/>
  <c r="AB21" i="37"/>
  <c r="F24" i="11" s="1"/>
  <c r="AB43" i="37"/>
  <c r="F46" i="11" s="1"/>
  <c r="AB40" i="37"/>
  <c r="F43" i="11" s="1"/>
  <c r="AB27" i="37"/>
  <c r="F30" i="11" s="1"/>
  <c r="AB34" i="37"/>
  <c r="F37" i="11" s="1"/>
  <c r="AB18" i="37"/>
  <c r="F21" i="11" s="1"/>
  <c r="AB31" i="37"/>
  <c r="F34" i="11" s="1"/>
  <c r="AB36" i="37"/>
  <c r="F39" i="11" s="1"/>
  <c r="G39" i="11" s="1"/>
  <c r="AB51" i="37"/>
  <c r="F54" i="11" s="1"/>
  <c r="AB29" i="37"/>
  <c r="F32" i="11" s="1"/>
  <c r="R32" i="11" s="1"/>
  <c r="AB8" i="37"/>
  <c r="F11" i="11" s="1"/>
  <c r="W41" i="37"/>
  <c r="J44" i="11" s="1"/>
  <c r="W6" i="37"/>
  <c r="J9" i="11" s="1"/>
  <c r="W20" i="37"/>
  <c r="J23" i="11" s="1"/>
  <c r="AF61" i="37"/>
  <c r="AB10" i="37"/>
  <c r="F13" i="11" s="1"/>
  <c r="T61" i="37"/>
  <c r="W55" i="37"/>
  <c r="J58" i="11" s="1"/>
  <c r="K58" i="11" s="1"/>
  <c r="W54" i="37"/>
  <c r="J57" i="11" s="1"/>
  <c r="W38" i="37"/>
  <c r="J41" i="11" s="1"/>
  <c r="W8" i="37"/>
  <c r="J11" i="11" s="1"/>
  <c r="AB58" i="37"/>
  <c r="F61" i="11" s="1"/>
  <c r="G61" i="11" s="1"/>
  <c r="W25" i="37"/>
  <c r="J28" i="11" s="1"/>
  <c r="AB49" i="37"/>
  <c r="F52" i="11" s="1"/>
  <c r="AB44" i="37"/>
  <c r="F47" i="11" s="1"/>
  <c r="R47" i="11" s="1"/>
  <c r="AB15" i="37"/>
  <c r="F18" i="11" s="1"/>
  <c r="W60" i="37"/>
  <c r="J63" i="11" s="1"/>
  <c r="AB30" i="37"/>
  <c r="F33" i="11" s="1"/>
  <c r="AB16" i="37"/>
  <c r="AB26" i="37"/>
  <c r="F29" i="11" s="1"/>
  <c r="W26" i="37"/>
  <c r="J29" i="11" s="1"/>
  <c r="L29" i="11" s="1"/>
  <c r="AB20" i="37"/>
  <c r="F23" i="11" s="1"/>
  <c r="AB13" i="37"/>
  <c r="F16" i="11" s="1"/>
  <c r="AB55" i="37"/>
  <c r="F58" i="11" s="1"/>
  <c r="W50" i="37"/>
  <c r="W46" i="37"/>
  <c r="W32" i="37"/>
  <c r="W51" i="37"/>
  <c r="W44" i="37"/>
  <c r="W39" i="37"/>
  <c r="W9" i="37"/>
  <c r="W45" i="37"/>
  <c r="W40" i="37"/>
  <c r="W56" i="37"/>
  <c r="W12" i="37"/>
  <c r="W59" i="37"/>
  <c r="W36" i="37"/>
  <c r="W33" i="37"/>
  <c r="W58" i="37"/>
  <c r="W3" i="37"/>
  <c r="W43" i="37"/>
  <c r="W42" i="37"/>
  <c r="W34" i="37"/>
  <c r="J37" i="11" s="1"/>
  <c r="W31" i="37"/>
  <c r="J34" i="11" s="1"/>
  <c r="W48" i="37"/>
  <c r="J51" i="11" s="1"/>
  <c r="W29" i="37"/>
  <c r="J32" i="11" s="1"/>
  <c r="W27" i="37"/>
  <c r="J30" i="11" s="1"/>
  <c r="W18" i="37"/>
  <c r="J21" i="11" s="1"/>
  <c r="W21" i="37"/>
  <c r="J24" i="11" s="1"/>
  <c r="W16" i="37"/>
  <c r="J19" i="11" s="1"/>
  <c r="W4" i="37"/>
  <c r="J7" i="11" s="1"/>
  <c r="AB11" i="37"/>
  <c r="F14" i="11" s="1"/>
  <c r="AB22" i="37"/>
  <c r="F25" i="11" s="1"/>
  <c r="W10" i="37"/>
  <c r="J13" i="11" s="1"/>
  <c r="K13" i="11" s="1"/>
  <c r="W22" i="37"/>
  <c r="J25" i="11" s="1"/>
  <c r="W17" i="37"/>
  <c r="J20" i="11" s="1"/>
  <c r="AB24" i="37"/>
  <c r="F27" i="11" s="1"/>
  <c r="W30" i="37"/>
  <c r="J33" i="11" s="1"/>
  <c r="W28" i="37"/>
  <c r="J31" i="11" s="1"/>
  <c r="AB25" i="37"/>
  <c r="F28" i="11" s="1"/>
  <c r="AB61" i="37" l="1"/>
  <c r="F19" i="11"/>
  <c r="W61" i="37"/>
  <c r="AC5" i="11" l="1"/>
  <c r="AB5" i="11"/>
  <c r="L44" i="11" l="1"/>
  <c r="L55" i="11"/>
  <c r="M50" i="11"/>
  <c r="I48" i="4" s="1"/>
  <c r="I15" i="4"/>
  <c r="M44" i="11"/>
  <c r="I42" i="4" s="1"/>
  <c r="M55" i="11"/>
  <c r="I53" i="4" s="1"/>
  <c r="Y25" i="11"/>
  <c r="Y30" i="11"/>
  <c r="Y31" i="11"/>
  <c r="Y44" i="11"/>
  <c r="Y13" i="11"/>
  <c r="Y8" i="11"/>
  <c r="Y26" i="11"/>
  <c r="E5" i="4"/>
  <c r="E6" i="4"/>
  <c r="E7" i="4"/>
  <c r="E8" i="4"/>
  <c r="E9" i="4"/>
  <c r="E11" i="4"/>
  <c r="E1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5" i="4"/>
  <c r="E36" i="4"/>
  <c r="E38" i="4"/>
  <c r="E39" i="4"/>
  <c r="E42" i="4"/>
  <c r="E48" i="4"/>
  <c r="E49" i="4"/>
  <c r="E50" i="4"/>
  <c r="E53" i="4"/>
  <c r="E54" i="4"/>
  <c r="E55" i="4"/>
  <c r="E56" i="4"/>
  <c r="E58" i="4"/>
  <c r="E61" i="4"/>
  <c r="D5" i="4"/>
  <c r="D6" i="4"/>
  <c r="D7" i="4"/>
  <c r="D8" i="4"/>
  <c r="D9" i="4"/>
  <c r="D11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5" i="4"/>
  <c r="D36" i="4"/>
  <c r="D38" i="4"/>
  <c r="D39" i="4"/>
  <c r="D42" i="4"/>
  <c r="D48" i="4"/>
  <c r="D49" i="4"/>
  <c r="D50" i="4"/>
  <c r="D53" i="4"/>
  <c r="D54" i="4"/>
  <c r="D55" i="4"/>
  <c r="D56" i="4"/>
  <c r="D58" i="4"/>
  <c r="D61" i="4"/>
  <c r="C5" i="4"/>
  <c r="C6" i="4"/>
  <c r="C7" i="4"/>
  <c r="C8" i="4"/>
  <c r="C9" i="4"/>
  <c r="C11" i="4"/>
  <c r="C12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5" i="4"/>
  <c r="C36" i="4"/>
  <c r="C38" i="4"/>
  <c r="C39" i="4"/>
  <c r="C42" i="4"/>
  <c r="C48" i="4"/>
  <c r="C49" i="4"/>
  <c r="C50" i="4"/>
  <c r="C53" i="4"/>
  <c r="C54" i="4"/>
  <c r="C55" i="4"/>
  <c r="C56" i="4"/>
  <c r="C58" i="4"/>
  <c r="C61" i="4"/>
  <c r="AC55" i="11" l="1"/>
  <c r="BG55" i="11" s="1"/>
  <c r="H53" i="4"/>
  <c r="K53" i="4" s="1"/>
  <c r="AC44" i="11"/>
  <c r="BG44" i="11" s="1"/>
  <c r="H42" i="4"/>
  <c r="K42" i="4" s="1"/>
  <c r="AD5" i="11"/>
  <c r="BB6" i="11"/>
  <c r="BG6" i="11" s="1"/>
  <c r="AJ61" i="11"/>
  <c r="BB61" i="11" s="1"/>
  <c r="BG61" i="11" s="1"/>
  <c r="AJ62" i="11"/>
  <c r="BB62" i="11" s="1"/>
  <c r="BG62" i="11" s="1"/>
  <c r="AK62" i="11"/>
  <c r="BC62" i="11" s="1"/>
  <c r="AK12" i="11"/>
  <c r="BC12" i="11" s="1"/>
  <c r="Y58" i="11"/>
  <c r="Y52" i="11"/>
  <c r="Y16" i="11"/>
  <c r="Y34" i="11"/>
  <c r="Y20" i="11"/>
  <c r="Y29" i="11"/>
  <c r="Y14" i="11"/>
  <c r="Y22" i="11"/>
  <c r="Y55" i="11"/>
  <c r="Y9" i="11"/>
  <c r="Y21" i="11"/>
  <c r="Y19" i="11"/>
  <c r="Y51" i="11"/>
  <c r="Y7" i="11"/>
  <c r="V64" i="11"/>
  <c r="V66" i="11" s="1"/>
  <c r="Y56" i="11"/>
  <c r="Y37" i="11"/>
  <c r="Y23" i="11"/>
  <c r="Y24" i="11"/>
  <c r="Y38" i="11"/>
  <c r="Y41" i="11"/>
  <c r="Y57" i="11"/>
  <c r="Y17" i="11"/>
  <c r="Y18" i="11"/>
  <c r="Y50" i="11"/>
  <c r="Y40" i="11"/>
  <c r="Y28" i="11"/>
  <c r="Y11" i="11"/>
  <c r="Y33" i="11"/>
  <c r="X64" i="11"/>
  <c r="X66" i="11" s="1"/>
  <c r="W64" i="11"/>
  <c r="W66" i="11" s="1"/>
  <c r="Y60" i="11"/>
  <c r="Y10" i="11"/>
  <c r="Y27" i="11"/>
  <c r="Y32" i="11"/>
  <c r="Y63" i="11"/>
  <c r="C58" i="11" l="1"/>
  <c r="C60" i="11"/>
  <c r="C63" i="11"/>
  <c r="Y64" i="11"/>
  <c r="Y66" i="11" s="1"/>
  <c r="E68" i="19"/>
  <c r="AR36" i="11" l="1"/>
  <c r="AR62" i="11"/>
  <c r="AR39" i="11" l="1"/>
  <c r="AR49" i="11"/>
  <c r="AR59" i="11"/>
  <c r="AR48" i="11"/>
  <c r="AR46" i="11"/>
  <c r="AR15" i="11"/>
  <c r="AR53" i="11"/>
  <c r="AR54" i="11"/>
  <c r="AR43" i="11"/>
  <c r="AR61" i="11"/>
  <c r="AR12" i="11"/>
  <c r="AR42" i="11"/>
  <c r="AR35" i="11"/>
  <c r="AR45" i="11"/>
  <c r="AR47" i="11"/>
  <c r="AJ15" i="11" l="1"/>
  <c r="BB15" i="11" s="1"/>
  <c r="BG15" i="11" s="1"/>
  <c r="AK6" i="11"/>
  <c r="BC6" i="11" s="1"/>
  <c r="I25" i="36" l="1"/>
  <c r="H25" i="36"/>
  <c r="G25" i="36"/>
  <c r="D25" i="36"/>
  <c r="C25" i="36"/>
  <c r="J24" i="36"/>
  <c r="L24" i="36" s="1"/>
  <c r="E24" i="36"/>
  <c r="F24" i="36" s="1"/>
  <c r="J23" i="36"/>
  <c r="K23" i="36" s="1"/>
  <c r="E23" i="36"/>
  <c r="F23" i="36" s="1"/>
  <c r="L22" i="36"/>
  <c r="M22" i="36" s="1"/>
  <c r="K22" i="36"/>
  <c r="J22" i="36"/>
  <c r="E22" i="36"/>
  <c r="F22" i="36" s="1"/>
  <c r="J21" i="36"/>
  <c r="K21" i="36" s="1"/>
  <c r="F21" i="36"/>
  <c r="E21" i="36"/>
  <c r="J20" i="36"/>
  <c r="L20" i="36" s="1"/>
  <c r="E20" i="36"/>
  <c r="F20" i="36" s="1"/>
  <c r="L19" i="36"/>
  <c r="J19" i="36"/>
  <c r="K19" i="36" s="1"/>
  <c r="M19" i="36" s="1"/>
  <c r="E19" i="36"/>
  <c r="F19" i="36" s="1"/>
  <c r="L18" i="36"/>
  <c r="M18" i="36" s="1"/>
  <c r="K18" i="36"/>
  <c r="J18" i="36"/>
  <c r="E18" i="36"/>
  <c r="F18" i="36" s="1"/>
  <c r="J17" i="36"/>
  <c r="K17" i="36" s="1"/>
  <c r="F17" i="36"/>
  <c r="E17" i="36"/>
  <c r="J16" i="36"/>
  <c r="L16" i="36" s="1"/>
  <c r="E16" i="36"/>
  <c r="F16" i="36" s="1"/>
  <c r="L15" i="36"/>
  <c r="J15" i="36"/>
  <c r="K15" i="36" s="1"/>
  <c r="M15" i="36" s="1"/>
  <c r="E15" i="36"/>
  <c r="F15" i="36" s="1"/>
  <c r="L14" i="36"/>
  <c r="M14" i="36" s="1"/>
  <c r="K14" i="36"/>
  <c r="J14" i="36"/>
  <c r="E14" i="36"/>
  <c r="F14" i="36" s="1"/>
  <c r="J13" i="36"/>
  <c r="K13" i="36" s="1"/>
  <c r="F13" i="36"/>
  <c r="E13" i="36"/>
  <c r="J12" i="36"/>
  <c r="L12" i="36" s="1"/>
  <c r="E12" i="36"/>
  <c r="F12" i="36" s="1"/>
  <c r="L11" i="36"/>
  <c r="J11" i="36"/>
  <c r="K11" i="36" s="1"/>
  <c r="M11" i="36" s="1"/>
  <c r="E11" i="36"/>
  <c r="F11" i="36" s="1"/>
  <c r="L10" i="36"/>
  <c r="K10" i="36"/>
  <c r="M10" i="36" s="1"/>
  <c r="J10" i="36"/>
  <c r="E10" i="36"/>
  <c r="F10" i="36" s="1"/>
  <c r="J9" i="36"/>
  <c r="K9" i="36" s="1"/>
  <c r="F9" i="36"/>
  <c r="E9" i="36"/>
  <c r="J8" i="36"/>
  <c r="L8" i="36" s="1"/>
  <c r="E8" i="36"/>
  <c r="F8" i="36" s="1"/>
  <c r="L7" i="36"/>
  <c r="J7" i="36"/>
  <c r="J25" i="36" s="1"/>
  <c r="E7" i="36"/>
  <c r="F7" i="36" s="1"/>
  <c r="M9" i="36" l="1"/>
  <c r="F25" i="36"/>
  <c r="L23" i="36"/>
  <c r="M23" i="36" s="1"/>
  <c r="E25" i="36"/>
  <c r="L9" i="36"/>
  <c r="L13" i="36"/>
  <c r="M13" i="36" s="1"/>
  <c r="L17" i="36"/>
  <c r="M17" i="36" s="1"/>
  <c r="L21" i="36"/>
  <c r="M21" i="36" s="1"/>
  <c r="K8" i="36"/>
  <c r="M8" i="36" s="1"/>
  <c r="K12" i="36"/>
  <c r="M12" i="36" s="1"/>
  <c r="K16" i="36"/>
  <c r="M16" i="36" s="1"/>
  <c r="K20" i="36"/>
  <c r="M20" i="36" s="1"/>
  <c r="K24" i="36"/>
  <c r="M24" i="36" s="1"/>
  <c r="K7" i="36"/>
  <c r="M7" i="36" s="1"/>
  <c r="D60" i="4" l="1"/>
  <c r="K60" i="4" s="1"/>
  <c r="D13" i="4"/>
  <c r="K13" i="4" s="1"/>
  <c r="AJ59" i="11"/>
  <c r="AI54" i="11"/>
  <c r="AI43" i="11"/>
  <c r="AK48" i="11"/>
  <c r="AK42" i="11"/>
  <c r="AK15" i="11"/>
  <c r="AJ53" i="11"/>
  <c r="AJ54" i="11"/>
  <c r="E4" i="4"/>
  <c r="BC15" i="11" l="1"/>
  <c r="E13" i="4" s="1"/>
  <c r="BA43" i="11"/>
  <c r="BC48" i="11"/>
  <c r="E46" i="4" s="1"/>
  <c r="BA54" i="11"/>
  <c r="BB59" i="11"/>
  <c r="BB54" i="11"/>
  <c r="BC42" i="11"/>
  <c r="E40" i="4" s="1"/>
  <c r="BB53" i="11"/>
  <c r="R7" i="11"/>
  <c r="R8" i="11"/>
  <c r="R9" i="11"/>
  <c r="R10" i="11"/>
  <c r="R11" i="11"/>
  <c r="R12" i="11"/>
  <c r="R13" i="11"/>
  <c r="R14" i="11"/>
  <c r="R15" i="11"/>
  <c r="R18" i="11"/>
  <c r="R20" i="11"/>
  <c r="R22" i="11"/>
  <c r="R23" i="11"/>
  <c r="R24" i="11"/>
  <c r="R26" i="11"/>
  <c r="R27" i="11"/>
  <c r="R28" i="11"/>
  <c r="R29" i="11"/>
  <c r="R31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8" i="11"/>
  <c r="R49" i="11"/>
  <c r="R51" i="11"/>
  <c r="R52" i="11"/>
  <c r="R53" i="11"/>
  <c r="R55" i="11"/>
  <c r="R56" i="11"/>
  <c r="R57" i="11"/>
  <c r="R58" i="11"/>
  <c r="R60" i="11"/>
  <c r="R61" i="11"/>
  <c r="R62" i="11"/>
  <c r="R63" i="11"/>
  <c r="M10" i="11"/>
  <c r="I8" i="4" s="1"/>
  <c r="L14" i="11"/>
  <c r="K18" i="11"/>
  <c r="K23" i="11"/>
  <c r="L24" i="11"/>
  <c r="L27" i="11"/>
  <c r="K30" i="11"/>
  <c r="L32" i="11"/>
  <c r="L34" i="11"/>
  <c r="L38" i="11"/>
  <c r="M41" i="11"/>
  <c r="I39" i="4" s="1"/>
  <c r="K56" i="11"/>
  <c r="L58" i="11"/>
  <c r="L60" i="11"/>
  <c r="K63" i="11"/>
  <c r="R6" i="11"/>
  <c r="AC27" i="11" l="1"/>
  <c r="BG27" i="11" s="1"/>
  <c r="H25" i="4"/>
  <c r="K25" i="4" s="1"/>
  <c r="AC40" i="11"/>
  <c r="BG40" i="11" s="1"/>
  <c r="H38" i="4"/>
  <c r="K38" i="4" s="1"/>
  <c r="AC24" i="11"/>
  <c r="BG24" i="11" s="1"/>
  <c r="H22" i="4"/>
  <c r="K22" i="4" s="1"/>
  <c r="AC38" i="11"/>
  <c r="BG38" i="11" s="1"/>
  <c r="H36" i="4"/>
  <c r="K36" i="4" s="1"/>
  <c r="AB23" i="11"/>
  <c r="G21" i="4"/>
  <c r="AC26" i="11"/>
  <c r="BG26" i="11" s="1"/>
  <c r="H24" i="4"/>
  <c r="K24" i="4" s="1"/>
  <c r="AC34" i="11"/>
  <c r="BG34" i="11" s="1"/>
  <c r="H32" i="4"/>
  <c r="K32" i="4" s="1"/>
  <c r="AB18" i="11"/>
  <c r="G16" i="4"/>
  <c r="AC14" i="11"/>
  <c r="BG14" i="11" s="1"/>
  <c r="H12" i="4"/>
  <c r="K12" i="4" s="1"/>
  <c r="AB56" i="11"/>
  <c r="G54" i="4"/>
  <c r="AB63" i="11"/>
  <c r="BF63" i="11" s="1"/>
  <c r="G61" i="4"/>
  <c r="AB30" i="11"/>
  <c r="G28" i="4"/>
  <c r="AC32" i="11"/>
  <c r="BG32" i="11" s="1"/>
  <c r="H30" i="4"/>
  <c r="K30" i="4" s="1"/>
  <c r="AC60" i="11"/>
  <c r="BG60" i="11" s="1"/>
  <c r="H58" i="4"/>
  <c r="K58" i="4" s="1"/>
  <c r="AC58" i="11"/>
  <c r="BG58" i="11" s="1"/>
  <c r="H56" i="4"/>
  <c r="K56" i="4" s="1"/>
  <c r="AC29" i="11"/>
  <c r="BG29" i="11" s="1"/>
  <c r="H27" i="4"/>
  <c r="K27" i="4" s="1"/>
  <c r="D57" i="4"/>
  <c r="K57" i="4" s="1"/>
  <c r="BG59" i="11"/>
  <c r="D51" i="4"/>
  <c r="K51" i="4" s="1"/>
  <c r="BG53" i="11"/>
  <c r="D52" i="4"/>
  <c r="K52" i="4" s="1"/>
  <c r="BG54" i="11"/>
  <c r="C52" i="4"/>
  <c r="J52" i="4" s="1"/>
  <c r="BF54" i="11"/>
  <c r="C41" i="4"/>
  <c r="J41" i="4" s="1"/>
  <c r="BF43" i="11"/>
  <c r="R54" i="11"/>
  <c r="R30" i="11"/>
  <c r="G21" i="11"/>
  <c r="R21" i="11"/>
  <c r="R19" i="11"/>
  <c r="R50" i="11"/>
  <c r="G25" i="11"/>
  <c r="R25" i="11"/>
  <c r="G17" i="11"/>
  <c r="R17" i="11"/>
  <c r="R16" i="11"/>
  <c r="G29" i="11"/>
  <c r="F27" i="4" s="1"/>
  <c r="G12" i="11"/>
  <c r="F39" i="4"/>
  <c r="G6" i="11"/>
  <c r="G32" i="11"/>
  <c r="F30" i="4" s="1"/>
  <c r="G47" i="11"/>
  <c r="G56" i="4"/>
  <c r="M13" i="11"/>
  <c r="I11" i="4" s="1"/>
  <c r="G10" i="11"/>
  <c r="K24" i="11"/>
  <c r="G22" i="4" s="1"/>
  <c r="K41" i="11"/>
  <c r="G39" i="4" s="1"/>
  <c r="L41" i="11"/>
  <c r="H39" i="4" s="1"/>
  <c r="K39" i="4" s="1"/>
  <c r="M21" i="11"/>
  <c r="I19" i="4" s="1"/>
  <c r="K55" i="11"/>
  <c r="G53" i="4" s="1"/>
  <c r="L19" i="11"/>
  <c r="H17" i="4" s="1"/>
  <c r="K17" i="4" s="1"/>
  <c r="K19" i="11"/>
  <c r="G17" i="4" s="1"/>
  <c r="K9" i="11"/>
  <c r="G7" i="4" s="1"/>
  <c r="M9" i="11"/>
  <c r="I7" i="4" s="1"/>
  <c r="G59" i="11"/>
  <c r="M8" i="11"/>
  <c r="I6" i="4" s="1"/>
  <c r="K50" i="11"/>
  <c r="G48" i="4" s="1"/>
  <c r="M14" i="11"/>
  <c r="I12" i="4" s="1"/>
  <c r="M38" i="11"/>
  <c r="I36" i="4" s="1"/>
  <c r="G58" i="11"/>
  <c r="F56" i="4" s="1"/>
  <c r="K60" i="11"/>
  <c r="G58" i="4" s="1"/>
  <c r="K22" i="11"/>
  <c r="G20" i="4" s="1"/>
  <c r="K10" i="11"/>
  <c r="G8" i="4" s="1"/>
  <c r="K8" i="11"/>
  <c r="G6" i="4" s="1"/>
  <c r="G30" i="11"/>
  <c r="L7" i="11"/>
  <c r="H5" i="4" s="1"/>
  <c r="K5" i="4" s="1"/>
  <c r="L30" i="11"/>
  <c r="H28" i="4" s="1"/>
  <c r="K28" i="4" s="1"/>
  <c r="L63" i="11"/>
  <c r="H61" i="4" s="1"/>
  <c r="K61" i="4" s="1"/>
  <c r="L33" i="11"/>
  <c r="H31" i="4" s="1"/>
  <c r="K31" i="4" s="1"/>
  <c r="L13" i="11"/>
  <c r="H11" i="4" s="1"/>
  <c r="K11" i="4" s="1"/>
  <c r="L16" i="11"/>
  <c r="H14" i="4" s="1"/>
  <c r="K14" i="4" s="1"/>
  <c r="K7" i="11"/>
  <c r="G5" i="4" s="1"/>
  <c r="M29" i="11"/>
  <c r="I27" i="4" s="1"/>
  <c r="M11" i="11"/>
  <c r="I9" i="4" s="1"/>
  <c r="L51" i="11"/>
  <c r="H49" i="4" s="1"/>
  <c r="K49" i="4" s="1"/>
  <c r="M57" i="11"/>
  <c r="I55" i="4" s="1"/>
  <c r="M18" i="11"/>
  <c r="I16" i="4" s="1"/>
  <c r="M51" i="11"/>
  <c r="I49" i="4" s="1"/>
  <c r="M52" i="11"/>
  <c r="I50" i="4" s="1"/>
  <c r="M34" i="11"/>
  <c r="I32" i="4" s="1"/>
  <c r="M25" i="11"/>
  <c r="I23" i="4" s="1"/>
  <c r="M40" i="11"/>
  <c r="I38" i="4" s="1"/>
  <c r="M33" i="11"/>
  <c r="I31" i="4" s="1"/>
  <c r="L8" i="11"/>
  <c r="H6" i="4" s="1"/>
  <c r="K6" i="4" s="1"/>
  <c r="K52" i="11"/>
  <c r="G50" i="4" s="1"/>
  <c r="M7" i="11"/>
  <c r="I5" i="4" s="1"/>
  <c r="M26" i="11"/>
  <c r="I24" i="4" s="1"/>
  <c r="G27" i="11"/>
  <c r="F25" i="4" s="1"/>
  <c r="G26" i="11"/>
  <c r="F24" i="4" s="1"/>
  <c r="G7" i="11"/>
  <c r="G8" i="11"/>
  <c r="F6" i="4" s="1"/>
  <c r="G9" i="11"/>
  <c r="F7" i="4" s="1"/>
  <c r="G11" i="11"/>
  <c r="F9" i="4" s="1"/>
  <c r="G13" i="11"/>
  <c r="F11" i="4" s="1"/>
  <c r="G14" i="11"/>
  <c r="F12" i="4" s="1"/>
  <c r="G15" i="11"/>
  <c r="G16" i="11"/>
  <c r="G18" i="11"/>
  <c r="F16" i="4" s="1"/>
  <c r="G19" i="11"/>
  <c r="G20" i="11"/>
  <c r="F18" i="4" s="1"/>
  <c r="G22" i="11"/>
  <c r="F20" i="4" s="1"/>
  <c r="G23" i="11"/>
  <c r="F21" i="4" s="1"/>
  <c r="G24" i="11"/>
  <c r="F22" i="4" s="1"/>
  <c r="G57" i="11"/>
  <c r="F55" i="4" s="1"/>
  <c r="G49" i="11"/>
  <c r="G33" i="11"/>
  <c r="F31" i="4" s="1"/>
  <c r="G56" i="11"/>
  <c r="F54" i="4" s="1"/>
  <c r="G48" i="11"/>
  <c r="G40" i="11"/>
  <c r="F38" i="4" s="1"/>
  <c r="G43" i="11"/>
  <c r="G62" i="11"/>
  <c r="G54" i="11"/>
  <c r="G46" i="11"/>
  <c r="G38" i="11"/>
  <c r="F36" i="4" s="1"/>
  <c r="G50" i="11"/>
  <c r="G53" i="11"/>
  <c r="G45" i="11"/>
  <c r="G37" i="11"/>
  <c r="F35" i="4" s="1"/>
  <c r="G51" i="11"/>
  <c r="F49" i="4" s="1"/>
  <c r="G35" i="11"/>
  <c r="G34" i="11"/>
  <c r="F32" i="4" s="1"/>
  <c r="G63" i="11"/>
  <c r="F61" i="4" s="1"/>
  <c r="F53" i="4"/>
  <c r="G31" i="11"/>
  <c r="F29" i="4" s="1"/>
  <c r="G60" i="11"/>
  <c r="F58" i="4" s="1"/>
  <c r="G52" i="11"/>
  <c r="F50" i="4" s="1"/>
  <c r="G44" i="11"/>
  <c r="G36" i="11"/>
  <c r="G28" i="11"/>
  <c r="F26" i="4" s="1"/>
  <c r="M63" i="11"/>
  <c r="I61" i="4" s="1"/>
  <c r="M32" i="11"/>
  <c r="I30" i="4" s="1"/>
  <c r="M24" i="11"/>
  <c r="I22" i="4" s="1"/>
  <c r="M16" i="11"/>
  <c r="I14" i="4" s="1"/>
  <c r="M60" i="11"/>
  <c r="I58" i="4" s="1"/>
  <c r="M31" i="11"/>
  <c r="I29" i="4" s="1"/>
  <c r="M23" i="11"/>
  <c r="I21" i="4" s="1"/>
  <c r="M58" i="11"/>
  <c r="I56" i="4" s="1"/>
  <c r="M30" i="11"/>
  <c r="I28" i="4" s="1"/>
  <c r="M22" i="11"/>
  <c r="I20" i="4" s="1"/>
  <c r="M56" i="11"/>
  <c r="I54" i="4" s="1"/>
  <c r="M28" i="11"/>
  <c r="I26" i="4" s="1"/>
  <c r="M20" i="11"/>
  <c r="I18" i="4" s="1"/>
  <c r="M37" i="11"/>
  <c r="I35" i="4" s="1"/>
  <c r="M27" i="11"/>
  <c r="I25" i="4" s="1"/>
  <c r="M19" i="11"/>
  <c r="I17" i="4" s="1"/>
  <c r="L25" i="11"/>
  <c r="H23" i="4" s="1"/>
  <c r="K23" i="4" s="1"/>
  <c r="L31" i="11"/>
  <c r="H29" i="4" s="1"/>
  <c r="K29" i="4" s="1"/>
  <c r="L22" i="11"/>
  <c r="H20" i="4" s="1"/>
  <c r="K20" i="4" s="1"/>
  <c r="L57" i="11"/>
  <c r="H55" i="4" s="1"/>
  <c r="K55" i="4" s="1"/>
  <c r="L21" i="11"/>
  <c r="H19" i="4" s="1"/>
  <c r="K19" i="4" s="1"/>
  <c r="L11" i="11"/>
  <c r="H9" i="4" s="1"/>
  <c r="K9" i="4" s="1"/>
  <c r="L23" i="11"/>
  <c r="H21" i="4" s="1"/>
  <c r="K21" i="4" s="1"/>
  <c r="L56" i="11"/>
  <c r="H54" i="4" s="1"/>
  <c r="K54" i="4" s="1"/>
  <c r="L28" i="11"/>
  <c r="H26" i="4" s="1"/>
  <c r="K26" i="4" s="1"/>
  <c r="L20" i="11"/>
  <c r="H18" i="4" s="1"/>
  <c r="K18" i="4" s="1"/>
  <c r="L10" i="11"/>
  <c r="H8" i="4" s="1"/>
  <c r="K8" i="4" s="1"/>
  <c r="L37" i="11"/>
  <c r="H35" i="4" s="1"/>
  <c r="K35" i="4" s="1"/>
  <c r="L9" i="11"/>
  <c r="L17" i="11"/>
  <c r="H15" i="4" s="1"/>
  <c r="K15" i="4" s="1"/>
  <c r="L50" i="11"/>
  <c r="H48" i="4" s="1"/>
  <c r="K48" i="4" s="1"/>
  <c r="L52" i="11"/>
  <c r="H50" i="4" s="1"/>
  <c r="K50" i="4" s="1"/>
  <c r="L18" i="11"/>
  <c r="H16" i="4" s="1"/>
  <c r="K16" i="4" s="1"/>
  <c r="K40" i="11"/>
  <c r="G38" i="4" s="1"/>
  <c r="K29" i="11"/>
  <c r="G27" i="4" s="1"/>
  <c r="K21" i="11"/>
  <c r="G19" i="4" s="1"/>
  <c r="K11" i="11"/>
  <c r="G9" i="4" s="1"/>
  <c r="K38" i="11"/>
  <c r="G36" i="4" s="1"/>
  <c r="K28" i="11"/>
  <c r="G26" i="4" s="1"/>
  <c r="K20" i="11"/>
  <c r="G18" i="4" s="1"/>
  <c r="K57" i="11"/>
  <c r="G55" i="4" s="1"/>
  <c r="K37" i="11"/>
  <c r="G35" i="4" s="1"/>
  <c r="K27" i="11"/>
  <c r="G25" i="4" s="1"/>
  <c r="K34" i="11"/>
  <c r="G32" i="4" s="1"/>
  <c r="K26" i="11"/>
  <c r="G24" i="4" s="1"/>
  <c r="K51" i="11"/>
  <c r="G49" i="4" s="1"/>
  <c r="K33" i="11"/>
  <c r="G31" i="4" s="1"/>
  <c r="K25" i="11"/>
  <c r="G23" i="4" s="1"/>
  <c r="K17" i="11"/>
  <c r="G15" i="4" s="1"/>
  <c r="K32" i="11"/>
  <c r="G30" i="4" s="1"/>
  <c r="K16" i="11"/>
  <c r="G14" i="4" s="1"/>
  <c r="K44" i="11"/>
  <c r="G42" i="4" s="1"/>
  <c r="K31" i="11"/>
  <c r="G29" i="4" s="1"/>
  <c r="K14" i="11"/>
  <c r="G12" i="4" s="1"/>
  <c r="J64" i="11"/>
  <c r="N5" i="11"/>
  <c r="K4" i="11" s="1"/>
  <c r="F64" i="11"/>
  <c r="F28" i="4" l="1"/>
  <c r="F23" i="4"/>
  <c r="F19" i="4"/>
  <c r="F17" i="4"/>
  <c r="F15" i="4"/>
  <c r="F48" i="4"/>
  <c r="F14" i="4"/>
  <c r="AB13" i="11"/>
  <c r="G11" i="4"/>
  <c r="AC9" i="11"/>
  <c r="BG9" i="11" s="1"/>
  <c r="H7" i="4"/>
  <c r="K7" i="4" s="1"/>
  <c r="AD61" i="11"/>
  <c r="F59" i="4"/>
  <c r="AD10" i="11"/>
  <c r="BH10" i="11" s="1"/>
  <c r="F8" i="4"/>
  <c r="AD42" i="11"/>
  <c r="BH42" i="11" s="1"/>
  <c r="F40" i="4"/>
  <c r="AD7" i="11"/>
  <c r="BH7" i="11" s="1"/>
  <c r="F5" i="4"/>
  <c r="AD35" i="11"/>
  <c r="F33" i="4"/>
  <c r="AD44" i="11"/>
  <c r="BH44" i="11" s="1"/>
  <c r="F42" i="4"/>
  <c r="AD46" i="11"/>
  <c r="F44" i="4"/>
  <c r="AD49" i="11"/>
  <c r="F47" i="4"/>
  <c r="AD47" i="11"/>
  <c r="F45" i="4"/>
  <c r="AD12" i="11"/>
  <c r="BH12" i="11" s="1"/>
  <c r="F10" i="4"/>
  <c r="AD36" i="11"/>
  <c r="F34" i="4"/>
  <c r="AD54" i="11"/>
  <c r="F52" i="4"/>
  <c r="AD15" i="11"/>
  <c r="BH15" i="11" s="1"/>
  <c r="F13" i="4"/>
  <c r="AD45" i="11"/>
  <c r="F43" i="4"/>
  <c r="AD62" i="11"/>
  <c r="BH62" i="11" s="1"/>
  <c r="F60" i="4"/>
  <c r="AD59" i="11"/>
  <c r="F57" i="4"/>
  <c r="AD6" i="11"/>
  <c r="BH6" i="11" s="1"/>
  <c r="F4" i="4"/>
  <c r="AD39" i="11"/>
  <c r="F37" i="4"/>
  <c r="AD48" i="11"/>
  <c r="BH48" i="11" s="1"/>
  <c r="F46" i="4"/>
  <c r="AD53" i="11"/>
  <c r="F51" i="4"/>
  <c r="AD43" i="11"/>
  <c r="F41" i="4"/>
  <c r="R64" i="11"/>
  <c r="R66" i="11" s="1"/>
  <c r="AD17" i="11"/>
  <c r="BH17" i="11" s="1"/>
  <c r="AD21" i="11"/>
  <c r="BH21" i="11" s="1"/>
  <c r="AD8" i="11"/>
  <c r="BH8" i="11" s="1"/>
  <c r="AC18" i="11"/>
  <c r="BG18" i="11" s="1"/>
  <c r="AB14" i="11"/>
  <c r="AB33" i="11"/>
  <c r="AB20" i="11"/>
  <c r="AC52" i="11"/>
  <c r="BG52" i="11" s="1"/>
  <c r="AC28" i="11"/>
  <c r="BG28" i="11" s="1"/>
  <c r="AC22" i="11"/>
  <c r="BG22" i="11" s="1"/>
  <c r="AD55" i="11"/>
  <c r="BH55" i="11" s="1"/>
  <c r="AD24" i="11"/>
  <c r="BH24" i="11" s="1"/>
  <c r="AD27" i="11"/>
  <c r="BH27" i="11" s="1"/>
  <c r="AD30" i="11"/>
  <c r="BH30" i="11" s="1"/>
  <c r="AB22" i="11"/>
  <c r="AB50" i="11"/>
  <c r="AB32" i="11"/>
  <c r="AC37" i="11"/>
  <c r="BG37" i="11" s="1"/>
  <c r="AB17" i="11"/>
  <c r="AB25" i="11"/>
  <c r="AB57" i="11"/>
  <c r="AC20" i="11"/>
  <c r="BG20" i="11" s="1"/>
  <c r="AC57" i="11"/>
  <c r="BG57" i="11" s="1"/>
  <c r="AD31" i="11"/>
  <c r="BH31" i="11" s="1"/>
  <c r="AD57" i="11"/>
  <c r="BH57" i="11" s="1"/>
  <c r="AD16" i="11"/>
  <c r="BH16" i="11" s="1"/>
  <c r="AD26" i="11"/>
  <c r="BH26" i="11" s="1"/>
  <c r="AB58" i="11"/>
  <c r="BF58" i="11" s="1"/>
  <c r="AB51" i="11"/>
  <c r="AB28" i="11"/>
  <c r="AC50" i="11"/>
  <c r="BG50" i="11" s="1"/>
  <c r="AC56" i="11"/>
  <c r="BG56" i="11" s="1"/>
  <c r="AD63" i="11"/>
  <c r="BH63" i="11" s="1"/>
  <c r="AD23" i="11"/>
  <c r="BH23" i="11" s="1"/>
  <c r="AD14" i="11"/>
  <c r="BH14" i="11" s="1"/>
  <c r="AB60" i="11"/>
  <c r="BF60" i="11" s="1"/>
  <c r="AB9" i="11"/>
  <c r="AC41" i="11"/>
  <c r="BG41" i="11" s="1"/>
  <c r="AB27" i="11"/>
  <c r="AB37" i="11"/>
  <c r="AC10" i="11"/>
  <c r="BG10" i="11" s="1"/>
  <c r="AD37" i="11"/>
  <c r="BH37" i="11" s="1"/>
  <c r="AC17" i="11"/>
  <c r="BG17" i="11" s="1"/>
  <c r="AC23" i="11"/>
  <c r="BG23" i="11" s="1"/>
  <c r="AD22" i="11"/>
  <c r="BH22" i="11" s="1"/>
  <c r="AD13" i="11"/>
  <c r="BH13" i="11" s="1"/>
  <c r="AC63" i="11"/>
  <c r="BG63" i="11" s="1"/>
  <c r="AB19" i="11"/>
  <c r="AB44" i="11"/>
  <c r="AB26" i="11"/>
  <c r="AB11" i="11"/>
  <c r="BF11" i="11" s="1"/>
  <c r="AC11" i="11"/>
  <c r="BG11" i="11" s="1"/>
  <c r="AC25" i="11"/>
  <c r="BG25" i="11" s="1"/>
  <c r="AD50" i="11"/>
  <c r="BH50" i="11" s="1"/>
  <c r="AD20" i="11"/>
  <c r="BH20" i="11" s="1"/>
  <c r="AD11" i="11"/>
  <c r="BH11" i="11" s="1"/>
  <c r="AC30" i="11"/>
  <c r="BG30" i="11" s="1"/>
  <c r="AC19" i="11"/>
  <c r="BG19" i="11" s="1"/>
  <c r="AB40" i="11"/>
  <c r="AD60" i="11"/>
  <c r="BH60" i="11" s="1"/>
  <c r="AB31" i="11"/>
  <c r="AB38" i="11"/>
  <c r="AC31" i="11"/>
  <c r="BG31" i="11" s="1"/>
  <c r="AD28" i="11"/>
  <c r="BH28" i="11" s="1"/>
  <c r="AD34" i="11"/>
  <c r="BH34" i="11" s="1"/>
  <c r="AD40" i="11"/>
  <c r="BH40" i="11" s="1"/>
  <c r="AC51" i="11"/>
  <c r="BG51" i="11" s="1"/>
  <c r="AB41" i="11"/>
  <c r="AB16" i="11"/>
  <c r="AB34" i="11"/>
  <c r="AB21" i="11"/>
  <c r="AC21" i="11"/>
  <c r="BG21" i="11" s="1"/>
  <c r="AD51" i="11"/>
  <c r="BH51" i="11" s="1"/>
  <c r="AD38" i="11"/>
  <c r="BH38" i="11" s="1"/>
  <c r="AD56" i="11"/>
  <c r="BH56" i="11" s="1"/>
  <c r="AD19" i="11"/>
  <c r="BH19" i="11" s="1"/>
  <c r="AD9" i="11"/>
  <c r="BH9" i="11" s="1"/>
  <c r="AB52" i="11"/>
  <c r="AC16" i="11"/>
  <c r="BG16" i="11" s="1"/>
  <c r="AC7" i="11"/>
  <c r="BG7" i="11" s="1"/>
  <c r="AB8" i="11"/>
  <c r="BF8" i="11" s="1"/>
  <c r="AD58" i="11"/>
  <c r="BH58" i="11" s="1"/>
  <c r="AB55" i="11"/>
  <c r="AD32" i="11"/>
  <c r="BH32" i="11" s="1"/>
  <c r="AD29" i="11"/>
  <c r="BH29" i="11" s="1"/>
  <c r="AD25" i="11"/>
  <c r="BH25" i="11" s="1"/>
  <c r="AB29" i="11"/>
  <c r="AD52" i="11"/>
  <c r="BH52" i="11" s="1"/>
  <c r="AD33" i="11"/>
  <c r="BH33" i="11" s="1"/>
  <c r="AD18" i="11"/>
  <c r="BH18" i="11" s="1"/>
  <c r="AC8" i="11"/>
  <c r="BG8" i="11" s="1"/>
  <c r="AB7" i="11"/>
  <c r="AC13" i="11"/>
  <c r="BG13" i="11" s="1"/>
  <c r="AB10" i="11"/>
  <c r="AC33" i="11"/>
  <c r="BG33" i="11" s="1"/>
  <c r="AB24" i="11"/>
  <c r="AD41" i="11"/>
  <c r="BH41" i="11" s="1"/>
  <c r="N9" i="11"/>
  <c r="L64" i="11"/>
  <c r="L4" i="11"/>
  <c r="M4" i="11"/>
  <c r="M64" i="11"/>
  <c r="M66" i="11" s="1"/>
  <c r="F74" i="30"/>
  <c r="O67" i="30"/>
  <c r="A63" i="30"/>
  <c r="A62" i="30"/>
  <c r="Z60" i="30"/>
  <c r="X60" i="30"/>
  <c r="V60" i="30"/>
  <c r="AE60" i="30"/>
  <c r="AL60" i="30"/>
  <c r="AL59" i="30"/>
  <c r="AJ59" i="30"/>
  <c r="AH59" i="30"/>
  <c r="AE59" i="30"/>
  <c r="AC59" i="30"/>
  <c r="X59" i="30"/>
  <c r="Z59" i="30"/>
  <c r="V59" i="30"/>
  <c r="AL58" i="30"/>
  <c r="AJ58" i="30"/>
  <c r="AH58" i="30"/>
  <c r="AE58" i="30"/>
  <c r="AC58" i="30"/>
  <c r="X58" i="30"/>
  <c r="AL57" i="30"/>
  <c r="AE57" i="30"/>
  <c r="Z57" i="30"/>
  <c r="X57" i="30"/>
  <c r="V57" i="30"/>
  <c r="AC57" i="30"/>
  <c r="AL56" i="30"/>
  <c r="AJ56" i="30"/>
  <c r="AH56" i="30"/>
  <c r="AE56" i="30"/>
  <c r="AC56" i="30"/>
  <c r="Z56" i="30"/>
  <c r="X56" i="30"/>
  <c r="V56" i="30"/>
  <c r="Z55" i="30"/>
  <c r="X55" i="30"/>
  <c r="V55" i="30"/>
  <c r="AE55" i="30"/>
  <c r="AL55" i="30"/>
  <c r="AT55" i="30"/>
  <c r="Z54" i="30"/>
  <c r="X54" i="30"/>
  <c r="V54" i="30"/>
  <c r="AE54" i="30"/>
  <c r="AL54" i="30"/>
  <c r="Z53" i="30"/>
  <c r="X53" i="30"/>
  <c r="V53" i="30"/>
  <c r="AE53" i="30"/>
  <c r="AL53" i="30"/>
  <c r="AT53" i="30"/>
  <c r="Z52" i="30"/>
  <c r="X52" i="30"/>
  <c r="V52" i="30"/>
  <c r="AE52" i="30"/>
  <c r="AL52" i="30"/>
  <c r="AC52" i="30"/>
  <c r="AL51" i="30"/>
  <c r="AJ51" i="30"/>
  <c r="AH51" i="30"/>
  <c r="AE51" i="30"/>
  <c r="AC51" i="30"/>
  <c r="AL50" i="30"/>
  <c r="AJ50" i="30"/>
  <c r="AH50" i="30"/>
  <c r="AE50" i="30"/>
  <c r="AC50" i="30"/>
  <c r="Z49" i="30"/>
  <c r="X49" i="30"/>
  <c r="V49" i="30"/>
  <c r="AE49" i="30"/>
  <c r="AL49" i="30"/>
  <c r="Z48" i="30"/>
  <c r="X48" i="30"/>
  <c r="V48" i="30"/>
  <c r="AE48" i="30"/>
  <c r="AL48" i="30"/>
  <c r="Z47" i="30"/>
  <c r="X47" i="30"/>
  <c r="V47" i="30"/>
  <c r="AE47" i="30"/>
  <c r="AL46" i="30"/>
  <c r="AJ46" i="30"/>
  <c r="AH46" i="30"/>
  <c r="AE46" i="30"/>
  <c r="AC46" i="30"/>
  <c r="AR45" i="30"/>
  <c r="AL45" i="30"/>
  <c r="AJ45" i="30"/>
  <c r="AH45" i="30"/>
  <c r="AE45" i="30"/>
  <c r="AC45" i="30"/>
  <c r="Z45" i="30"/>
  <c r="X45" i="30"/>
  <c r="O45" i="30"/>
  <c r="AX45" i="30" s="1"/>
  <c r="AL44" i="30"/>
  <c r="AJ44" i="30"/>
  <c r="AH44" i="30"/>
  <c r="AE44" i="30"/>
  <c r="AC44" i="30"/>
  <c r="X44" i="30"/>
  <c r="AL43" i="30"/>
  <c r="AJ43" i="30"/>
  <c r="AH43" i="30"/>
  <c r="AE43" i="30"/>
  <c r="AC43" i="30"/>
  <c r="X43" i="30"/>
  <c r="Z43" i="30"/>
  <c r="V43" i="30"/>
  <c r="AL42" i="30"/>
  <c r="AJ42" i="30"/>
  <c r="AH42" i="30"/>
  <c r="AE42" i="30"/>
  <c r="AC42" i="30"/>
  <c r="X42" i="30"/>
  <c r="AL41" i="30"/>
  <c r="AE41" i="30"/>
  <c r="Z41" i="30"/>
  <c r="X41" i="30"/>
  <c r="V41" i="30"/>
  <c r="O41" i="30"/>
  <c r="AL40" i="30"/>
  <c r="AJ40" i="30"/>
  <c r="AH40" i="30"/>
  <c r="AE40" i="30"/>
  <c r="AC40" i="30"/>
  <c r="X40" i="30"/>
  <c r="AL39" i="30"/>
  <c r="AJ39" i="30"/>
  <c r="AH39" i="30"/>
  <c r="AE39" i="30"/>
  <c r="AC39" i="30"/>
  <c r="X39" i="30"/>
  <c r="Z38" i="30"/>
  <c r="X38" i="30"/>
  <c r="V38" i="30"/>
  <c r="Z37" i="30"/>
  <c r="X37" i="30"/>
  <c r="V37" i="30"/>
  <c r="AE37" i="30"/>
  <c r="AL37" i="30"/>
  <c r="AL36" i="30"/>
  <c r="AJ36" i="30"/>
  <c r="AH36" i="30"/>
  <c r="AE36" i="30"/>
  <c r="AC36" i="30"/>
  <c r="X36" i="30"/>
  <c r="AL35" i="30"/>
  <c r="AJ35" i="30"/>
  <c r="AE35" i="30"/>
  <c r="Z35" i="30"/>
  <c r="X35" i="30"/>
  <c r="V35" i="30"/>
  <c r="AX34" i="30"/>
  <c r="Z34" i="30"/>
  <c r="X34" i="30"/>
  <c r="V34" i="30"/>
  <c r="T34" i="30"/>
  <c r="AE34" i="30"/>
  <c r="O34" i="30"/>
  <c r="AL34" i="30"/>
  <c r="AJ34" i="30"/>
  <c r="AL33" i="30"/>
  <c r="AJ33" i="30"/>
  <c r="AH33" i="30"/>
  <c r="AE33" i="30"/>
  <c r="AC33" i="30"/>
  <c r="X33" i="30"/>
  <c r="Z33" i="30"/>
  <c r="AT33" i="30"/>
  <c r="AL32" i="30"/>
  <c r="AJ32" i="30"/>
  <c r="AH32" i="30"/>
  <c r="AE32" i="30"/>
  <c r="AC32" i="30"/>
  <c r="X32" i="30"/>
  <c r="AE31" i="30"/>
  <c r="Z31" i="30"/>
  <c r="X31" i="30"/>
  <c r="V31" i="30"/>
  <c r="T31" i="30"/>
  <c r="AL31" i="30"/>
  <c r="AL30" i="30"/>
  <c r="AE30" i="30"/>
  <c r="Z30" i="30"/>
  <c r="X30" i="30"/>
  <c r="V30" i="30"/>
  <c r="O30" i="30"/>
  <c r="AT30" i="30"/>
  <c r="AE29" i="30"/>
  <c r="AC29" i="30"/>
  <c r="Z29" i="30"/>
  <c r="X29" i="30"/>
  <c r="V29" i="30"/>
  <c r="AT29" i="30"/>
  <c r="AT28" i="30"/>
  <c r="AE28" i="30"/>
  <c r="Z28" i="30"/>
  <c r="X28" i="30"/>
  <c r="V28" i="30"/>
  <c r="AL28" i="30"/>
  <c r="AE27" i="30"/>
  <c r="Z27" i="30"/>
  <c r="X27" i="30"/>
  <c r="V27" i="30"/>
  <c r="AL27" i="30"/>
  <c r="AL26" i="30"/>
  <c r="AE26" i="30"/>
  <c r="Z26" i="30"/>
  <c r="X26" i="30"/>
  <c r="V26" i="30"/>
  <c r="AC26" i="30"/>
  <c r="AT26" i="30"/>
  <c r="AL25" i="30"/>
  <c r="AE25" i="30"/>
  <c r="Z25" i="30"/>
  <c r="X25" i="30"/>
  <c r="V25" i="30"/>
  <c r="AC25" i="30"/>
  <c r="AJ25" i="30"/>
  <c r="AT24" i="30"/>
  <c r="AJ24" i="30"/>
  <c r="AE24" i="30"/>
  <c r="Z24" i="30"/>
  <c r="X24" i="30"/>
  <c r="V24" i="30"/>
  <c r="AL24" i="30"/>
  <c r="Z23" i="30"/>
  <c r="X23" i="30"/>
  <c r="V23" i="30"/>
  <c r="T23" i="30"/>
  <c r="AE23" i="30"/>
  <c r="Z22" i="30"/>
  <c r="X22" i="30"/>
  <c r="V22" i="30"/>
  <c r="AE22" i="30"/>
  <c r="AL22" i="30"/>
  <c r="O22" i="30"/>
  <c r="Z21" i="30"/>
  <c r="X21" i="30"/>
  <c r="V21" i="30"/>
  <c r="T21" i="30"/>
  <c r="S21" i="30"/>
  <c r="S61" i="30" s="1"/>
  <c r="AL20" i="30"/>
  <c r="AE20" i="30"/>
  <c r="Z20" i="30"/>
  <c r="X20" i="30"/>
  <c r="V20" i="30"/>
  <c r="AC20" i="30"/>
  <c r="O20" i="30"/>
  <c r="AT20" i="30"/>
  <c r="AL19" i="30"/>
  <c r="AC19" i="30"/>
  <c r="Z19" i="30"/>
  <c r="X19" i="30"/>
  <c r="V19" i="30"/>
  <c r="AE19" i="30"/>
  <c r="AJ19" i="30"/>
  <c r="AT19" i="30"/>
  <c r="Z18" i="30"/>
  <c r="X18" i="30"/>
  <c r="V18" i="30"/>
  <c r="AE18" i="30"/>
  <c r="AL18" i="30"/>
  <c r="Z17" i="30"/>
  <c r="X17" i="30"/>
  <c r="V17" i="30"/>
  <c r="T17" i="30"/>
  <c r="AE17" i="30"/>
  <c r="AT17" i="30"/>
  <c r="Z16" i="30"/>
  <c r="X16" i="30"/>
  <c r="V16" i="30"/>
  <c r="AE16" i="30"/>
  <c r="AL16" i="30"/>
  <c r="Z15" i="30"/>
  <c r="X15" i="30"/>
  <c r="V15" i="30"/>
  <c r="AE15" i="30"/>
  <c r="AL15" i="30"/>
  <c r="Z14" i="30"/>
  <c r="X14" i="30"/>
  <c r="V14" i="30"/>
  <c r="AE14" i="30"/>
  <c r="AL14" i="30"/>
  <c r="Z13" i="30"/>
  <c r="X13" i="30"/>
  <c r="V13" i="30"/>
  <c r="AE13" i="30"/>
  <c r="AL12" i="30"/>
  <c r="AJ12" i="30"/>
  <c r="AH12" i="30"/>
  <c r="AE12" i="30"/>
  <c r="AC12" i="30"/>
  <c r="X12" i="30"/>
  <c r="V12" i="30"/>
  <c r="AT11" i="30"/>
  <c r="Z11" i="30"/>
  <c r="X11" i="30"/>
  <c r="V11" i="30"/>
  <c r="AJ11" i="30"/>
  <c r="AL11" i="30"/>
  <c r="AE10" i="30"/>
  <c r="Z10" i="30"/>
  <c r="X10" i="30"/>
  <c r="V10" i="30"/>
  <c r="AL10" i="30"/>
  <c r="AL9" i="30"/>
  <c r="AJ9" i="30"/>
  <c r="AH9" i="30"/>
  <c r="AE9" i="30"/>
  <c r="AC9" i="30"/>
  <c r="T9" i="30"/>
  <c r="V9" i="30"/>
  <c r="X9" i="30"/>
  <c r="AL8" i="30"/>
  <c r="AE8" i="30"/>
  <c r="Z8" i="30"/>
  <c r="X8" i="30"/>
  <c r="V8" i="30"/>
  <c r="AJ8" i="30"/>
  <c r="Z7" i="30"/>
  <c r="X7" i="30"/>
  <c r="V7" i="30"/>
  <c r="AE7" i="30"/>
  <c r="AL7" i="30"/>
  <c r="AE6" i="30"/>
  <c r="Z6" i="30"/>
  <c r="X6" i="30"/>
  <c r="V6" i="30"/>
  <c r="T6" i="30"/>
  <c r="AL6" i="30"/>
  <c r="AL5" i="30"/>
  <c r="AE5" i="30"/>
  <c r="AC5" i="30"/>
  <c r="Z5" i="30"/>
  <c r="X5" i="30"/>
  <c r="V5" i="30"/>
  <c r="T5" i="30"/>
  <c r="O5" i="30"/>
  <c r="AE4" i="30"/>
  <c r="AC4" i="30"/>
  <c r="Z4" i="30"/>
  <c r="X4" i="30"/>
  <c r="V4" i="30"/>
  <c r="AT4" i="30"/>
  <c r="AL3" i="30"/>
  <c r="AJ3" i="30"/>
  <c r="AH3" i="30"/>
  <c r="AE3" i="30"/>
  <c r="AC3" i="30"/>
  <c r="Z3" i="30"/>
  <c r="W61" i="30"/>
  <c r="L61" i="30"/>
  <c r="N4" i="11" l="1"/>
  <c r="AR41" i="30"/>
  <c r="AH41" i="30"/>
  <c r="AR5" i="30"/>
  <c r="AH5" i="30"/>
  <c r="AR20" i="30"/>
  <c r="AH20" i="30"/>
  <c r="AT25" i="30"/>
  <c r="V3" i="30"/>
  <c r="AC7" i="30"/>
  <c r="O7" i="30"/>
  <c r="AJ7" i="30"/>
  <c r="O8" i="30"/>
  <c r="AT8" i="30"/>
  <c r="AF16" i="30"/>
  <c r="AC18" i="30"/>
  <c r="O18" i="30"/>
  <c r="AJ18" i="30"/>
  <c r="AT18" i="30"/>
  <c r="AF22" i="30"/>
  <c r="AF30" i="30"/>
  <c r="AX8" i="30"/>
  <c r="AC15" i="30"/>
  <c r="O15" i="30"/>
  <c r="AT15" i="30"/>
  <c r="O25" i="30"/>
  <c r="AT35" i="30"/>
  <c r="O35" i="30"/>
  <c r="AC35" i="30"/>
  <c r="AT7" i="30"/>
  <c r="AT9" i="30"/>
  <c r="AC14" i="30"/>
  <c r="AF23" i="30"/>
  <c r="AX32" i="30"/>
  <c r="V40" i="30"/>
  <c r="O40" i="30"/>
  <c r="AR40" i="30" s="1"/>
  <c r="Z40" i="30"/>
  <c r="AT40" i="30"/>
  <c r="L71" i="30"/>
  <c r="AJ4" i="30"/>
  <c r="AH34" i="30"/>
  <c r="AR34" i="30"/>
  <c r="V51" i="30"/>
  <c r="X51" i="30"/>
  <c r="O51" i="30"/>
  <c r="AR51" i="30" s="1"/>
  <c r="O57" i="30"/>
  <c r="AF5" i="30"/>
  <c r="Z50" i="30"/>
  <c r="X50" i="30"/>
  <c r="F61" i="30"/>
  <c r="AT13" i="30"/>
  <c r="G61" i="30"/>
  <c r="AC8" i="30"/>
  <c r="AF9" i="30"/>
  <c r="AC22" i="30"/>
  <c r="D61" i="30"/>
  <c r="O3" i="30"/>
  <c r="AL4" i="30"/>
  <c r="AX5" i="30"/>
  <c r="N61" i="30"/>
  <c r="O4" i="30"/>
  <c r="AC6" i="30"/>
  <c r="O6" i="30"/>
  <c r="AT6" i="30"/>
  <c r="AJ6" i="30"/>
  <c r="AF6" i="30"/>
  <c r="AX7" i="30"/>
  <c r="AF18" i="30"/>
  <c r="AC27" i="30"/>
  <c r="O27" i="30"/>
  <c r="AT27" i="30"/>
  <c r="AJ27" i="30"/>
  <c r="AX4" i="30"/>
  <c r="X3" i="30"/>
  <c r="AT3" i="30"/>
  <c r="AT5" i="30"/>
  <c r="AC10" i="30"/>
  <c r="AC11" i="30"/>
  <c r="O11" i="30"/>
  <c r="O12" i="30"/>
  <c r="AR12" i="30" s="1"/>
  <c r="AL13" i="30"/>
  <c r="AT16" i="30"/>
  <c r="T55" i="30"/>
  <c r="T50" i="30"/>
  <c r="T45" i="30"/>
  <c r="T51" i="30"/>
  <c r="T46" i="30"/>
  <c r="T39" i="30"/>
  <c r="T56" i="30"/>
  <c r="T52" i="30"/>
  <c r="T47" i="30"/>
  <c r="T53" i="30"/>
  <c r="T48" i="30"/>
  <c r="T37" i="30"/>
  <c r="T59" i="30"/>
  <c r="T54" i="30"/>
  <c r="T49" i="30"/>
  <c r="T43" i="30"/>
  <c r="T38" i="30"/>
  <c r="T60" i="30"/>
  <c r="T44" i="30"/>
  <c r="T32" i="30"/>
  <c r="T28" i="30"/>
  <c r="T24" i="30"/>
  <c r="T40" i="30"/>
  <c r="T36" i="30"/>
  <c r="T35" i="30"/>
  <c r="T33" i="30"/>
  <c r="T29" i="30"/>
  <c r="T25" i="30"/>
  <c r="T57" i="30"/>
  <c r="T18" i="30"/>
  <c r="T41" i="30"/>
  <c r="T19" i="30"/>
  <c r="T26" i="30"/>
  <c r="T20" i="30"/>
  <c r="T15" i="30"/>
  <c r="T11" i="30"/>
  <c r="T58" i="30"/>
  <c r="T7" i="30"/>
  <c r="T3" i="30"/>
  <c r="T4" i="30"/>
  <c r="T30" i="30"/>
  <c r="T16" i="30"/>
  <c r="T42" i="30"/>
  <c r="T27" i="30"/>
  <c r="T22" i="30"/>
  <c r="T12" i="30"/>
  <c r="T8" i="30"/>
  <c r="T13" i="30"/>
  <c r="T14" i="30"/>
  <c r="T10" i="30"/>
  <c r="O26" i="30"/>
  <c r="AR30" i="30"/>
  <c r="AH30" i="30"/>
  <c r="O9" i="30"/>
  <c r="AC16" i="30"/>
  <c r="O16" i="30"/>
  <c r="AR22" i="30"/>
  <c r="AH22" i="30"/>
  <c r="AX22" i="30"/>
  <c r="E61" i="30"/>
  <c r="M61" i="30"/>
  <c r="Z12" i="30"/>
  <c r="AT12" i="30"/>
  <c r="O13" i="30"/>
  <c r="AC13" i="30"/>
  <c r="AJ16" i="30"/>
  <c r="AX25" i="30"/>
  <c r="AC30" i="30"/>
  <c r="AO45" i="30"/>
  <c r="AJ15" i="30"/>
  <c r="O19" i="30"/>
  <c r="AX19" i="30" s="1"/>
  <c r="AC23" i="30"/>
  <c r="O23" i="30"/>
  <c r="AT23" i="30"/>
  <c r="AJ23" i="30"/>
  <c r="V32" i="30"/>
  <c r="O32" i="30"/>
  <c r="AR32" i="30" s="1"/>
  <c r="AT32" i="30"/>
  <c r="Z32" i="30"/>
  <c r="V33" i="30"/>
  <c r="AX40" i="30"/>
  <c r="AX20" i="30"/>
  <c r="AF26" i="30"/>
  <c r="AJ29" i="30"/>
  <c r="AC37" i="30"/>
  <c r="O37" i="30"/>
  <c r="AJ37" i="30"/>
  <c r="AT37" i="30"/>
  <c r="AW61" i="30"/>
  <c r="AJ10" i="30"/>
  <c r="AT10" i="30"/>
  <c r="AJ14" i="30"/>
  <c r="AT14" i="30"/>
  <c r="AC17" i="30"/>
  <c r="O17" i="30"/>
  <c r="AJ17" i="30"/>
  <c r="Q21" i="30"/>
  <c r="O21" i="30"/>
  <c r="AJ21" i="30"/>
  <c r="AT21" i="30"/>
  <c r="AL23" i="30"/>
  <c r="AC28" i="30"/>
  <c r="O28" i="30"/>
  <c r="AL29" i="30"/>
  <c r="AX30" i="30"/>
  <c r="AC41" i="30"/>
  <c r="AF48" i="30"/>
  <c r="I61" i="30"/>
  <c r="J61" i="30"/>
  <c r="AE61" i="30"/>
  <c r="AF4" i="30" s="1"/>
  <c r="AJ5" i="30"/>
  <c r="AJ28" i="30"/>
  <c r="O29" i="30"/>
  <c r="AC31" i="30"/>
  <c r="O31" i="30"/>
  <c r="AT31" i="30"/>
  <c r="AJ31" i="30"/>
  <c r="AC34" i="30"/>
  <c r="O50" i="30"/>
  <c r="AT50" i="30"/>
  <c r="AF57" i="30"/>
  <c r="H61" i="30"/>
  <c r="C61" i="30"/>
  <c r="K61" i="30"/>
  <c r="Z9" i="30"/>
  <c r="O10" i="30"/>
  <c r="AJ13" i="30"/>
  <c r="O14" i="30"/>
  <c r="AL17" i="30"/>
  <c r="AL61" i="30" s="1"/>
  <c r="AL21" i="30"/>
  <c r="AT22" i="30"/>
  <c r="AC24" i="30"/>
  <c r="O24" i="30"/>
  <c r="AX29" i="30"/>
  <c r="AT36" i="30"/>
  <c r="V36" i="30"/>
  <c r="O36" i="30"/>
  <c r="Z36" i="30"/>
  <c r="AF37" i="30"/>
  <c r="AT38" i="30"/>
  <c r="O38" i="30"/>
  <c r="AC38" i="30"/>
  <c r="AL38" i="30"/>
  <c r="V39" i="30"/>
  <c r="AT45" i="30"/>
  <c r="AJ20" i="30"/>
  <c r="O33" i="30"/>
  <c r="AR33" i="30" s="1"/>
  <c r="AT34" i="30"/>
  <c r="AJ38" i="30"/>
  <c r="AT39" i="30"/>
  <c r="AX41" i="30"/>
  <c r="AT46" i="30"/>
  <c r="AC49" i="30"/>
  <c r="O49" i="30"/>
  <c r="AT49" i="30"/>
  <c r="AF52" i="30"/>
  <c r="AC55" i="30"/>
  <c r="O55" i="30"/>
  <c r="AX57" i="30"/>
  <c r="AT41" i="30"/>
  <c r="AT42" i="30"/>
  <c r="Z42" i="30"/>
  <c r="V42" i="30"/>
  <c r="O42" i="30"/>
  <c r="O44" i="30"/>
  <c r="AR44" i="30" s="1"/>
  <c r="AT44" i="30"/>
  <c r="Z44" i="30"/>
  <c r="V44" i="30"/>
  <c r="V45" i="30"/>
  <c r="AF46" i="30"/>
  <c r="AX46" i="30"/>
  <c r="AT48" i="30"/>
  <c r="AT56" i="30"/>
  <c r="AT58" i="30"/>
  <c r="Z58" i="30"/>
  <c r="V58" i="30"/>
  <c r="O58" i="30"/>
  <c r="AC60" i="30"/>
  <c r="O60" i="30"/>
  <c r="AT60" i="30"/>
  <c r="AJ60" i="30"/>
  <c r="V46" i="30"/>
  <c r="X46" i="30"/>
  <c r="AC47" i="30"/>
  <c r="AF55" i="30"/>
  <c r="AF59" i="30"/>
  <c r="AJ22" i="30"/>
  <c r="AJ26" i="30"/>
  <c r="AJ30" i="30"/>
  <c r="AF33" i="30"/>
  <c r="AF39" i="30"/>
  <c r="O43" i="30"/>
  <c r="AT43" i="30"/>
  <c r="AX49" i="30"/>
  <c r="AT51" i="30"/>
  <c r="AC54" i="30"/>
  <c r="O54" i="30"/>
  <c r="AT54" i="30"/>
  <c r="AT57" i="30"/>
  <c r="O59" i="30"/>
  <c r="AT59" i="30"/>
  <c r="O39" i="30"/>
  <c r="AR39" i="30" s="1"/>
  <c r="O46" i="30"/>
  <c r="AR46" i="30" s="1"/>
  <c r="AL47" i="30"/>
  <c r="V50" i="30"/>
  <c r="AF51" i="30"/>
  <c r="AX51" i="30"/>
  <c r="AX55" i="30"/>
  <c r="AF60" i="30"/>
  <c r="AJ41" i="30"/>
  <c r="AJ57" i="30"/>
  <c r="AJ47" i="30"/>
  <c r="AT47" i="30"/>
  <c r="O48" i="30"/>
  <c r="AC48" i="30"/>
  <c r="AJ52" i="30"/>
  <c r="AT52" i="30"/>
  <c r="O53" i="30"/>
  <c r="AC53" i="30"/>
  <c r="Z39" i="30"/>
  <c r="Z46" i="30"/>
  <c r="O47" i="30"/>
  <c r="Z51" i="30"/>
  <c r="O52" i="30"/>
  <c r="AJ55" i="30"/>
  <c r="O56" i="30"/>
  <c r="AR56" i="30" s="1"/>
  <c r="AJ49" i="30"/>
  <c r="AJ54" i="30"/>
  <c r="AJ48" i="30"/>
  <c r="AJ53" i="30"/>
  <c r="AM50" i="30" l="1"/>
  <c r="AM45" i="30"/>
  <c r="AM59" i="30"/>
  <c r="AM43" i="30"/>
  <c r="AM40" i="30"/>
  <c r="AM33" i="30"/>
  <c r="AM36" i="30"/>
  <c r="AM58" i="30"/>
  <c r="AM42" i="30"/>
  <c r="AM37" i="30"/>
  <c r="AM9" i="30"/>
  <c r="AM6" i="30"/>
  <c r="AM27" i="30"/>
  <c r="AM11" i="30"/>
  <c r="AM44" i="30"/>
  <c r="AM39" i="30"/>
  <c r="AM51" i="30"/>
  <c r="AM20" i="30"/>
  <c r="AM34" i="30"/>
  <c r="AM3" i="30"/>
  <c r="AM25" i="30"/>
  <c r="AM57" i="30"/>
  <c r="AM48" i="30"/>
  <c r="AM28" i="30"/>
  <c r="AM24" i="30"/>
  <c r="AM18" i="30"/>
  <c r="AM35" i="30"/>
  <c r="AM52" i="30"/>
  <c r="AM32" i="30"/>
  <c r="AM53" i="30"/>
  <c r="AM54" i="30"/>
  <c r="AM60" i="30"/>
  <c r="AM14" i="30"/>
  <c r="AM10" i="30"/>
  <c r="AM15" i="30"/>
  <c r="AM12" i="30"/>
  <c r="AM31" i="30"/>
  <c r="AM26" i="30"/>
  <c r="AM41" i="30"/>
  <c r="AM46" i="30"/>
  <c r="AM55" i="30"/>
  <c r="AM8" i="30"/>
  <c r="AM49" i="30"/>
  <c r="AM22" i="30"/>
  <c r="AM7" i="30"/>
  <c r="AM56" i="30"/>
  <c r="AM5" i="30"/>
  <c r="AM16" i="30"/>
  <c r="AM19" i="30"/>
  <c r="AM30" i="30"/>
  <c r="I71" i="30"/>
  <c r="AM29" i="30"/>
  <c r="AR21" i="30"/>
  <c r="AH21" i="30"/>
  <c r="M62" i="30"/>
  <c r="M74" i="30" s="1"/>
  <c r="M71" i="30"/>
  <c r="AO22" i="30"/>
  <c r="AR9" i="30"/>
  <c r="AX9" i="30"/>
  <c r="AR26" i="30"/>
  <c r="AH26" i="30"/>
  <c r="AR11" i="30"/>
  <c r="AH11" i="30"/>
  <c r="AU5" i="30"/>
  <c r="O61" i="30"/>
  <c r="N62" i="30" s="1"/>
  <c r="N74" i="30" s="1"/>
  <c r="AR3" i="30"/>
  <c r="AU7" i="30"/>
  <c r="AX15" i="30"/>
  <c r="AR15" i="30"/>
  <c r="AH15" i="30"/>
  <c r="AO20" i="30"/>
  <c r="AK57" i="30"/>
  <c r="AX43" i="30"/>
  <c r="AR43" i="30"/>
  <c r="AX56" i="30"/>
  <c r="AF43" i="30"/>
  <c r="AR58" i="30"/>
  <c r="AX58" i="30"/>
  <c r="AU48" i="30"/>
  <c r="AR42" i="30"/>
  <c r="AX42" i="30"/>
  <c r="K62" i="30"/>
  <c r="K74" i="30" s="1"/>
  <c r="K71" i="30"/>
  <c r="AF31" i="30"/>
  <c r="AX21" i="30"/>
  <c r="AX28" i="30"/>
  <c r="AR28" i="30"/>
  <c r="AH28" i="30"/>
  <c r="Q61" i="30"/>
  <c r="R21" i="30"/>
  <c r="E62" i="30"/>
  <c r="E63" i="30" s="1"/>
  <c r="E74" i="30" s="1"/>
  <c r="E71" i="30"/>
  <c r="AT61" i="30"/>
  <c r="AU37" i="30" s="1"/>
  <c r="AR4" i="30"/>
  <c r="AH4" i="30"/>
  <c r="D62" i="30"/>
  <c r="D74" i="30" s="1"/>
  <c r="D71" i="30"/>
  <c r="AJ61" i="30"/>
  <c r="AK31" i="30" s="1"/>
  <c r="AO51" i="30"/>
  <c r="AO40" i="30"/>
  <c r="AD15" i="30"/>
  <c r="AK48" i="30"/>
  <c r="AD54" i="30"/>
  <c r="AO56" i="30"/>
  <c r="AR53" i="30"/>
  <c r="AH53" i="30"/>
  <c r="AX53" i="30"/>
  <c r="AU34" i="30"/>
  <c r="AD10" i="30"/>
  <c r="N71" i="30"/>
  <c r="AX11" i="30"/>
  <c r="V61" i="30"/>
  <c r="AO5" i="30"/>
  <c r="AX39" i="30"/>
  <c r="AD55" i="30"/>
  <c r="AO33" i="30"/>
  <c r="H62" i="30"/>
  <c r="H74" i="30" s="1"/>
  <c r="H71" i="30"/>
  <c r="AU31" i="30"/>
  <c r="AF56" i="30"/>
  <c r="AF50" i="30"/>
  <c r="AF45" i="30"/>
  <c r="AF38" i="30"/>
  <c r="AF41" i="30"/>
  <c r="AF28" i="30"/>
  <c r="AF24" i="30"/>
  <c r="AF21" i="30"/>
  <c r="AF58" i="30"/>
  <c r="AF42" i="30"/>
  <c r="AF35" i="30"/>
  <c r="AF29" i="30"/>
  <c r="AF25" i="30"/>
  <c r="AF44" i="30"/>
  <c r="AF40" i="30"/>
  <c r="AF11" i="30"/>
  <c r="AF3" i="30"/>
  <c r="AF20" i="30"/>
  <c r="AF53" i="30"/>
  <c r="AF49" i="30"/>
  <c r="AF32" i="30"/>
  <c r="AF10" i="30"/>
  <c r="AF14" i="30"/>
  <c r="AX17" i="30"/>
  <c r="AH17" i="30"/>
  <c r="AR17" i="30"/>
  <c r="AD37" i="30"/>
  <c r="AX33" i="30"/>
  <c r="AF7" i="30"/>
  <c r="AD8" i="30"/>
  <c r="AF34" i="30"/>
  <c r="AR35" i="30"/>
  <c r="AH35" i="30"/>
  <c r="AX35" i="30"/>
  <c r="AU18" i="30"/>
  <c r="AU47" i="30"/>
  <c r="AR54" i="30"/>
  <c r="AH54" i="30"/>
  <c r="AX37" i="30"/>
  <c r="AH37" i="30"/>
  <c r="AR37" i="30"/>
  <c r="X61" i="30"/>
  <c r="Y3" i="30" s="1"/>
  <c r="AO39" i="30"/>
  <c r="AK20" i="30"/>
  <c r="AM17" i="30"/>
  <c r="AX31" i="30"/>
  <c r="AH31" i="30"/>
  <c r="AR31" i="30"/>
  <c r="J62" i="30"/>
  <c r="J74" i="30" s="1"/>
  <c r="J71" i="30"/>
  <c r="AR16" i="30"/>
  <c r="AH16" i="30"/>
  <c r="AX16" i="30"/>
  <c r="AD14" i="30"/>
  <c r="AR8" i="30"/>
  <c r="AH8" i="30"/>
  <c r="AU25" i="30"/>
  <c r="AF19" i="30"/>
  <c r="AX59" i="30"/>
  <c r="AR59" i="30"/>
  <c r="AR55" i="30"/>
  <c r="AH55" i="30"/>
  <c r="AR38" i="30"/>
  <c r="AH38" i="30"/>
  <c r="AX38" i="30"/>
  <c r="AR52" i="30"/>
  <c r="AH52" i="30"/>
  <c r="AX52" i="30"/>
  <c r="AK60" i="30"/>
  <c r="AU58" i="30"/>
  <c r="AD47" i="30"/>
  <c r="AU56" i="30"/>
  <c r="AU41" i="30"/>
  <c r="AF36" i="30"/>
  <c r="AX26" i="30"/>
  <c r="AR14" i="30"/>
  <c r="AH14" i="30"/>
  <c r="AX14" i="30"/>
  <c r="AD31" i="30"/>
  <c r="AX3" i="30"/>
  <c r="AM23" i="30"/>
  <c r="AU14" i="30"/>
  <c r="AF47" i="30"/>
  <c r="AF54" i="30"/>
  <c r="AU32" i="30"/>
  <c r="AH23" i="30"/>
  <c r="AX23" i="30"/>
  <c r="AR23" i="30"/>
  <c r="AR13" i="30"/>
  <c r="AH13" i="30"/>
  <c r="AX13" i="30"/>
  <c r="AO30" i="30"/>
  <c r="T61" i="30"/>
  <c r="AU16" i="30"/>
  <c r="AF8" i="30"/>
  <c r="AU27" i="30"/>
  <c r="AM4" i="30"/>
  <c r="G62" i="30"/>
  <c r="G74" i="30" s="1"/>
  <c r="G71" i="30"/>
  <c r="AO34" i="30"/>
  <c r="AC61" i="30"/>
  <c r="AD24" i="30" s="1"/>
  <c r="AX12" i="30"/>
  <c r="AR25" i="30"/>
  <c r="AH25" i="30"/>
  <c r="AX18" i="30"/>
  <c r="AH18" i="30"/>
  <c r="AR18" i="30"/>
  <c r="AK7" i="30"/>
  <c r="AO41" i="30"/>
  <c r="AU43" i="30"/>
  <c r="AO44" i="30"/>
  <c r="AX54" i="30"/>
  <c r="AM21" i="30"/>
  <c r="C62" i="30"/>
  <c r="C71" i="30"/>
  <c r="Y50" i="30"/>
  <c r="AU42" i="30"/>
  <c r="AX44" i="30"/>
  <c r="AD17" i="30"/>
  <c r="AD48" i="30"/>
  <c r="AM47" i="30"/>
  <c r="AK53" i="30"/>
  <c r="AR47" i="30"/>
  <c r="AH47" i="30"/>
  <c r="AX47" i="30"/>
  <c r="AR48" i="30"/>
  <c r="AH48" i="30"/>
  <c r="AX48" i="30"/>
  <c r="AO46" i="30"/>
  <c r="AU54" i="30"/>
  <c r="AX60" i="30"/>
  <c r="AR60" i="30"/>
  <c r="AH60" i="30"/>
  <c r="AR49" i="30"/>
  <c r="AH49" i="30"/>
  <c r="AM38" i="30"/>
  <c r="AR29" i="30"/>
  <c r="AH29" i="30"/>
  <c r="AU21" i="30"/>
  <c r="AK14" i="30"/>
  <c r="AO32" i="30"/>
  <c r="AF13" i="30"/>
  <c r="AM13" i="30"/>
  <c r="AX27" i="30"/>
  <c r="AR27" i="30"/>
  <c r="AH27" i="30"/>
  <c r="AU6" i="30"/>
  <c r="Z61" i="30"/>
  <c r="AA58" i="30" s="1"/>
  <c r="AF27" i="30"/>
  <c r="AF12" i="30"/>
  <c r="AD18" i="30"/>
  <c r="AR7" i="30"/>
  <c r="AH7" i="30"/>
  <c r="AF17" i="30"/>
  <c r="AD60" i="30"/>
  <c r="AD49" i="30"/>
  <c r="AR36" i="30"/>
  <c r="AX36" i="30"/>
  <c r="AX24" i="30"/>
  <c r="AH24" i="30"/>
  <c r="AR24" i="30"/>
  <c r="AR10" i="30"/>
  <c r="AH10" i="30"/>
  <c r="AX10" i="30"/>
  <c r="AX50" i="30"/>
  <c r="AR50" i="30"/>
  <c r="AK28" i="30"/>
  <c r="AK29" i="30"/>
  <c r="AR19" i="30"/>
  <c r="AH19" i="30"/>
  <c r="AD30" i="30"/>
  <c r="AO12" i="30"/>
  <c r="AD27" i="30"/>
  <c r="AX6" i="30"/>
  <c r="AH6" i="30"/>
  <c r="AR6" i="30"/>
  <c r="F62" i="30"/>
  <c r="F71" i="30"/>
  <c r="AR57" i="30"/>
  <c r="AH57" i="30"/>
  <c r="AU40" i="30"/>
  <c r="AU9" i="30"/>
  <c r="AU15" i="30"/>
  <c r="AD7" i="30"/>
  <c r="AF15" i="30"/>
  <c r="AA42" i="30" l="1"/>
  <c r="AO15" i="30"/>
  <c r="AO19" i="30"/>
  <c r="AI10" i="30"/>
  <c r="AU44" i="30"/>
  <c r="AI29" i="30"/>
  <c r="AA44" i="30"/>
  <c r="AU57" i="30"/>
  <c r="AK52" i="30"/>
  <c r="AI18" i="30"/>
  <c r="AI23" i="30"/>
  <c r="AU60" i="30"/>
  <c r="AO55" i="30"/>
  <c r="AS55" i="30"/>
  <c r="AI16" i="30"/>
  <c r="AO37" i="30"/>
  <c r="AU8" i="30"/>
  <c r="AD35" i="30"/>
  <c r="AK37" i="30"/>
  <c r="AO42" i="30"/>
  <c r="AU59" i="30"/>
  <c r="I62" i="30"/>
  <c r="I74" i="30" s="1"/>
  <c r="AA60" i="30"/>
  <c r="AA41" i="30"/>
  <c r="AA30" i="30"/>
  <c r="AA26" i="30"/>
  <c r="AA47" i="30"/>
  <c r="AA31" i="30"/>
  <c r="AA27" i="30"/>
  <c r="AA21" i="30"/>
  <c r="AA20" i="30"/>
  <c r="AA5" i="30"/>
  <c r="AA14" i="30"/>
  <c r="AA38" i="30"/>
  <c r="AA23" i="30"/>
  <c r="AA52" i="30"/>
  <c r="AA55" i="30"/>
  <c r="AA22" i="30"/>
  <c r="AA16" i="30"/>
  <c r="AA13" i="30"/>
  <c r="AA35" i="30"/>
  <c r="AA56" i="30"/>
  <c r="AA45" i="30"/>
  <c r="AA54" i="30"/>
  <c r="AA59" i="30"/>
  <c r="AA18" i="30"/>
  <c r="AA25" i="30"/>
  <c r="AA43" i="30"/>
  <c r="AA3" i="30"/>
  <c r="AA17" i="30"/>
  <c r="AA49" i="30"/>
  <c r="AA33" i="30"/>
  <c r="AA24" i="30"/>
  <c r="AA57" i="30"/>
  <c r="AA37" i="30"/>
  <c r="AA48" i="30"/>
  <c r="AA4" i="30"/>
  <c r="AA6" i="30"/>
  <c r="AA19" i="30"/>
  <c r="AA15" i="30"/>
  <c r="AA8" i="30"/>
  <c r="AA10" i="30"/>
  <c r="AA11" i="30"/>
  <c r="AA7" i="30"/>
  <c r="AA28" i="30"/>
  <c r="AA34" i="30"/>
  <c r="AA53" i="30"/>
  <c r="AA29" i="30"/>
  <c r="AI37" i="30"/>
  <c r="AH61" i="30"/>
  <c r="AI8" i="30" s="1"/>
  <c r="AU12" i="30"/>
  <c r="AU50" i="30"/>
  <c r="AS60" i="30"/>
  <c r="AO60" i="30"/>
  <c r="AK17" i="30"/>
  <c r="AK47" i="30"/>
  <c r="AD16" i="30"/>
  <c r="AS14" i="30"/>
  <c r="AO14" i="30"/>
  <c r="AK30" i="30"/>
  <c r="AO52" i="30"/>
  <c r="AK18" i="30"/>
  <c r="AD13" i="30"/>
  <c r="AU51" i="30"/>
  <c r="AK16" i="30"/>
  <c r="AU38" i="30"/>
  <c r="AU52" i="30"/>
  <c r="AS4" i="30"/>
  <c r="AO4" i="30"/>
  <c r="AD53" i="30"/>
  <c r="AA40" i="30"/>
  <c r="AI26" i="30"/>
  <c r="AK15" i="30"/>
  <c r="AD34" i="30"/>
  <c r="AO49" i="30"/>
  <c r="AS49" i="30"/>
  <c r="AO10" i="30"/>
  <c r="AO59" i="30"/>
  <c r="AO16" i="30"/>
  <c r="Y51" i="30"/>
  <c r="AS53" i="30"/>
  <c r="AO53" i="30"/>
  <c r="AO11" i="30"/>
  <c r="AI57" i="30"/>
  <c r="AU10" i="30"/>
  <c r="AO24" i="30"/>
  <c r="AS24" i="30"/>
  <c r="AU13" i="30"/>
  <c r="AI48" i="30"/>
  <c r="AS57" i="30"/>
  <c r="AO57" i="30"/>
  <c r="AK21" i="30"/>
  <c r="AI24" i="30"/>
  <c r="AI7" i="30"/>
  <c r="AD22" i="30"/>
  <c r="AD23" i="30"/>
  <c r="AK13" i="30"/>
  <c r="AO48" i="30"/>
  <c r="AU23" i="30"/>
  <c r="AK22" i="30"/>
  <c r="AS25" i="30"/>
  <c r="AO25" i="30"/>
  <c r="AK6" i="30"/>
  <c r="AA51" i="30"/>
  <c r="AK5" i="30"/>
  <c r="AK41" i="30"/>
  <c r="AU35" i="30"/>
  <c r="AD28" i="30"/>
  <c r="AI35" i="30"/>
  <c r="AK23" i="30"/>
  <c r="AK55" i="30"/>
  <c r="AU3" i="30"/>
  <c r="R60" i="30"/>
  <c r="R44" i="30"/>
  <c r="R55" i="30"/>
  <c r="R50" i="30"/>
  <c r="R45" i="30"/>
  <c r="R51" i="30"/>
  <c r="R46" i="30"/>
  <c r="R57" i="30"/>
  <c r="R41" i="30"/>
  <c r="R36" i="30"/>
  <c r="R58" i="30"/>
  <c r="R42" i="30"/>
  <c r="R59" i="30"/>
  <c r="R54" i="30"/>
  <c r="R49" i="30"/>
  <c r="R43" i="30"/>
  <c r="R38" i="30"/>
  <c r="R31" i="30"/>
  <c r="R27" i="30"/>
  <c r="R37" i="30"/>
  <c r="R20" i="30"/>
  <c r="R32" i="30"/>
  <c r="R28" i="30"/>
  <c r="R24" i="30"/>
  <c r="R56" i="30"/>
  <c r="R52" i="30"/>
  <c r="R40" i="30"/>
  <c r="R35" i="30"/>
  <c r="R33" i="30"/>
  <c r="R53" i="30"/>
  <c r="R29" i="30"/>
  <c r="R25" i="30"/>
  <c r="R47" i="30"/>
  <c r="R34" i="30"/>
  <c r="R30" i="30"/>
  <c r="R26" i="30"/>
  <c r="R22" i="30"/>
  <c r="R23" i="30"/>
  <c r="R6" i="30"/>
  <c r="R3" i="30"/>
  <c r="R4" i="30"/>
  <c r="R48" i="30"/>
  <c r="R39" i="30"/>
  <c r="R15" i="30"/>
  <c r="R11" i="30"/>
  <c r="R7" i="30"/>
  <c r="R19" i="30"/>
  <c r="R18" i="30"/>
  <c r="R16" i="30"/>
  <c r="R12" i="30"/>
  <c r="R8" i="30"/>
  <c r="R17" i="30"/>
  <c r="R9" i="30"/>
  <c r="R5" i="30"/>
  <c r="R14" i="30"/>
  <c r="R13" i="30"/>
  <c r="R10" i="30"/>
  <c r="AU22" i="30"/>
  <c r="AO58" i="30"/>
  <c r="AK49" i="30"/>
  <c r="AK4" i="30"/>
  <c r="AS26" i="30"/>
  <c r="AO26" i="30"/>
  <c r="AM61" i="30"/>
  <c r="AI19" i="30"/>
  <c r="AO29" i="30"/>
  <c r="AI14" i="30"/>
  <c r="AO7" i="30"/>
  <c r="AS7" i="30"/>
  <c r="Y46" i="30"/>
  <c r="AS35" i="30"/>
  <c r="AO35" i="30"/>
  <c r="AA9" i="30"/>
  <c r="AU4" i="30"/>
  <c r="AU24" i="30"/>
  <c r="AU28" i="30"/>
  <c r="AU33" i="30"/>
  <c r="AU11" i="30"/>
  <c r="AU26" i="30"/>
  <c r="AU29" i="30"/>
  <c r="AU17" i="30"/>
  <c r="AU30" i="30"/>
  <c r="AU19" i="30"/>
  <c r="AU20" i="30"/>
  <c r="AU55" i="30"/>
  <c r="AU53" i="30"/>
  <c r="AI28" i="30"/>
  <c r="AU36" i="30"/>
  <c r="AR61" i="30"/>
  <c r="AS19" i="30" s="1"/>
  <c r="AO3" i="30"/>
  <c r="AK10" i="30"/>
  <c r="AK54" i="30"/>
  <c r="AI6" i="30"/>
  <c r="AS18" i="30"/>
  <c r="AO18" i="30"/>
  <c r="AI60" i="30"/>
  <c r="AS8" i="30"/>
  <c r="AO8" i="30"/>
  <c r="AA36" i="30"/>
  <c r="O62" i="30"/>
  <c r="O74" i="30" s="1"/>
  <c r="C74" i="30"/>
  <c r="AI13" i="30"/>
  <c r="AA32" i="30"/>
  <c r="AA46" i="30"/>
  <c r="AA39" i="30"/>
  <c r="AA12" i="30"/>
  <c r="AS50" i="30"/>
  <c r="AO50" i="30"/>
  <c r="AI27" i="30"/>
  <c r="AK26" i="30"/>
  <c r="AI47" i="30"/>
  <c r="AU45" i="30"/>
  <c r="AD50" i="30"/>
  <c r="AD45" i="30"/>
  <c r="AD43" i="30"/>
  <c r="AD33" i="30"/>
  <c r="AD36" i="30"/>
  <c r="AD58" i="30"/>
  <c r="AD42" i="30"/>
  <c r="AD21" i="30"/>
  <c r="AD9" i="30"/>
  <c r="AD20" i="30"/>
  <c r="AD25" i="30"/>
  <c r="AD3" i="30"/>
  <c r="AD5" i="30"/>
  <c r="AD12" i="30"/>
  <c r="AD32" i="30"/>
  <c r="AD56" i="30"/>
  <c r="AD4" i="30"/>
  <c r="AD29" i="30"/>
  <c r="AD40" i="30"/>
  <c r="AD52" i="30"/>
  <c r="AD46" i="30"/>
  <c r="AD59" i="30"/>
  <c r="AD26" i="30"/>
  <c r="AD39" i="30"/>
  <c r="AD51" i="30"/>
  <c r="AD44" i="30"/>
  <c r="AD19" i="30"/>
  <c r="AD57" i="30"/>
  <c r="AS13" i="30"/>
  <c r="AO13" i="30"/>
  <c r="AU49" i="30"/>
  <c r="AD41" i="30"/>
  <c r="AI38" i="30"/>
  <c r="AK27" i="30"/>
  <c r="AS31" i="30"/>
  <c r="AO31" i="30"/>
  <c r="AI54" i="30"/>
  <c r="AO17" i="30"/>
  <c r="AU46" i="30"/>
  <c r="AU39" i="30"/>
  <c r="AD11" i="30"/>
  <c r="AO28" i="30"/>
  <c r="AS28" i="30"/>
  <c r="AD38" i="30"/>
  <c r="AW62" i="30"/>
  <c r="AW63" i="30" s="1"/>
  <c r="O71" i="30"/>
  <c r="L62" i="30"/>
  <c r="L74" i="30" s="1"/>
  <c r="AS9" i="30"/>
  <c r="AO9" i="30"/>
  <c r="AI21" i="30"/>
  <c r="AS6" i="30"/>
  <c r="AO6" i="30"/>
  <c r="AS36" i="30"/>
  <c r="AO36" i="30"/>
  <c r="AS27" i="30"/>
  <c r="AO27" i="30"/>
  <c r="AI49" i="30"/>
  <c r="AO47" i="30"/>
  <c r="AS47" i="30"/>
  <c r="AS23" i="30"/>
  <c r="AO23" i="30"/>
  <c r="AX61" i="30"/>
  <c r="AS38" i="30"/>
  <c r="AO38" i="30"/>
  <c r="AI31" i="30"/>
  <c r="Y57" i="30"/>
  <c r="Y41" i="30"/>
  <c r="Y29" i="30"/>
  <c r="Y25" i="30"/>
  <c r="Y38" i="30"/>
  <c r="Y30" i="30"/>
  <c r="Y26" i="30"/>
  <c r="Y19" i="30"/>
  <c r="Y54" i="30"/>
  <c r="Y55" i="30"/>
  <c r="Y35" i="30"/>
  <c r="Y22" i="30"/>
  <c r="Y18" i="30"/>
  <c r="Y8" i="30"/>
  <c r="Y4" i="30"/>
  <c r="Y61" i="30" s="1"/>
  <c r="Y21" i="30"/>
  <c r="Y49" i="30"/>
  <c r="Y15" i="30"/>
  <c r="Y20" i="30"/>
  <c r="Y32" i="30"/>
  <c r="Y16" i="30"/>
  <c r="Y12" i="30"/>
  <c r="Y11" i="30"/>
  <c r="Y6" i="30"/>
  <c r="Y39" i="30"/>
  <c r="Y59" i="30"/>
  <c r="Y33" i="30"/>
  <c r="Y17" i="30"/>
  <c r="Y7" i="30"/>
  <c r="Y31" i="30"/>
  <c r="Y44" i="30"/>
  <c r="Y34" i="30"/>
  <c r="Y36" i="30"/>
  <c r="Y28" i="30"/>
  <c r="Y13" i="30"/>
  <c r="Y37" i="30"/>
  <c r="Y60" i="30"/>
  <c r="Y43" i="30"/>
  <c r="Y45" i="30"/>
  <c r="Y52" i="30"/>
  <c r="Y42" i="30"/>
  <c r="Y48" i="30"/>
  <c r="Y5" i="30"/>
  <c r="Y40" i="30"/>
  <c r="Y9" i="30"/>
  <c r="Y53" i="30"/>
  <c r="Y58" i="30"/>
  <c r="Y14" i="30"/>
  <c r="Y23" i="30"/>
  <c r="Y24" i="30"/>
  <c r="Y56" i="30"/>
  <c r="Y47" i="30"/>
  <c r="Y10" i="30"/>
  <c r="Y27" i="30"/>
  <c r="AO54" i="30"/>
  <c r="AS54" i="30"/>
  <c r="AA50" i="30"/>
  <c r="AI17" i="30"/>
  <c r="AF61" i="30"/>
  <c r="AK59" i="30"/>
  <c r="AK43" i="30"/>
  <c r="AK32" i="30"/>
  <c r="AK51" i="30"/>
  <c r="AK36" i="30"/>
  <c r="AK33" i="30"/>
  <c r="AK46" i="30"/>
  <c r="AK39" i="30"/>
  <c r="AK12" i="30"/>
  <c r="AK9" i="30"/>
  <c r="AK24" i="30"/>
  <c r="AK8" i="30"/>
  <c r="AK45" i="30"/>
  <c r="AK35" i="30"/>
  <c r="AK58" i="30"/>
  <c r="AK56" i="30"/>
  <c r="AK25" i="30"/>
  <c r="AK40" i="30"/>
  <c r="AK34" i="30"/>
  <c r="AK44" i="30"/>
  <c r="AK19" i="30"/>
  <c r="AK50" i="30"/>
  <c r="AK42" i="30"/>
  <c r="AK11" i="30"/>
  <c r="AK3" i="30"/>
  <c r="AK38" i="30"/>
  <c r="AS43" i="30"/>
  <c r="AO43" i="30"/>
  <c r="AI15" i="30"/>
  <c r="AD6" i="30"/>
  <c r="AS21" i="30"/>
  <c r="AP27" i="30" l="1"/>
  <c r="AP42" i="30"/>
  <c r="AS3" i="30"/>
  <c r="R61" i="30"/>
  <c r="AU61" i="30"/>
  <c r="AS16" i="30"/>
  <c r="AS42" i="30"/>
  <c r="AP36" i="30"/>
  <c r="AP17" i="30"/>
  <c r="AS45" i="30"/>
  <c r="AS22" i="30"/>
  <c r="AS20" i="30"/>
  <c r="AS5" i="30"/>
  <c r="AS41" i="30"/>
  <c r="AS33" i="30"/>
  <c r="AS39" i="30"/>
  <c r="AS51" i="30"/>
  <c r="AS32" i="30"/>
  <c r="AS12" i="30"/>
  <c r="AS30" i="30"/>
  <c r="AS44" i="30"/>
  <c r="AS40" i="30"/>
  <c r="AS56" i="30"/>
  <c r="AS46" i="30"/>
  <c r="AS34" i="30"/>
  <c r="AP7" i="30"/>
  <c r="AP59" i="30"/>
  <c r="AI58" i="30"/>
  <c r="AI40" i="30"/>
  <c r="AI46" i="30"/>
  <c r="AI44" i="30"/>
  <c r="AI51" i="30"/>
  <c r="AI33" i="30"/>
  <c r="AI32" i="30"/>
  <c r="AI39" i="30"/>
  <c r="AI12" i="30"/>
  <c r="AI56" i="30"/>
  <c r="AI36" i="30"/>
  <c r="AI42" i="30"/>
  <c r="AI59" i="30"/>
  <c r="AI43" i="30"/>
  <c r="AI3" i="30"/>
  <c r="AI9" i="30"/>
  <c r="AI50" i="30"/>
  <c r="AI45" i="30"/>
  <c r="AI30" i="30"/>
  <c r="AI41" i="30"/>
  <c r="AI20" i="30"/>
  <c r="AI22" i="30"/>
  <c r="AI5" i="30"/>
  <c r="AI34" i="30"/>
  <c r="AI53" i="30"/>
  <c r="AS15" i="30"/>
  <c r="AA61" i="30"/>
  <c r="AP6" i="30"/>
  <c r="AS17" i="30"/>
  <c r="AP13" i="30"/>
  <c r="AS48" i="30"/>
  <c r="AP57" i="30"/>
  <c r="AS11" i="30"/>
  <c r="AS59" i="30"/>
  <c r="AI25" i="30"/>
  <c r="AI4" i="30"/>
  <c r="AP15" i="30"/>
  <c r="AO61" i="30"/>
  <c r="AP8" i="30" s="1"/>
  <c r="AP3" i="30"/>
  <c r="AP29" i="30"/>
  <c r="AP58" i="30"/>
  <c r="AP11" i="30"/>
  <c r="AP10" i="30"/>
  <c r="AP47" i="30"/>
  <c r="AP28" i="30"/>
  <c r="AP31" i="30"/>
  <c r="AD61" i="30"/>
  <c r="AP35" i="30"/>
  <c r="AS29" i="30"/>
  <c r="AS58" i="30"/>
  <c r="AP53" i="30"/>
  <c r="AS10" i="30"/>
  <c r="AP4" i="30"/>
  <c r="AS52" i="30"/>
  <c r="AI52" i="30"/>
  <c r="AI11" i="30"/>
  <c r="AS37" i="30"/>
  <c r="AI55" i="30"/>
  <c r="AK61" i="30"/>
  <c r="AP43" i="30"/>
  <c r="AP54" i="30"/>
  <c r="AP38" i="30"/>
  <c r="AP9" i="30"/>
  <c r="AP50" i="30"/>
  <c r="AP25" i="30"/>
  <c r="AP52" i="30"/>
  <c r="AP60" i="30"/>
  <c r="AP37" i="30"/>
  <c r="AP23" i="30" l="1"/>
  <c r="AP16" i="30"/>
  <c r="AP26" i="30"/>
  <c r="AP55" i="30"/>
  <c r="AS61" i="30"/>
  <c r="AP21" i="30"/>
  <c r="AP45" i="30"/>
  <c r="AP30" i="30"/>
  <c r="AP40" i="30"/>
  <c r="AP33" i="30"/>
  <c r="AP5" i="30"/>
  <c r="AP61" i="30" s="1"/>
  <c r="AP32" i="30"/>
  <c r="AP20" i="30"/>
  <c r="AP34" i="30"/>
  <c r="AP22" i="30"/>
  <c r="AP46" i="30"/>
  <c r="AP12" i="30"/>
  <c r="AP56" i="30"/>
  <c r="AP39" i="30"/>
  <c r="AP44" i="30"/>
  <c r="AP41" i="30"/>
  <c r="AP51" i="30"/>
  <c r="AP18" i="30"/>
  <c r="AP14" i="30"/>
  <c r="AP19" i="30"/>
  <c r="AI61" i="30"/>
  <c r="AP48" i="30"/>
  <c r="AP24" i="30"/>
  <c r="AP49" i="30"/>
  <c r="C41" i="11" l="1"/>
  <c r="BF41" i="11" s="1"/>
  <c r="C34" i="11" l="1"/>
  <c r="BF34" i="11" s="1"/>
  <c r="C22" i="11"/>
  <c r="BF22" i="11" s="1"/>
  <c r="BF44" i="11"/>
  <c r="C10" i="11"/>
  <c r="BF10" i="11" s="1"/>
  <c r="C23" i="11"/>
  <c r="BF23" i="11" s="1"/>
  <c r="C25" i="11"/>
  <c r="BF25" i="11" s="1"/>
  <c r="C33" i="11"/>
  <c r="BF33" i="11" s="1"/>
  <c r="C51" i="11"/>
  <c r="BF51" i="11" s="1"/>
  <c r="C24" i="11"/>
  <c r="BF24" i="11" s="1"/>
  <c r="C20" i="11"/>
  <c r="BF20" i="11" s="1"/>
  <c r="BF55" i="11"/>
  <c r="C21" i="11"/>
  <c r="BF21" i="11" s="1"/>
  <c r="AO5" i="11"/>
  <c r="BA5" i="11" l="1"/>
  <c r="BF5" i="11" s="1"/>
  <c r="N60" i="11"/>
  <c r="N23" i="11"/>
  <c r="N18" i="11"/>
  <c r="N50" i="11"/>
  <c r="N16" i="11"/>
  <c r="N51" i="11" l="1"/>
  <c r="N38" i="11"/>
  <c r="N57" i="11"/>
  <c r="N24" i="11"/>
  <c r="N31" i="11"/>
  <c r="N22" i="11"/>
  <c r="N27" i="11"/>
  <c r="N17" i="11"/>
  <c r="N21" i="11"/>
  <c r="N32" i="11"/>
  <c r="N8" i="11"/>
  <c r="N44" i="11"/>
  <c r="N20" i="11"/>
  <c r="N58" i="11"/>
  <c r="N33" i="11"/>
  <c r="N40" i="11"/>
  <c r="N28" i="11"/>
  <c r="N19" i="11"/>
  <c r="L66" i="11"/>
  <c r="N63" i="11"/>
  <c r="N10" i="11"/>
  <c r="N41" i="11"/>
  <c r="N55" i="11"/>
  <c r="N29" i="11"/>
  <c r="N34" i="11"/>
  <c r="N30" i="11"/>
  <c r="N52" i="11"/>
  <c r="N7" i="11"/>
  <c r="K64" i="11"/>
  <c r="K66" i="11" s="1"/>
  <c r="N14" i="11"/>
  <c r="N13" i="11"/>
  <c r="N37" i="11"/>
  <c r="N26" i="11"/>
  <c r="N25" i="11"/>
  <c r="N11" i="11"/>
  <c r="N56" i="11"/>
  <c r="N64" i="11" l="1"/>
  <c r="N66" i="11" s="1"/>
  <c r="AK39" i="11" l="1"/>
  <c r="BC39" i="11" s="1"/>
  <c r="BH39" i="11" s="1"/>
  <c r="D4" i="4" l="1"/>
  <c r="K4" i="4" s="1"/>
  <c r="E37" i="4"/>
  <c r="AI35" i="11"/>
  <c r="BA35" i="11" s="1"/>
  <c r="BF35" i="11" s="1"/>
  <c r="AK35" i="11"/>
  <c r="BC35" i="11" s="1"/>
  <c r="BH35" i="11" s="1"/>
  <c r="AI15" i="11"/>
  <c r="BA15" i="11" s="1"/>
  <c r="BF15" i="11" s="1"/>
  <c r="C13" i="4" l="1"/>
  <c r="J13" i="4" s="1"/>
  <c r="C33" i="4"/>
  <c r="J33" i="4" s="1"/>
  <c r="E33" i="4"/>
  <c r="BD15" i="11"/>
  <c r="B10" i="4" l="1"/>
  <c r="B13" i="4"/>
  <c r="B33" i="4"/>
  <c r="B34" i="4"/>
  <c r="B37" i="4"/>
  <c r="B40" i="4"/>
  <c r="B41" i="4"/>
  <c r="B43" i="4"/>
  <c r="B44" i="4"/>
  <c r="B45" i="4"/>
  <c r="B46" i="4"/>
  <c r="B47" i="4"/>
  <c r="B51" i="4"/>
  <c r="B52" i="4"/>
  <c r="B57" i="4"/>
  <c r="B59" i="4"/>
  <c r="B60" i="4"/>
  <c r="B4" i="4"/>
  <c r="L35" i="4" l="1"/>
  <c r="L49" i="4"/>
  <c r="C9" i="11"/>
  <c r="BF9" i="11" s="1"/>
  <c r="C7" i="11"/>
  <c r="BF7" i="11" s="1"/>
  <c r="L29" i="4" l="1"/>
  <c r="L48" i="4"/>
  <c r="G64" i="11"/>
  <c r="G66" i="11" l="1"/>
  <c r="AH64" i="11"/>
  <c r="B64" i="11"/>
  <c r="B22" i="4"/>
  <c r="J22" i="4" s="1"/>
  <c r="B56" i="4"/>
  <c r="J56" i="4" s="1"/>
  <c r="C57" i="11"/>
  <c r="BF57" i="11" s="1"/>
  <c r="C56" i="11"/>
  <c r="BF56" i="11" s="1"/>
  <c r="B53" i="4"/>
  <c r="J53" i="4" s="1"/>
  <c r="C52" i="11"/>
  <c r="BF52" i="11" s="1"/>
  <c r="B49" i="4"/>
  <c r="J49" i="4" s="1"/>
  <c r="C50" i="11"/>
  <c r="BF50" i="11" s="1"/>
  <c r="B42" i="4"/>
  <c r="J42" i="4" s="1"/>
  <c r="B39" i="4"/>
  <c r="J39" i="4" s="1"/>
  <c r="C40" i="11"/>
  <c r="BF40" i="11" s="1"/>
  <c r="C38" i="11"/>
  <c r="BF38" i="11" s="1"/>
  <c r="C37" i="11"/>
  <c r="BF37" i="11" s="1"/>
  <c r="B32" i="4"/>
  <c r="J32" i="4" s="1"/>
  <c r="B31" i="4"/>
  <c r="J31" i="4" s="1"/>
  <c r="C32" i="11"/>
  <c r="BF32" i="11" s="1"/>
  <c r="C31" i="11"/>
  <c r="BF31" i="11" s="1"/>
  <c r="C30" i="11"/>
  <c r="BF30" i="11" s="1"/>
  <c r="C29" i="11"/>
  <c r="BF29" i="11" s="1"/>
  <c r="C28" i="11"/>
  <c r="BF28" i="11" s="1"/>
  <c r="C27" i="11"/>
  <c r="BF27" i="11" s="1"/>
  <c r="C26" i="11"/>
  <c r="BF26" i="11" s="1"/>
  <c r="B23" i="4"/>
  <c r="J23" i="4" s="1"/>
  <c r="B21" i="4"/>
  <c r="J21" i="4" s="1"/>
  <c r="B20" i="4"/>
  <c r="J20" i="4" s="1"/>
  <c r="B19" i="4"/>
  <c r="J19" i="4" s="1"/>
  <c r="B18" i="4"/>
  <c r="J18" i="4" s="1"/>
  <c r="C19" i="11"/>
  <c r="BF19" i="11" s="1"/>
  <c r="C18" i="11"/>
  <c r="BF18" i="11" s="1"/>
  <c r="C17" i="11"/>
  <c r="BF17" i="11" s="1"/>
  <c r="C16" i="11"/>
  <c r="BF16" i="11" s="1"/>
  <c r="C14" i="11"/>
  <c r="BF14" i="11" s="1"/>
  <c r="C13" i="11"/>
  <c r="BF13" i="11" s="1"/>
  <c r="B8" i="4"/>
  <c r="J8" i="4" s="1"/>
  <c r="B7" i="4"/>
  <c r="J7" i="4" s="1"/>
  <c r="B5" i="4"/>
  <c r="J5" i="4" s="1"/>
  <c r="B27" i="4" l="1"/>
  <c r="J27" i="4" s="1"/>
  <c r="B38" i="4"/>
  <c r="J38" i="4" s="1"/>
  <c r="B55" i="4"/>
  <c r="J55" i="4" s="1"/>
  <c r="B9" i="4"/>
  <c r="J9" i="4" s="1"/>
  <c r="B28" i="4"/>
  <c r="J28" i="4" s="1"/>
  <c r="B11" i="4"/>
  <c r="J11" i="4" s="1"/>
  <c r="B29" i="4"/>
  <c r="J29" i="4" s="1"/>
  <c r="B12" i="4"/>
  <c r="J12" i="4" s="1"/>
  <c r="B30" i="4"/>
  <c r="J30" i="4" s="1"/>
  <c r="B48" i="4"/>
  <c r="J48" i="4" s="1"/>
  <c r="B61" i="4"/>
  <c r="J61" i="4" s="1"/>
  <c r="B14" i="4"/>
  <c r="J14" i="4" s="1"/>
  <c r="B58" i="4"/>
  <c r="J58" i="4" s="1"/>
  <c r="B15" i="4"/>
  <c r="J15" i="4" s="1"/>
  <c r="B24" i="4"/>
  <c r="J24" i="4" s="1"/>
  <c r="B50" i="4"/>
  <c r="J50" i="4" s="1"/>
  <c r="B6" i="4"/>
  <c r="J6" i="4" s="1"/>
  <c r="B16" i="4"/>
  <c r="J16" i="4" s="1"/>
  <c r="B25" i="4"/>
  <c r="J25" i="4" s="1"/>
  <c r="B35" i="4"/>
  <c r="J35" i="4" s="1"/>
  <c r="B17" i="4"/>
  <c r="J17" i="4" s="1"/>
  <c r="B26" i="4"/>
  <c r="J26" i="4" s="1"/>
  <c r="B36" i="4"/>
  <c r="J36" i="4" s="1"/>
  <c r="B54" i="4"/>
  <c r="J54" i="4" s="1"/>
  <c r="C64" i="11"/>
  <c r="C66" i="11" l="1"/>
  <c r="AI62" i="11" l="1"/>
  <c r="BA62" i="11" s="1"/>
  <c r="BF62" i="11" s="1"/>
  <c r="AK61" i="11"/>
  <c r="BC61" i="11" s="1"/>
  <c r="BH61" i="11" s="1"/>
  <c r="AK59" i="11"/>
  <c r="BC59" i="11" s="1"/>
  <c r="BH59" i="11" s="1"/>
  <c r="AI59" i="11"/>
  <c r="BA59" i="11" s="1"/>
  <c r="BF59" i="11" s="1"/>
  <c r="AK54" i="11"/>
  <c r="BC54" i="11" s="1"/>
  <c r="BH54" i="11" s="1"/>
  <c r="AK53" i="11"/>
  <c r="BC53" i="11" s="1"/>
  <c r="BH53" i="11" s="1"/>
  <c r="AK49" i="11"/>
  <c r="BC49" i="11" s="1"/>
  <c r="BH49" i="11" s="1"/>
  <c r="AJ49" i="11"/>
  <c r="BB49" i="11" s="1"/>
  <c r="BG49" i="11" s="1"/>
  <c r="AI49" i="11"/>
  <c r="BA49" i="11" s="1"/>
  <c r="BF49" i="11" s="1"/>
  <c r="AJ48" i="11"/>
  <c r="BB48" i="11" s="1"/>
  <c r="BG48" i="11" s="1"/>
  <c r="AK47" i="11"/>
  <c r="BC47" i="11" s="1"/>
  <c r="BH47" i="11" s="1"/>
  <c r="AJ47" i="11"/>
  <c r="BB47" i="11" s="1"/>
  <c r="BG47" i="11" s="1"/>
  <c r="AK46" i="11"/>
  <c r="BC46" i="11" s="1"/>
  <c r="BH46" i="11" s="1"/>
  <c r="AJ46" i="11"/>
  <c r="BB46" i="11" s="1"/>
  <c r="BG46" i="11" s="1"/>
  <c r="AI46" i="11"/>
  <c r="BA46" i="11" s="1"/>
  <c r="BF46" i="11" s="1"/>
  <c r="AK45" i="11"/>
  <c r="BC45" i="11" s="1"/>
  <c r="BH45" i="11" s="1"/>
  <c r="AJ45" i="11"/>
  <c r="BB45" i="11" s="1"/>
  <c r="BG45" i="11" s="1"/>
  <c r="AK43" i="11"/>
  <c r="BC43" i="11" s="1"/>
  <c r="BH43" i="11" s="1"/>
  <c r="AJ43" i="11"/>
  <c r="BB43" i="11" s="1"/>
  <c r="BG43" i="11" s="1"/>
  <c r="AJ42" i="11"/>
  <c r="BB42" i="11" s="1"/>
  <c r="BG42" i="11" s="1"/>
  <c r="AI42" i="11"/>
  <c r="BA42" i="11" s="1"/>
  <c r="BF42" i="11" s="1"/>
  <c r="AJ39" i="11"/>
  <c r="BB39" i="11" s="1"/>
  <c r="BG39" i="11" s="1"/>
  <c r="AK36" i="11"/>
  <c r="BC36" i="11" s="1"/>
  <c r="BH36" i="11" s="1"/>
  <c r="AJ36" i="11"/>
  <c r="BB36" i="11" s="1"/>
  <c r="BG36" i="11" s="1"/>
  <c r="AI36" i="11"/>
  <c r="BA36" i="11" s="1"/>
  <c r="BF36" i="11" s="1"/>
  <c r="AJ35" i="11"/>
  <c r="BB35" i="11" s="1"/>
  <c r="BG35" i="11" s="1"/>
  <c r="AJ12" i="11"/>
  <c r="BB12" i="11" s="1"/>
  <c r="BG12" i="11" s="1"/>
  <c r="AI12" i="11"/>
  <c r="BA12" i="11" s="1"/>
  <c r="BF12" i="11" s="1"/>
  <c r="AI48" i="11"/>
  <c r="BA48" i="11" s="1"/>
  <c r="BF48" i="11" s="1"/>
  <c r="BH64" i="11" l="1"/>
  <c r="BG64" i="11"/>
  <c r="C40" i="4"/>
  <c r="J40" i="4" s="1"/>
  <c r="E44" i="4"/>
  <c r="BD54" i="11"/>
  <c r="E52" i="4"/>
  <c r="D37" i="4"/>
  <c r="K37" i="4" s="1"/>
  <c r="D10" i="4"/>
  <c r="K10" i="4" s="1"/>
  <c r="D40" i="4"/>
  <c r="K40" i="4" s="1"/>
  <c r="D45" i="4"/>
  <c r="K45" i="4" s="1"/>
  <c r="C57" i="4"/>
  <c r="J57" i="4" s="1"/>
  <c r="E10" i="4"/>
  <c r="D41" i="4"/>
  <c r="K41" i="4" s="1"/>
  <c r="E45" i="4"/>
  <c r="E57" i="4"/>
  <c r="E51" i="4"/>
  <c r="L51" i="4" s="1"/>
  <c r="BD35" i="11"/>
  <c r="D33" i="4"/>
  <c r="K33" i="4" s="1"/>
  <c r="E41" i="4"/>
  <c r="D46" i="4"/>
  <c r="K46" i="4" s="1"/>
  <c r="D59" i="4"/>
  <c r="K59" i="4" s="1"/>
  <c r="D44" i="4"/>
  <c r="K44" i="4" s="1"/>
  <c r="C47" i="4"/>
  <c r="J47" i="4" s="1"/>
  <c r="E59" i="4"/>
  <c r="C46" i="4"/>
  <c r="J46" i="4" s="1"/>
  <c r="C34" i="4"/>
  <c r="J34" i="4" s="1"/>
  <c r="D43" i="4"/>
  <c r="K43" i="4" s="1"/>
  <c r="D34" i="4"/>
  <c r="K34" i="4" s="1"/>
  <c r="E43" i="4"/>
  <c r="D47" i="4"/>
  <c r="K47" i="4" s="1"/>
  <c r="C60" i="4"/>
  <c r="J60" i="4" s="1"/>
  <c r="C10" i="4"/>
  <c r="J10" i="4" s="1"/>
  <c r="E34" i="4"/>
  <c r="L34" i="4" s="1"/>
  <c r="C44" i="4"/>
  <c r="J44" i="4" s="1"/>
  <c r="E47" i="4"/>
  <c r="L47" i="4" s="1"/>
  <c r="E60" i="4"/>
  <c r="L60" i="4" s="1"/>
  <c r="BD43" i="11"/>
  <c r="BD59" i="11"/>
  <c r="BD48" i="11"/>
  <c r="BD12" i="11"/>
  <c r="BD36" i="11"/>
  <c r="BD49" i="11"/>
  <c r="BD62" i="11"/>
  <c r="BD42" i="11"/>
  <c r="BD46" i="11"/>
  <c r="AP5" i="11"/>
  <c r="AQ5" i="11"/>
  <c r="AI47" i="11"/>
  <c r="BA47" i="11" s="1"/>
  <c r="BF47" i="11" s="1"/>
  <c r="AI39" i="11"/>
  <c r="BA39" i="11" s="1"/>
  <c r="BF39" i="11" s="1"/>
  <c r="AI53" i="11"/>
  <c r="BA53" i="11" s="1"/>
  <c r="BF53" i="11" s="1"/>
  <c r="BA6" i="11"/>
  <c r="BF6" i="11" s="1"/>
  <c r="AI45" i="11"/>
  <c r="BA45" i="11" s="1"/>
  <c r="BF45" i="11" s="1"/>
  <c r="AI61" i="11"/>
  <c r="BA61" i="11" s="1"/>
  <c r="BF61" i="11" s="1"/>
  <c r="AQ64" i="11"/>
  <c r="AP64" i="11"/>
  <c r="AO64" i="11"/>
  <c r="AK64" i="11"/>
  <c r="AK66" i="11" s="1"/>
  <c r="AJ64" i="11"/>
  <c r="AJ66" i="11" s="1"/>
  <c r="AL62" i="11"/>
  <c r="AL59" i="11"/>
  <c r="AL54" i="11"/>
  <c r="AL49" i="11"/>
  <c r="AL48" i="11"/>
  <c r="AL46" i="11"/>
  <c r="AL43" i="11"/>
  <c r="AL42" i="11"/>
  <c r="AL36" i="11"/>
  <c r="AL12" i="11"/>
  <c r="AR6" i="11"/>
  <c r="BF64" i="11" l="1"/>
  <c r="BC5" i="11"/>
  <c r="BH5" i="11" s="1"/>
  <c r="BB5" i="11"/>
  <c r="BG5" i="11" s="1"/>
  <c r="C59" i="4"/>
  <c r="J59" i="4" s="1"/>
  <c r="C43" i="4"/>
  <c r="J43" i="4" s="1"/>
  <c r="C4" i="4"/>
  <c r="J4" i="4" s="1"/>
  <c r="C51" i="4"/>
  <c r="J51" i="4" s="1"/>
  <c r="C37" i="4"/>
  <c r="J37" i="4" s="1"/>
  <c r="C45" i="4"/>
  <c r="J45" i="4" s="1"/>
  <c r="BD53" i="11"/>
  <c r="BD39" i="11"/>
  <c r="BD47" i="11"/>
  <c r="BD45" i="11"/>
  <c r="BD61" i="11"/>
  <c r="AL53" i="11"/>
  <c r="AL6" i="11"/>
  <c r="L46" i="4"/>
  <c r="AQ66" i="11"/>
  <c r="AL61" i="11"/>
  <c r="AP66" i="11"/>
  <c r="AO66" i="11"/>
  <c r="AL35" i="11"/>
  <c r="AL47" i="11"/>
  <c r="AR5" i="11"/>
  <c r="AQ4" i="11" s="1"/>
  <c r="AL15" i="11"/>
  <c r="AL39" i="11"/>
  <c r="AL45" i="11"/>
  <c r="AI64" i="11"/>
  <c r="AI66" i="11" s="1"/>
  <c r="AR64" i="11"/>
  <c r="BB64" i="11"/>
  <c r="BC64" i="11"/>
  <c r="AL5" i="11"/>
  <c r="B63" i="4"/>
  <c r="C68" i="11" s="1"/>
  <c r="C69" i="11" s="1"/>
  <c r="L50" i="4" l="1"/>
  <c r="L4" i="4"/>
  <c r="L45" i="4"/>
  <c r="L31" i="4"/>
  <c r="L38" i="4"/>
  <c r="L37" i="4"/>
  <c r="L58" i="4"/>
  <c r="L24" i="4"/>
  <c r="L8" i="4"/>
  <c r="L59" i="4"/>
  <c r="L32" i="4"/>
  <c r="L61" i="4"/>
  <c r="L17" i="4"/>
  <c r="L15" i="4"/>
  <c r="L26" i="4"/>
  <c r="L41" i="4"/>
  <c r="L53" i="4"/>
  <c r="L19" i="4"/>
  <c r="L20" i="4"/>
  <c r="L33" i="4"/>
  <c r="L36" i="4"/>
  <c r="L43" i="4"/>
  <c r="L52" i="4"/>
  <c r="L42" i="4"/>
  <c r="L13" i="4"/>
  <c r="L5" i="4"/>
  <c r="L12" i="4"/>
  <c r="L57" i="4"/>
  <c r="L44" i="4"/>
  <c r="L9" i="4"/>
  <c r="L23" i="4"/>
  <c r="L28" i="4"/>
  <c r="L22" i="4"/>
  <c r="L7" i="4"/>
  <c r="L21" i="4"/>
  <c r="L11" i="4"/>
  <c r="L16" i="4"/>
  <c r="L40" i="4"/>
  <c r="L39" i="4"/>
  <c r="L56" i="4"/>
  <c r="L6" i="4"/>
  <c r="L14" i="4"/>
  <c r="L18" i="4"/>
  <c r="L10" i="4"/>
  <c r="L30" i="4"/>
  <c r="L25" i="4"/>
  <c r="L27" i="4"/>
  <c r="L54" i="4"/>
  <c r="L55" i="4"/>
  <c r="BC66" i="11"/>
  <c r="AP4" i="11"/>
  <c r="BB66" i="11"/>
  <c r="AO4" i="11"/>
  <c r="AR66" i="11"/>
  <c r="BD6" i="11"/>
  <c r="AL64" i="11"/>
  <c r="AL66" i="11" s="1"/>
  <c r="BA64" i="11"/>
  <c r="D63" i="4"/>
  <c r="BD5" i="11"/>
  <c r="AI4" i="11"/>
  <c r="AK4" i="11"/>
  <c r="AJ4" i="11"/>
  <c r="E63" i="4"/>
  <c r="BA66" i="11" l="1"/>
  <c r="BC4" i="11"/>
  <c r="H63" i="4"/>
  <c r="AC68" i="11" s="1"/>
  <c r="I63" i="4"/>
  <c r="G63" i="4"/>
  <c r="AB68" i="11" s="1"/>
  <c r="B24" i="19"/>
  <c r="M32" i="4"/>
  <c r="M28" i="4"/>
  <c r="D21" i="19"/>
  <c r="BI12" i="11"/>
  <c r="AB64" i="11"/>
  <c r="B51" i="19"/>
  <c r="M44" i="4"/>
  <c r="M43" i="4"/>
  <c r="M52" i="4"/>
  <c r="M59" i="4"/>
  <c r="M45" i="4"/>
  <c r="M49" i="4"/>
  <c r="M33" i="4"/>
  <c r="M40" i="4"/>
  <c r="M54" i="4"/>
  <c r="M37" i="4"/>
  <c r="M29" i="4"/>
  <c r="M35" i="4"/>
  <c r="M55" i="4"/>
  <c r="M61" i="4"/>
  <c r="M60" i="4"/>
  <c r="M46" i="4"/>
  <c r="M34" i="4"/>
  <c r="M42" i="4"/>
  <c r="M38" i="4"/>
  <c r="M47" i="4"/>
  <c r="M57" i="4"/>
  <c r="M27" i="4"/>
  <c r="M53" i="4"/>
  <c r="D8" i="19"/>
  <c r="M56" i="4"/>
  <c r="M30" i="4"/>
  <c r="M58" i="4"/>
  <c r="M48" i="4"/>
  <c r="M39" i="4"/>
  <c r="M31" i="4"/>
  <c r="M50" i="4"/>
  <c r="B4" i="19"/>
  <c r="M36" i="4"/>
  <c r="M41" i="4"/>
  <c r="B23" i="19"/>
  <c r="C8" i="19"/>
  <c r="D13" i="19"/>
  <c r="M26" i="4"/>
  <c r="B22" i="19"/>
  <c r="C54" i="19"/>
  <c r="C51" i="19"/>
  <c r="B19" i="19"/>
  <c r="C47" i="19"/>
  <c r="C12" i="19"/>
  <c r="C4" i="19"/>
  <c r="C41" i="19"/>
  <c r="B49" i="19"/>
  <c r="B58" i="19"/>
  <c r="C45" i="19"/>
  <c r="C59" i="19"/>
  <c r="C34" i="19"/>
  <c r="C39" i="19"/>
  <c r="C58" i="19"/>
  <c r="B16" i="19"/>
  <c r="B54" i="19"/>
  <c r="C52" i="19"/>
  <c r="C31" i="19"/>
  <c r="D10" i="19"/>
  <c r="D57" i="19"/>
  <c r="C30" i="19"/>
  <c r="C46" i="19"/>
  <c r="C33" i="19"/>
  <c r="D28" i="19"/>
  <c r="C43" i="19"/>
  <c r="C29" i="19"/>
  <c r="C40" i="19"/>
  <c r="C60" i="19"/>
  <c r="C10" i="19"/>
  <c r="D4" i="19"/>
  <c r="B29" i="19"/>
  <c r="B20" i="19"/>
  <c r="B15" i="19"/>
  <c r="C13" i="19"/>
  <c r="C42" i="19"/>
  <c r="C57" i="19"/>
  <c r="C37" i="19"/>
  <c r="C44" i="19"/>
  <c r="C22" i="19"/>
  <c r="C55" i="19"/>
  <c r="D42" i="19"/>
  <c r="C17" i="19"/>
  <c r="D5" i="19"/>
  <c r="C61" i="19"/>
  <c r="D49" i="19"/>
  <c r="D23" i="19"/>
  <c r="D56" i="19"/>
  <c r="C9" i="19"/>
  <c r="D7" i="19"/>
  <c r="C16" i="19"/>
  <c r="C15" i="19"/>
  <c r="C23" i="19"/>
  <c r="D39" i="19"/>
  <c r="C36" i="19"/>
  <c r="AR4" i="11"/>
  <c r="B14" i="19"/>
  <c r="C27" i="19"/>
  <c r="D48" i="19"/>
  <c r="B50" i="19"/>
  <c r="C6" i="19"/>
  <c r="C35" i="19"/>
  <c r="B5" i="19"/>
  <c r="B12" i="19"/>
  <c r="B9" i="19"/>
  <c r="C19" i="19"/>
  <c r="C24" i="19"/>
  <c r="C28" i="19"/>
  <c r="C49" i="19"/>
  <c r="D11" i="19"/>
  <c r="B32" i="19"/>
  <c r="D36" i="19"/>
  <c r="C26" i="19"/>
  <c r="D18" i="19"/>
  <c r="AE26" i="11"/>
  <c r="AE32" i="11"/>
  <c r="AE16" i="11"/>
  <c r="AE21" i="11"/>
  <c r="AE27" i="11"/>
  <c r="AE44" i="11"/>
  <c r="AE58" i="11"/>
  <c r="AE53" i="11"/>
  <c r="AE47" i="11"/>
  <c r="AE18" i="11"/>
  <c r="AE63" i="11"/>
  <c r="AE57" i="11"/>
  <c r="AE23" i="11"/>
  <c r="AE56" i="11"/>
  <c r="D29" i="19"/>
  <c r="D55" i="19"/>
  <c r="D59" i="19"/>
  <c r="D41" i="19"/>
  <c r="D16" i="19"/>
  <c r="D46" i="19"/>
  <c r="D15" i="19"/>
  <c r="D51" i="19"/>
  <c r="D45" i="19"/>
  <c r="D25" i="19"/>
  <c r="D44" i="19"/>
  <c r="D17" i="19"/>
  <c r="D34" i="19"/>
  <c r="C56" i="19"/>
  <c r="C50" i="19"/>
  <c r="C5" i="19"/>
  <c r="D50" i="19"/>
  <c r="D31" i="19"/>
  <c r="D43" i="19"/>
  <c r="D14" i="19"/>
  <c r="D27" i="19"/>
  <c r="D58" i="19"/>
  <c r="N33" i="4"/>
  <c r="D52" i="19"/>
  <c r="D22" i="19"/>
  <c r="D38" i="19"/>
  <c r="D37" i="19"/>
  <c r="D40" i="19"/>
  <c r="D54" i="19"/>
  <c r="D20" i="19"/>
  <c r="D60" i="19"/>
  <c r="D53" i="19"/>
  <c r="AE24" i="11"/>
  <c r="D24" i="19"/>
  <c r="D19" i="19"/>
  <c r="B21" i="19"/>
  <c r="D6" i="19"/>
  <c r="B18" i="19"/>
  <c r="B11" i="19"/>
  <c r="B35" i="19"/>
  <c r="B36" i="19"/>
  <c r="B31" i="19"/>
  <c r="C20" i="19"/>
  <c r="D35" i="19"/>
  <c r="D30" i="19"/>
  <c r="B56" i="19"/>
  <c r="B42" i="19"/>
  <c r="B17" i="19"/>
  <c r="C11" i="19"/>
  <c r="C48" i="19"/>
  <c r="C32" i="19"/>
  <c r="BD64" i="11"/>
  <c r="C63" i="4"/>
  <c r="BD68" i="11" s="1"/>
  <c r="B57" i="19"/>
  <c r="N57" i="4"/>
  <c r="B37" i="19"/>
  <c r="B47" i="19"/>
  <c r="B43" i="19"/>
  <c r="B52" i="19"/>
  <c r="B13" i="19"/>
  <c r="B59" i="19"/>
  <c r="B45" i="19"/>
  <c r="B44" i="19"/>
  <c r="B41" i="19"/>
  <c r="BC68" i="11"/>
  <c r="BC69" i="11" s="1"/>
  <c r="BB68" i="11"/>
  <c r="BB69" i="11" s="1"/>
  <c r="B60" i="19"/>
  <c r="B40" i="19"/>
  <c r="B46" i="19"/>
  <c r="B34" i="19"/>
  <c r="B10" i="19"/>
  <c r="B33" i="19"/>
  <c r="B39" i="19"/>
  <c r="C7" i="19"/>
  <c r="B55" i="19"/>
  <c r="B30" i="19"/>
  <c r="B6" i="19"/>
  <c r="C38" i="19"/>
  <c r="C14" i="19"/>
  <c r="D26" i="19"/>
  <c r="C18" i="19"/>
  <c r="C53" i="19"/>
  <c r="C25" i="19"/>
  <c r="C21" i="19"/>
  <c r="B48" i="19"/>
  <c r="B25" i="19"/>
  <c r="B38" i="19"/>
  <c r="B8" i="19"/>
  <c r="B27" i="19"/>
  <c r="B53" i="19"/>
  <c r="AE8" i="11"/>
  <c r="AE39" i="11"/>
  <c r="AE38" i="11"/>
  <c r="AE51" i="11"/>
  <c r="AE35" i="11"/>
  <c r="AE20" i="11"/>
  <c r="AE41" i="11"/>
  <c r="AE30" i="11"/>
  <c r="AE25" i="11"/>
  <c r="AE33" i="11"/>
  <c r="AE31" i="11"/>
  <c r="AE22" i="11"/>
  <c r="AE37" i="11"/>
  <c r="AE28" i="11"/>
  <c r="AE60" i="11"/>
  <c r="AE45" i="11"/>
  <c r="AE54" i="11"/>
  <c r="AE15" i="11"/>
  <c r="AE61" i="11"/>
  <c r="AE62" i="11"/>
  <c r="AE14" i="11"/>
  <c r="AE6" i="11"/>
  <c r="AE34" i="11"/>
  <c r="AE42" i="11"/>
  <c r="AE29" i="11"/>
  <c r="AE48" i="11"/>
  <c r="AE55" i="11"/>
  <c r="AE49" i="11"/>
  <c r="AE50" i="11"/>
  <c r="AE52" i="11"/>
  <c r="AE9" i="11"/>
  <c r="AE59" i="11"/>
  <c r="AE13" i="11"/>
  <c r="AE36" i="11"/>
  <c r="AE19" i="11"/>
  <c r="AE10" i="11"/>
  <c r="AD64" i="11"/>
  <c r="AE46" i="11"/>
  <c r="AE43" i="11"/>
  <c r="AE17" i="11"/>
  <c r="AE11" i="11"/>
  <c r="AC64" i="11"/>
  <c r="AE40" i="11"/>
  <c r="AE12" i="11"/>
  <c r="AE7" i="11"/>
  <c r="BB4" i="11"/>
  <c r="BA4" i="11"/>
  <c r="F63" i="4"/>
  <c r="BI10" i="11"/>
  <c r="BI18" i="11"/>
  <c r="BI9" i="11"/>
  <c r="BI36" i="11"/>
  <c r="BI50" i="11"/>
  <c r="BI34" i="11"/>
  <c r="BI51" i="11"/>
  <c r="BI48" i="11"/>
  <c r="BI8" i="11"/>
  <c r="BI21" i="11"/>
  <c r="BI43" i="11"/>
  <c r="BI61" i="11"/>
  <c r="BI25" i="11"/>
  <c r="BI41" i="11"/>
  <c r="BI33" i="11"/>
  <c r="BI7" i="11"/>
  <c r="BI62" i="11"/>
  <c r="BI45" i="11"/>
  <c r="BI32" i="11"/>
  <c r="BI58" i="11"/>
  <c r="BI24" i="11"/>
  <c r="BI55" i="11"/>
  <c r="BI17" i="11"/>
  <c r="BI20" i="11"/>
  <c r="BI28" i="11"/>
  <c r="BI29" i="11"/>
  <c r="BI30" i="11"/>
  <c r="BI49" i="11"/>
  <c r="BI23" i="11"/>
  <c r="BI19" i="11"/>
  <c r="BI47" i="11"/>
  <c r="BI38" i="11"/>
  <c r="BI22" i="11"/>
  <c r="BI16" i="11"/>
  <c r="AL4" i="11"/>
  <c r="BI53" i="11"/>
  <c r="BI63" i="11"/>
  <c r="BI11" i="11"/>
  <c r="BI54" i="11"/>
  <c r="BI35" i="11"/>
  <c r="BI15" i="11"/>
  <c r="BI59" i="11"/>
  <c r="BI56" i="11"/>
  <c r="BI26" i="11"/>
  <c r="BI52" i="11"/>
  <c r="BI14" i="11"/>
  <c r="BI13" i="11"/>
  <c r="BI60" i="11"/>
  <c r="BI37" i="11"/>
  <c r="BI57" i="11"/>
  <c r="BI39" i="11"/>
  <c r="BI46" i="11"/>
  <c r="BI27" i="11"/>
  <c r="BI44" i="11"/>
  <c r="BI42" i="11"/>
  <c r="BI40" i="11"/>
  <c r="BI31" i="11"/>
  <c r="BJ47" i="11" l="1"/>
  <c r="BJ46" i="11"/>
  <c r="BJ54" i="11"/>
  <c r="BJ42" i="11"/>
  <c r="BJ49" i="11"/>
  <c r="BJ62" i="11"/>
  <c r="BJ61" i="11"/>
  <c r="BJ35" i="11"/>
  <c r="BJ53" i="11"/>
  <c r="BJ48" i="11"/>
  <c r="BJ59" i="11"/>
  <c r="BJ45" i="11"/>
  <c r="BJ9" i="11"/>
  <c r="BJ34" i="11"/>
  <c r="BJ41" i="11"/>
  <c r="BJ11" i="11"/>
  <c r="BJ29" i="11"/>
  <c r="BJ25" i="11"/>
  <c r="BJ8" i="11"/>
  <c r="BJ26" i="11"/>
  <c r="BJ36" i="11"/>
  <c r="BJ39" i="11"/>
  <c r="BJ15" i="11"/>
  <c r="BJ33" i="11"/>
  <c r="BJ18" i="11"/>
  <c r="BJ32" i="11"/>
  <c r="BJ17" i="11"/>
  <c r="BJ30" i="11"/>
  <c r="BJ60" i="11"/>
  <c r="BJ24" i="11"/>
  <c r="BJ58" i="11"/>
  <c r="BJ52" i="11"/>
  <c r="BJ28" i="11"/>
  <c r="BJ20" i="11"/>
  <c r="BJ56" i="11"/>
  <c r="BJ44" i="11"/>
  <c r="BJ13" i="11"/>
  <c r="BJ43" i="11"/>
  <c r="BJ7" i="11"/>
  <c r="BJ50" i="11"/>
  <c r="BJ14" i="11"/>
  <c r="BJ37" i="11"/>
  <c r="BJ23" i="11"/>
  <c r="BJ27" i="11"/>
  <c r="BJ12" i="11"/>
  <c r="BJ10" i="11"/>
  <c r="BJ22" i="11"/>
  <c r="BJ51" i="11"/>
  <c r="BJ57" i="11"/>
  <c r="BJ21" i="11"/>
  <c r="BJ40" i="11"/>
  <c r="BJ19" i="11"/>
  <c r="BJ55" i="11"/>
  <c r="BJ31" i="11"/>
  <c r="BJ38" i="11"/>
  <c r="BJ63" i="11"/>
  <c r="BJ16" i="11"/>
  <c r="BD69" i="11"/>
  <c r="AD68" i="11"/>
  <c r="AC69" i="11"/>
  <c r="AB69" i="11"/>
  <c r="BD66" i="11"/>
  <c r="B28" i="19"/>
  <c r="E28" i="19" s="1"/>
  <c r="D32" i="19"/>
  <c r="E32" i="19" s="1"/>
  <c r="M51" i="4"/>
  <c r="AB66" i="11"/>
  <c r="E57" i="19"/>
  <c r="M18" i="4"/>
  <c r="BI6" i="11"/>
  <c r="BJ6" i="11" s="1"/>
  <c r="M7" i="4"/>
  <c r="M5" i="4"/>
  <c r="M21" i="4"/>
  <c r="M16" i="4"/>
  <c r="M20" i="4"/>
  <c r="M12" i="4"/>
  <c r="M8" i="4"/>
  <c r="M15" i="4"/>
  <c r="M11" i="4"/>
  <c r="N10" i="4"/>
  <c r="M23" i="4"/>
  <c r="E5" i="19"/>
  <c r="E21" i="19"/>
  <c r="E18" i="19"/>
  <c r="E10" i="19"/>
  <c r="M4" i="4"/>
  <c r="M6" i="4"/>
  <c r="M10" i="4"/>
  <c r="E16" i="19"/>
  <c r="M17" i="4"/>
  <c r="E23" i="19"/>
  <c r="N23" i="4"/>
  <c r="M19" i="4"/>
  <c r="M13" i="4"/>
  <c r="N13" i="4"/>
  <c r="M14" i="4"/>
  <c r="E20" i="19"/>
  <c r="M22" i="4"/>
  <c r="E13" i="19"/>
  <c r="E15" i="19"/>
  <c r="M9" i="4"/>
  <c r="E39" i="19"/>
  <c r="E54" i="19"/>
  <c r="B61" i="19"/>
  <c r="B26" i="19"/>
  <c r="E26" i="19" s="1"/>
  <c r="E22" i="19"/>
  <c r="E29" i="19"/>
  <c r="E58" i="19"/>
  <c r="B65" i="19"/>
  <c r="AC66" i="11"/>
  <c r="BG66" i="11"/>
  <c r="N19" i="4"/>
  <c r="E19" i="19"/>
  <c r="E49" i="19"/>
  <c r="E31" i="19"/>
  <c r="E36" i="19"/>
  <c r="N40" i="4"/>
  <c r="E48" i="19"/>
  <c r="N59" i="4"/>
  <c r="N46" i="4"/>
  <c r="N44" i="4"/>
  <c r="N43" i="4"/>
  <c r="N16" i="4"/>
  <c r="N36" i="4"/>
  <c r="N32" i="4"/>
  <c r="N4" i="4"/>
  <c r="N45" i="4"/>
  <c r="N48" i="4"/>
  <c r="N22" i="4"/>
  <c r="N60" i="4"/>
  <c r="N29" i="4"/>
  <c r="N6" i="4"/>
  <c r="N35" i="4"/>
  <c r="E50" i="19"/>
  <c r="E8" i="19"/>
  <c r="N50" i="4"/>
  <c r="N52" i="4"/>
  <c r="N54" i="4"/>
  <c r="N58" i="4"/>
  <c r="E24" i="19"/>
  <c r="N11" i="4"/>
  <c r="N14" i="4"/>
  <c r="N34" i="4"/>
  <c r="E43" i="19"/>
  <c r="E6" i="19"/>
  <c r="E44" i="19"/>
  <c r="N15" i="4"/>
  <c r="E30" i="19"/>
  <c r="N5" i="4"/>
  <c r="E55" i="19"/>
  <c r="N37" i="4"/>
  <c r="E38" i="19"/>
  <c r="N41" i="4"/>
  <c r="N31" i="4"/>
  <c r="N61" i="4"/>
  <c r="E27" i="19"/>
  <c r="E34" i="19"/>
  <c r="E60" i="19"/>
  <c r="E52" i="19"/>
  <c r="E17" i="19"/>
  <c r="E45" i="19"/>
  <c r="E51" i="19"/>
  <c r="D61" i="19"/>
  <c r="D9" i="19"/>
  <c r="E9" i="19" s="1"/>
  <c r="D33" i="19"/>
  <c r="E33" i="19" s="1"/>
  <c r="D47" i="19"/>
  <c r="E47" i="19" s="1"/>
  <c r="D12" i="19"/>
  <c r="N55" i="4"/>
  <c r="N47" i="4"/>
  <c r="N9" i="4"/>
  <c r="N12" i="4"/>
  <c r="E14" i="19"/>
  <c r="E46" i="19"/>
  <c r="E59" i="19"/>
  <c r="E35" i="19"/>
  <c r="N20" i="4"/>
  <c r="E42" i="19"/>
  <c r="N39" i="4"/>
  <c r="E56" i="19"/>
  <c r="E40" i="19"/>
  <c r="E41" i="19"/>
  <c r="E37" i="19"/>
  <c r="N17" i="4"/>
  <c r="N49" i="4"/>
  <c r="BA68" i="11"/>
  <c r="BA69" i="11" s="1"/>
  <c r="N51" i="4"/>
  <c r="E53" i="19"/>
  <c r="C63" i="19"/>
  <c r="C69" i="19" s="1"/>
  <c r="E25" i="19"/>
  <c r="N21" i="4"/>
  <c r="N27" i="4"/>
  <c r="N24" i="4"/>
  <c r="N53" i="4"/>
  <c r="M24" i="4"/>
  <c r="N42" i="4"/>
  <c r="N38" i="4"/>
  <c r="N30" i="4"/>
  <c r="N28" i="4"/>
  <c r="N56" i="4"/>
  <c r="L63" i="4"/>
  <c r="N26" i="4"/>
  <c r="K63" i="4"/>
  <c r="N18" i="4"/>
  <c r="B7" i="19"/>
  <c r="N8" i="4"/>
  <c r="M25" i="4"/>
  <c r="N25" i="4"/>
  <c r="N7" i="4"/>
  <c r="J63" i="4"/>
  <c r="AE64" i="11"/>
  <c r="BD4" i="11"/>
  <c r="AD69" i="11" l="1"/>
  <c r="AE68" i="11"/>
  <c r="AE69" i="11" s="1"/>
  <c r="BI64" i="11"/>
  <c r="BJ64" i="11" s="1"/>
  <c r="BF66" i="11"/>
  <c r="E11" i="19"/>
  <c r="E61" i="19"/>
  <c r="E12" i="19"/>
  <c r="E4" i="19"/>
  <c r="D65" i="19"/>
  <c r="C65" i="19"/>
  <c r="C66" i="19" s="1"/>
  <c r="D63" i="19"/>
  <c r="D69" i="19" s="1"/>
  <c r="M63" i="4"/>
  <c r="BH68" i="11"/>
  <c r="BH69" i="11" s="1"/>
  <c r="BG68" i="11"/>
  <c r="BG69" i="11" s="1"/>
  <c r="E7" i="19"/>
  <c r="B63" i="19"/>
  <c r="BF68" i="11"/>
  <c r="N63" i="4"/>
  <c r="B66" i="19" l="1"/>
  <c r="B69" i="19"/>
  <c r="E65" i="19"/>
  <c r="E63" i="19"/>
  <c r="M65" i="4" s="1"/>
  <c r="D66" i="19"/>
  <c r="BI68" i="11"/>
  <c r="BF69" i="11"/>
  <c r="E69" i="19" l="1"/>
  <c r="E66" i="19"/>
  <c r="BI69" i="11"/>
  <c r="BH66" i="11" l="1"/>
  <c r="AD66" i="11"/>
  <c r="AE5" i="11"/>
  <c r="AC4" i="11" l="1"/>
  <c r="AB4" i="11"/>
  <c r="AD4" i="11"/>
  <c r="BI5" i="11"/>
  <c r="BJ5" i="11" s="1"/>
  <c r="AE66" i="11"/>
  <c r="AE4" i="11" l="1"/>
  <c r="BG4" i="11"/>
  <c r="BF4" i="11"/>
  <c r="BI66" i="11"/>
  <c r="BH4" i="11"/>
  <c r="BI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tc={8E7376E2-1C20-4583-8556-9C59581D94CF}</author>
  </authors>
  <commentList>
    <comment ref="D68" authorId="0" shapeId="0" xr:uid="{8E7376E2-1C20-4583-8556-9C59581D94CF}">
      <text>
        <t>[Threaded comment]
Your version of Excel allows you to read this threaded comment; however, any edits to it will get removed if the file is opened in a newer version of Excel. Learn more: https://go.microsoft.com/fwlink/?linkid=870924
Comment:
    Had to manually reference the NAD # from calcs as difference between NAD and MO was not accurate.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tc={96552FA6-0BBC-4866-AB90-8C73E2602859}</author>
    <author>tc={B5A979A7-F824-4848-A30A-47676B09206A}</author>
    <author>tc={4665BCF6-AF6B-4152-93E8-2C1F3A4FD307}</author>
    <author>tc={2DAFBA53-04B6-48D2-9C13-7D388F870EEF}</author>
  </authors>
  <commentList>
    <comment ref="V2" authorId="0" shapeId="0" xr:uid="{96552FA6-0BBC-4866-AB90-8C73E2602859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AE11" authorId="1" shapeId="0" xr:uid="{B5A979A7-F824-4848-A30A-47676B09206A}">
      <text>
        <t>[Threaded comment]
Your version of Excel allows you to read this threaded comment; however, any edits to it will get removed if the file is opened in a newer version of Excel. Learn more: https://go.microsoft.com/fwlink/?linkid=870924
Comment:
    El Dorado has not opted in to GA/GR</t>
      </text>
    </comment>
    <comment ref="AE38" authorId="2" shapeId="0" xr:uid="{4665BCF6-AF6B-4152-93E8-2C1F3A4FD307}">
      <text>
        <t>[Threaded comment]
Your version of Excel allows you to read this threaded comment; however, any edits to it will get removed if the file is opened in a newer version of Excel. Learn more: https://go.microsoft.com/fwlink/?linkid=870924
Comment:
    San Bernardino has not opted in to GA/GR</t>
      </text>
    </comment>
    <comment ref="H62" authorId="3" shapeId="0" xr:uid="{2DAFBA53-04B6-48D2-9C13-7D388F870EE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Roundup not working; added 0.0001 to match OSI's calcuation on the Source Data tab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tc={C397D52B-804E-4F52-B2DC-E234F38FAF9E}</author>
    <author>tc={71C17AA9-225A-466C-B5E1-E795AF64E48F}</author>
  </authors>
  <commentList>
    <comment ref="Q2" authorId="0" shapeId="0" xr:uid="{C397D52B-804E-4F52-B2DC-E234F38FAF9E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H62" authorId="1" shapeId="0" xr:uid="{71C17AA9-225A-466C-B5E1-E795AF64E48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 down to match OSI's count on Source Data tab</t>
      </text>
    </comment>
  </commentList>
</comments>
</file>

<file path=xl/sharedStrings.xml><?xml version="1.0" encoding="utf-8"?>
<sst xmlns="http://schemas.openxmlformats.org/spreadsheetml/2006/main" count="2402" uniqueCount="257">
  <si>
    <t>Tab #</t>
  </si>
  <si>
    <t>Worksheet Name</t>
  </si>
  <si>
    <t>Description</t>
  </si>
  <si>
    <t>N/A</t>
  </si>
  <si>
    <t>SFY 23-24 Q1 Share Summary</t>
  </si>
  <si>
    <t>High-level summary of county share by program.</t>
  </si>
  <si>
    <t>SFY 23-24 Q1 Share by Project</t>
  </si>
  <si>
    <t>Summary of county share by project and program.</t>
  </si>
  <si>
    <t>SFY 23-24 Q1 Share Calculations</t>
  </si>
  <si>
    <t>Summary of county share by project and program based on Persons Count by SFY.</t>
  </si>
  <si>
    <t>1a</t>
  </si>
  <si>
    <t>SFY 23-24 Q1 ABAWD</t>
  </si>
  <si>
    <t>Total roll up amounts of shares for Quarter 1 SFY 23-24 claims for ABAWD.</t>
  </si>
  <si>
    <t>2a</t>
  </si>
  <si>
    <t>SFY 23-24 Q1 CalSAWS</t>
  </si>
  <si>
    <t>Total roll up amounts of shares for Quarter 1 SFY 23-24 claims for CalSAWS.</t>
  </si>
  <si>
    <t>2b</t>
  </si>
  <si>
    <t>SFY 23-24 Q1 CalSAWS MO</t>
  </si>
  <si>
    <t>Total roll up amounts of shares for Quarter 1 SFY 23-24 M&amp;O Only claims for CalSAWS.</t>
  </si>
  <si>
    <t>2c</t>
  </si>
  <si>
    <t>SFY 2223 Q1 Adj-Late CalSAWS</t>
  </si>
  <si>
    <t>Total roll up amounts of shares for Quarter 1 SFY 22-23 Adjusted/Late claims for CalSAWS.</t>
  </si>
  <si>
    <t>2d</t>
  </si>
  <si>
    <t>SFY 22-23 Q1 Adj-Late MO</t>
  </si>
  <si>
    <t>Total roll up amounts of shares for Quarter 1 SFY 22-23 M&amp;O Only Adjusted/Late claims for CalSAWS.</t>
  </si>
  <si>
    <t>3a</t>
  </si>
  <si>
    <t>SFY 23-24 Q1 CalWIN MO</t>
  </si>
  <si>
    <t>Total roll up amounts of shares for Quarter 1 SFY 23-24 claims for CalWIN M&amp;O.</t>
  </si>
  <si>
    <t>3b</t>
  </si>
  <si>
    <t>Total roll up amounts of shares for Quarter 1 SFY 22-23 Adjusted/Late claims for CalWIN M&amp;O.</t>
  </si>
  <si>
    <t>4a</t>
  </si>
  <si>
    <t>58C 20-21 Persons Count</t>
  </si>
  <si>
    <t>SFY 20-21 Persons Count used for SFY 22-23 budgets.</t>
  </si>
  <si>
    <t>4b</t>
  </si>
  <si>
    <t>58C 21-22 Persons Count</t>
  </si>
  <si>
    <t>SFY 21-22 Persons Count used for SFY 23-24 budgets.</t>
  </si>
  <si>
    <t>5a</t>
  </si>
  <si>
    <t>SFY 22-23 CalWIN MO Share Tbl</t>
  </si>
  <si>
    <r>
      <t xml:space="preserve">Sharing Table based on SFY </t>
    </r>
    <r>
      <rPr>
        <sz val="10"/>
        <rFont val="Century Gothic"/>
        <family val="2"/>
      </rPr>
      <t>20-21</t>
    </r>
    <r>
      <rPr>
        <sz val="10"/>
        <color theme="1"/>
        <rFont val="Century Gothic"/>
        <family val="2"/>
      </rPr>
      <t xml:space="preserve"> Persons Count used for SFY 22-23 budgets.</t>
    </r>
  </si>
  <si>
    <t>5b</t>
  </si>
  <si>
    <t>SFY 23-24 CalWIN MO Share Tbl</t>
  </si>
  <si>
    <r>
      <t xml:space="preserve">Sharing Table based on SFY </t>
    </r>
    <r>
      <rPr>
        <sz val="10"/>
        <rFont val="Century Gothic"/>
        <family val="2"/>
      </rPr>
      <t>21-22</t>
    </r>
    <r>
      <rPr>
        <sz val="10"/>
        <color theme="1"/>
        <rFont val="Century Gothic"/>
        <family val="2"/>
      </rPr>
      <t xml:space="preserve"> Persons Count used for SFY 23-24 budgets.</t>
    </r>
  </si>
  <si>
    <t>SFY 2023-24 QUARTER 1</t>
  </si>
  <si>
    <t>TOTAL PROJECT COSTS</t>
  </si>
  <si>
    <t>County</t>
  </si>
  <si>
    <t>CalFresh</t>
  </si>
  <si>
    <t>Foster Care</t>
  </si>
  <si>
    <t>General Assistance/
General Relief</t>
  </si>
  <si>
    <t>TOTAL</t>
  </si>
  <si>
    <t>Alameda</t>
  </si>
  <si>
    <t>Alpine</t>
  </si>
  <si>
    <t>Amador</t>
  </si>
  <si>
    <t>Butte</t>
  </si>
  <si>
    <t xml:space="preserve"> 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</si>
  <si>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</si>
  <si>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</si>
  <si>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</si>
  <si>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</si>
  <si>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</si>
  <si>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</si>
  <si>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</si>
  <si>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</si>
  <si>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</si>
  <si>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</si>
  <si>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</si>
  <si>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</si>
  <si>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</si>
  <si>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</si>
  <si>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</si>
  <si>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</si>
  <si>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</si>
  <si>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</si>
  <si>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</si>
  <si>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</si>
  <si>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</si>
  <si>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</si>
  <si>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</si>
  <si>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</si>
  <si>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</si>
  <si>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</si>
  <si>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</si>
  <si>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</si>
  <si>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</si>
  <si>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</si>
  <si>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</si>
  <si>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</si>
  <si>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</si>
  <si>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</si>
  <si>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</si>
  <si>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</si>
  <si>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</si>
  <si>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</si>
  <si>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</si>
  <si>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</si>
  <si>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</si>
  <si>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</si>
  <si>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</si>
  <si>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</si>
  <si>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</si>
  <si>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</si>
  <si>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</si>
  <si>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</si>
  <si>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</si>
  <si>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</si>
  <si>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</si>
  <si>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</si>
  <si>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</si>
  <si>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</si>
  <si>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   Total</t>
  </si>
  <si>
    <t>X-Check</t>
  </si>
  <si>
    <t>Difference</t>
  </si>
  <si>
    <t>X-Check to Claim tabs</t>
  </si>
  <si>
    <t>SFY 2023-24 - Quarter 1</t>
  </si>
  <si>
    <t>40 County ABAWD
CalACES</t>
  </si>
  <si>
    <t>18 County
CalWIN</t>
  </si>
  <si>
    <t>58 County
CalSAWS</t>
  </si>
  <si>
    <t>40 County
CalSAWS</t>
  </si>
  <si>
    <t>TOTAL BY PROGRAM</t>
  </si>
  <si>
    <t>GA/GR</t>
  </si>
  <si>
    <t>CalSAWS DD&amp;I Adjusted/Late for 22-23</t>
  </si>
  <si>
    <t>CalSAWS M&amp;O Adjusted/Late for 22-23</t>
  </si>
  <si>
    <t>CalWIN M&amp;O Adjusted/Late for 22-23</t>
  </si>
  <si>
    <t>ABAWD 40 Counties</t>
  </si>
  <si>
    <t>CalSAWS DD&amp;I 58 Counties</t>
  </si>
  <si>
    <t>CalSAWS M&amp;O 40 Counties</t>
  </si>
  <si>
    <t>CalSAWS -  Total County Shares</t>
  </si>
  <si>
    <t xml:space="preserve">CalWIN M&amp;O - Consortium (18-County Distribution) </t>
  </si>
  <si>
    <t>CalWIN M&amp;O - County (County Specific Cost)</t>
  </si>
  <si>
    <t>CalWIN M&amp;O -  Total County Shares</t>
  </si>
  <si>
    <t>Total Q1</t>
  </si>
  <si>
    <t xml:space="preserve">
40-County</t>
  </si>
  <si>
    <t>SFY 21-22
Persons Count
(CalFresh)</t>
  </si>
  <si>
    <t xml:space="preserve">
58-County</t>
  </si>
  <si>
    <t>SFY 21-22
Persons Count
(All Programs)</t>
  </si>
  <si>
    <t>Total</t>
  </si>
  <si>
    <t>SFY 20-21
Persons Count
(All Programs)</t>
  </si>
  <si>
    <t>18 Counties</t>
  </si>
  <si>
    <t>SFY 23-24 CalWIN Sharing Tables</t>
  </si>
  <si>
    <t xml:space="preserve"> Total</t>
  </si>
  <si>
    <t>Cross-Check to Share by Project</t>
  </si>
  <si>
    <t>Cross-checks</t>
  </si>
  <si>
    <t>SFY 23-24 Q1</t>
  </si>
  <si>
    <t>CalSAWS Able-Bodied Adults Without Dependents 23/24</t>
  </si>
  <si>
    <t> </t>
  </si>
  <si>
    <t>Program Claim</t>
  </si>
  <si>
    <t>Federal Share</t>
  </si>
  <si>
    <t>State Welfare Share</t>
  </si>
  <si>
    <t>State Health Share</t>
  </si>
  <si>
    <t>County Share</t>
  </si>
  <si>
    <t>Covered CA Share</t>
  </si>
  <si>
    <t>County Name</t>
  </si>
  <si>
    <t>Process Month</t>
  </si>
  <si>
    <t>Claim Month</t>
  </si>
  <si>
    <t>CalWORKs</t>
  </si>
  <si>
    <t>CFAP</t>
  </si>
  <si>
    <t>Medi-Cal</t>
  </si>
  <si>
    <t>CAPI</t>
  </si>
  <si>
    <t>KinGAP</t>
  </si>
  <si>
    <t>CMSP</t>
  </si>
  <si>
    <t>Covered CA</t>
  </si>
  <si>
    <t>CLAIM: Sep 23</t>
  </si>
  <si>
    <t xml:space="preserve">CalSAWS </t>
  </si>
  <si>
    <t/>
  </si>
  <si>
    <t>All Programs</t>
  </si>
  <si>
    <t>CLAIM: Apr 23</t>
  </si>
  <si>
    <t>CLAIM: May 23</t>
  </si>
  <si>
    <t>CLAIM: Jun 23</t>
  </si>
  <si>
    <t>CLAIM: Oct 22</t>
  </si>
  <si>
    <t>CLAIM: Nov 22</t>
  </si>
  <si>
    <t>CLAIM: Dec 22</t>
  </si>
  <si>
    <t>CLAIM: Jan 23</t>
  </si>
  <si>
    <t>CLAIM: Feb 23</t>
  </si>
  <si>
    <t>CLAIM: Mar 23</t>
  </si>
  <si>
    <t xml:space="preserve">CalSAWS M&amp;O </t>
  </si>
  <si>
    <t>CalSAWS - SFY 22-23 Adjusted/Late</t>
  </si>
  <si>
    <t>CalSAWS M&amp;O - SFY 22-23 Adjusted/Late</t>
  </si>
  <si>
    <t>CalWIN M&amp;O</t>
  </si>
  <si>
    <t>CLAIM: Jul 23</t>
  </si>
  <si>
    <t>CLAIM: Aug 23</t>
  </si>
  <si>
    <t>CalWIN M&amp;O - SFY 22-23 Adjusted/Late</t>
  </si>
  <si>
    <t>SFY 20-21 Combined Persons Count</t>
  </si>
  <si>
    <t>1-Member</t>
  </si>
  <si>
    <t>18-Member</t>
  </si>
  <si>
    <t>39-Member</t>
  </si>
  <si>
    <t>40-Member</t>
  </si>
  <si>
    <t>57-Member</t>
  </si>
  <si>
    <t>58-Member</t>
  </si>
  <si>
    <t xml:space="preserve"> FC</t>
  </si>
  <si>
    <t>NAFS</t>
  </si>
  <si>
    <t>PAFS</t>
  </si>
  <si>
    <t>State-only Medi-Cal</t>
  </si>
  <si>
    <t>Refugees</t>
  </si>
  <si>
    <t>M&amp;O Baseline (All Programs except GA/GR)</t>
  </si>
  <si>
    <t>M&amp;O 
(GA/GR Only)</t>
  </si>
  <si>
    <t>M&amp;O Baseline (Based on CalWIN Sharing Tables Methodology)</t>
  </si>
  <si>
    <t>ABAWD
(CalFresh Only)</t>
  </si>
  <si>
    <t>SAWS Shared Application
(CW, CF, CAPI, MC, State MC, Refugee, and GA/GR only)</t>
  </si>
  <si>
    <t>CalSAWS M&amp;O 
(All Programs)</t>
  </si>
  <si>
    <t>GA/GR App Dev</t>
  </si>
  <si>
    <t>CalSAWS DD&amp;I Baseline 
(All Programs)
58-County</t>
  </si>
  <si>
    <t>CalSAWS Admin 22/23
(All Programs except GA/GR)
58-County</t>
  </si>
  <si>
    <t>X-Check to Source Data Tab</t>
  </si>
  <si>
    <t>CW</t>
  </si>
  <si>
    <t>CA</t>
  </si>
  <si>
    <t>C-IV</t>
  </si>
  <si>
    <t>Rounding Adjustment Applied</t>
  </si>
  <si>
    <t>LRS</t>
  </si>
  <si>
    <t>WCDS</t>
  </si>
  <si>
    <t>SFY 21-22 Combined Persons Count</t>
  </si>
  <si>
    <t>CalWIN M&amp;O SFY 2022-23 Sharing Tables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</si>
  <si>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</si>
  <si>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</si>
  <si>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</si>
  <si>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</si>
  <si>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</si>
  <si>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</si>
  <si>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</si>
  <si>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</si>
  <si>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</si>
  <si>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</si>
  <si>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</si>
  <si>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</si>
  <si>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GA/GR%</t>
  </si>
  <si>
    <t>Non GA/GR</t>
  </si>
  <si>
    <t xml:space="preserve">County </t>
  </si>
  <si>
    <t>County Non</t>
  </si>
  <si>
    <t>CL%</t>
  </si>
  <si>
    <t>L/M/S %</t>
  </si>
  <si>
    <t>Formula</t>
  </si>
  <si>
    <t>CL% * 99.66%</t>
  </si>
  <si>
    <t>CL% * .34%</t>
  </si>
  <si>
    <t>Adj CL %</t>
  </si>
  <si>
    <t>GA/GR %</t>
  </si>
  <si>
    <t xml:space="preserve">  Alameda </t>
  </si>
  <si>
    <t xml:space="preserve">  Contra Costa </t>
  </si>
  <si>
    <t xml:space="preserve">  Fresno </t>
  </si>
  <si>
    <t xml:space="preserve">  Orange </t>
  </si>
  <si>
    <t xml:space="preserve">  Placer </t>
  </si>
  <si>
    <t xml:space="preserve">  Sacramento </t>
  </si>
  <si>
    <t xml:space="preserve">  San Diego </t>
  </si>
  <si>
    <t xml:space="preserve">  San Francisco </t>
  </si>
  <si>
    <t xml:space="preserve">  San Luis Obispo </t>
  </si>
  <si>
    <t xml:space="preserve">  San Mateo </t>
  </si>
  <si>
    <t xml:space="preserve">  Santa Barbara </t>
  </si>
  <si>
    <t xml:space="preserve">  Santa Clara </t>
  </si>
  <si>
    <t xml:space="preserve">  Santa Cruz </t>
  </si>
  <si>
    <t xml:space="preserve">  Solano </t>
  </si>
  <si>
    <t xml:space="preserve">  Sonoma </t>
  </si>
  <si>
    <t xml:space="preserve">  Tulare </t>
  </si>
  <si>
    <t xml:space="preserve">  Ventura </t>
  </si>
  <si>
    <t xml:space="preserve">  Yolo </t>
  </si>
  <si>
    <t>CalWIN M&amp;O SFY 2023-24 Sharing Tables</t>
  </si>
  <si>
    <t>CL% * 99.65%</t>
  </si>
  <si>
    <t>CL% * .35%</t>
  </si>
  <si>
    <t>Aug 23</t>
  </si>
  <si>
    <t>Sep 23</t>
  </si>
  <si>
    <t>Oct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</si>
</sst>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0%"/>
    <numFmt numFmtId="167" formatCode="#,##0;\-#,##0;0"/>
    <numFmt numFmtId="168" formatCode="&quot;$&quot;#,##0.00"/>
  </numFmts>
  <fonts count="7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theme="0" tint="-0.14999847407452621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0"/>
      <color theme="2"/>
      <name val="Arial"/>
      <family val="2"/>
    </font>
    <font>
      <sz val="10"/>
      <color theme="0" tint="-0.249977111117893"/>
      <name val="Arial"/>
      <family val="2"/>
    </font>
    <font>
      <b/>
      <sz val="10"/>
      <color theme="4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9"/>
      <color rgb="FF00B0F0"/>
      <name val="Century Gothic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0"/>
      <color rgb="FFFFFF00"/>
      <name val="Arial"/>
      <family val="2"/>
    </font>
    <font>
      <b/>
      <sz val="11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theme="4" tint="0.79998168889431442"/>
      <name val="Arial"/>
      <family val="2"/>
    </font>
    <font>
      <sz val="10"/>
      <color theme="8"/>
      <name val="Arial"/>
      <family val="2"/>
    </font>
    <font>
      <sz val="10"/>
      <color rgb="FF2D0EB2"/>
      <name val="Arial"/>
      <family val="2"/>
    </font>
    <font>
      <sz val="10"/>
      <color rgb="FF0000FF"/>
      <name val="Arial"/>
      <family val="2"/>
    </font>
    <font>
      <sz val="10"/>
      <color theme="8" tint="-0.249977111117893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3" tint="0.39997558519241921"/>
      <name val="Arial"/>
      <family val="2"/>
    </font>
    <font>
      <sz val="11"/>
      <color rgb="FF0070C0"/>
      <name val="Calibri"/>
      <family val="2"/>
      <scheme val="minor"/>
    </font>
    <font>
      <b/>
      <sz val="10"/>
      <color theme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8"/>
      <color theme="0"/>
      <name val="Century Gothic"/>
      <family val="2"/>
    </font>
    <font>
      <b/>
      <sz val="8"/>
      <color theme="3" tint="-0.249977111117893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sz val="10"/>
      <color rgb="FF0070C0"/>
      <name val="Century Gothic"/>
      <family val="2"/>
    </font>
    <font>
      <sz val="9"/>
      <color rgb="FFFF0000"/>
      <name val="Century Gothic"/>
      <family val="2"/>
    </font>
    <font>
      <sz val="12"/>
      <name val="Arial"/>
      <family val="2"/>
    </font>
    <font>
      <sz val="8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sz val="11"/>
      <color rgb="FF0070C0"/>
      <name val="Century Gothic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b/>
      <sz val="11"/>
      <color theme="1"/>
      <name val="Calibri"/>
      <family val="2"/>
      <scheme val="minor"/>
    </font>
    <font>
      <sz val="10"/>
      <color rgb="FF7030A0"/>
      <name val="Century Gothic"/>
      <family val="2"/>
    </font>
    <font>
      <sz val="11"/>
      <color rgb="FF7030A0"/>
      <name val="Century Gothic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6E0F4"/>
      </patternFill>
    </fill>
    <fill>
      <patternFill patternType="none">
        <fgColor rgb="FFE8EEF7"/>
      </patternFill>
    </fill>
    <fill>
      <patternFill patternType="solid">
        <fgColor rgb="FFE8EEF7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E9EBE"/>
        <bgColor indexed="64"/>
      </patternFill>
    </fill>
    <fill>
      <patternFill patternType="solid">
        <fgColor rgb="FF1A32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rgb="FFE8EEF7"/>
      </patternFill>
    </fill>
    <fill>
      <patternFill patternType="solid">
        <fgColor rgb="FFD6E0F4"/>
        <bgColor rgb="FF000000"/>
      </patternFill>
    </fill>
    <fill>
      <patternFill patternType="solid">
        <fgColor rgb="FFE8EEF7"/>
        <bgColor rgb="FF000000"/>
      </patternFill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double">
        <color auto="1"/>
      </left>
      <right style="double">
        <color auto="1"/>
      </right>
      <top style="thin">
        <color rgb="FFCCCCCC"/>
      </top>
      <bottom style="thin">
        <color rgb="FFCCCCCC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22">
    <xf numFmtId="0" fontId="0" fillId="0" borderId="0"/>
    <xf numFmtId="0" fontId="9" fillId="4" borderId="3"/>
    <xf numFmtId="0" fontId="9" fillId="4" borderId="3"/>
    <xf numFmtId="0" fontId="5" fillId="4" borderId="3"/>
    <xf numFmtId="0" fontId="21" fillId="4" borderId="3"/>
    <xf numFmtId="9" fontId="9" fillId="4" borderId="3" applyFont="0" applyFill="0" applyBorder="0" applyAlignment="0" applyProtection="0"/>
    <xf numFmtId="44" fontId="5" fillId="4" borderId="3" applyFont="0" applyFill="0" applyBorder="0" applyAlignment="0" applyProtection="0"/>
    <xf numFmtId="0" fontId="8" fillId="4" borderId="3"/>
    <xf numFmtId="9" fontId="9" fillId="4" borderId="3" applyFont="0" applyFill="0" applyBorder="0" applyAlignment="0" applyProtection="0"/>
    <xf numFmtId="9" fontId="21" fillId="4" borderId="3" applyFont="0" applyFill="0" applyBorder="0" applyAlignment="0" applyProtection="0"/>
    <xf numFmtId="0" fontId="9" fillId="4" borderId="3"/>
    <xf numFmtId="44" fontId="9" fillId="4" borderId="3" applyFont="0" applyFill="0" applyBorder="0" applyAlignment="0" applyProtection="0"/>
    <xf numFmtId="0" fontId="8" fillId="4" borderId="3"/>
    <xf numFmtId="0" fontId="4" fillId="4" borderId="3"/>
    <xf numFmtId="0" fontId="3" fillId="4" borderId="3"/>
    <xf numFmtId="0" fontId="9" fillId="4" borderId="3"/>
    <xf numFmtId="43" fontId="9" fillId="4" borderId="3" applyFont="0" applyFill="0" applyBorder="0" applyAlignment="0" applyProtection="0"/>
    <xf numFmtId="9" fontId="9" fillId="4" borderId="3" applyFont="0" applyFill="0" applyBorder="0" applyAlignment="0" applyProtection="0"/>
    <xf numFmtId="0" fontId="9" fillId="4" borderId="3"/>
    <xf numFmtId="0" fontId="8" fillId="4" borderId="3"/>
    <xf numFmtId="0" fontId="8" fillId="4" borderId="3"/>
    <xf numFmtId="0" fontId="2" fillId="4" borderId="3"/>
  </cellStyleXfs>
  <cellXfs count="382">
    <xf numFmtId="0" fontId="0" fillId="0" borderId="0" xfId="0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left" vertical="center" indent="2"/>
      <protection locked="0"/>
    </xf>
    <xf numFmtId="0" fontId="10" fillId="4" borderId="3" xfId="1" applyFont="1"/>
    <xf numFmtId="0" fontId="11" fillId="4" borderId="3" xfId="1" applyFont="1"/>
    <xf numFmtId="0" fontId="9" fillId="4" borderId="8" xfId="1" applyBorder="1"/>
    <xf numFmtId="0" fontId="13" fillId="4" borderId="3" xfId="1" applyFont="1"/>
    <xf numFmtId="0" fontId="9" fillId="4" borderId="3" xfId="1"/>
    <xf numFmtId="0" fontId="12" fillId="6" borderId="9" xfId="1" applyFont="1" applyFill="1" applyBorder="1" applyAlignment="1">
      <alignment horizontal="center" vertical="center"/>
    </xf>
    <xf numFmtId="0" fontId="12" fillId="6" borderId="10" xfId="1" applyFont="1" applyFill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center" vertical="center"/>
    </xf>
    <xf numFmtId="0" fontId="12" fillId="6" borderId="12" xfId="1" applyFon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vertical="center"/>
    </xf>
    <xf numFmtId="0" fontId="12" fillId="6" borderId="14" xfId="1" applyFont="1" applyFill="1" applyBorder="1" applyAlignment="1">
      <alignment horizontal="center" vertical="center"/>
    </xf>
    <xf numFmtId="0" fontId="12" fillId="6" borderId="15" xfId="1" applyFont="1" applyFill="1" applyBorder="1" applyAlignment="1">
      <alignment horizontal="center" vertical="center"/>
    </xf>
    <xf numFmtId="0" fontId="12" fillId="6" borderId="16" xfId="1" applyFont="1" applyFill="1" applyBorder="1" applyAlignment="1">
      <alignment horizontal="center" vertical="center"/>
    </xf>
    <xf numFmtId="0" fontId="12" fillId="6" borderId="17" xfId="1" applyFont="1" applyFill="1" applyBorder="1" applyAlignment="1">
      <alignment horizontal="center" vertical="center"/>
    </xf>
    <xf numFmtId="0" fontId="12" fillId="6" borderId="12" xfId="1" applyFont="1" applyFill="1" applyBorder="1" applyAlignment="1">
      <alignment horizontal="center" vertical="center" wrapText="1"/>
    </xf>
    <xf numFmtId="6" fontId="9" fillId="4" borderId="18" xfId="1" applyNumberFormat="1" applyBorder="1"/>
    <xf numFmtId="6" fontId="9" fillId="4" borderId="20" xfId="1" applyNumberFormat="1" applyBorder="1"/>
    <xf numFmtId="6" fontId="9" fillId="4" borderId="21" xfId="1" applyNumberFormat="1" applyBorder="1"/>
    <xf numFmtId="6" fontId="9" fillId="4" borderId="22" xfId="1" applyNumberFormat="1" applyBorder="1"/>
    <xf numFmtId="6" fontId="13" fillId="4" borderId="3" xfId="1" applyNumberFormat="1" applyFont="1"/>
    <xf numFmtId="6" fontId="9" fillId="4" borderId="23" xfId="1" applyNumberFormat="1" applyBorder="1"/>
    <xf numFmtId="6" fontId="9" fillId="7" borderId="21" xfId="1" applyNumberFormat="1" applyFill="1" applyBorder="1"/>
    <xf numFmtId="0" fontId="9" fillId="4" borderId="23" xfId="1" applyBorder="1"/>
    <xf numFmtId="164" fontId="9" fillId="4" borderId="23" xfId="1" applyNumberFormat="1" applyBorder="1"/>
    <xf numFmtId="0" fontId="9" fillId="4" borderId="23" xfId="2" applyBorder="1"/>
    <xf numFmtId="6" fontId="9" fillId="8" borderId="21" xfId="1" applyNumberFormat="1" applyFill="1" applyBorder="1"/>
    <xf numFmtId="6" fontId="9" fillId="8" borderId="15" xfId="1" applyNumberFormat="1" applyFill="1" applyBorder="1"/>
    <xf numFmtId="0" fontId="14" fillId="4" borderId="21" xfId="1" applyFont="1" applyBorder="1"/>
    <xf numFmtId="6" fontId="14" fillId="4" borderId="21" xfId="1" applyNumberFormat="1" applyFont="1" applyBorder="1" applyAlignment="1" applyProtection="1">
      <alignment horizontal="right"/>
      <protection locked="0"/>
    </xf>
    <xf numFmtId="0" fontId="15" fillId="4" borderId="3" xfId="1" applyFont="1"/>
    <xf numFmtId="6" fontId="15" fillId="4" borderId="3" xfId="1" applyNumberFormat="1" applyFont="1"/>
    <xf numFmtId="0" fontId="16" fillId="4" borderId="3" xfId="1" applyFont="1"/>
    <xf numFmtId="0" fontId="17" fillId="4" borderId="3" xfId="1" applyFont="1"/>
    <xf numFmtId="17" fontId="15" fillId="4" borderId="3" xfId="1" applyNumberFormat="1" applyFont="1" applyAlignment="1">
      <alignment horizontal="center"/>
    </xf>
    <xf numFmtId="6" fontId="18" fillId="4" borderId="3" xfId="1" applyNumberFormat="1" applyFont="1"/>
    <xf numFmtId="0" fontId="19" fillId="4" borderId="3" xfId="1" applyFont="1"/>
    <xf numFmtId="0" fontId="14" fillId="4" borderId="3" xfId="1" applyFont="1"/>
    <xf numFmtId="17" fontId="19" fillId="4" borderId="3" xfId="1" applyNumberFormat="1" applyFont="1" applyAlignment="1">
      <alignment horizontal="center"/>
    </xf>
    <xf numFmtId="6" fontId="20" fillId="4" borderId="3" xfId="1" applyNumberFormat="1" applyFont="1"/>
    <xf numFmtId="6" fontId="19" fillId="4" borderId="3" xfId="1" applyNumberFormat="1" applyFont="1"/>
    <xf numFmtId="0" fontId="20" fillId="4" borderId="3" xfId="1" applyFont="1"/>
    <xf numFmtId="0" fontId="5" fillId="4" borderId="3" xfId="3"/>
    <xf numFmtId="6" fontId="23" fillId="4" borderId="3" xfId="3" applyNumberFormat="1" applyFont="1"/>
    <xf numFmtId="0" fontId="9" fillId="4" borderId="21" xfId="1" applyBorder="1"/>
    <xf numFmtId="0" fontId="26" fillId="4" borderId="3" xfId="1" applyFont="1"/>
    <xf numFmtId="0" fontId="26" fillId="4" borderId="29" xfId="1" applyFont="1" applyBorder="1"/>
    <xf numFmtId="0" fontId="27" fillId="4" borderId="3" xfId="1" applyFont="1"/>
    <xf numFmtId="0" fontId="28" fillId="4" borderId="3" xfId="1" applyFont="1" applyAlignment="1">
      <alignment horizontal="center"/>
    </xf>
    <xf numFmtId="0" fontId="12" fillId="4" borderId="3" xfId="1" applyFont="1" applyAlignment="1">
      <alignment horizontal="center" vertical="center"/>
    </xf>
    <xf numFmtId="6" fontId="9" fillId="4" borderId="3" xfId="1" applyNumberFormat="1"/>
    <xf numFmtId="0" fontId="30" fillId="4" borderId="3" xfId="1" applyFont="1"/>
    <xf numFmtId="0" fontId="12" fillId="6" borderId="21" xfId="1" applyFont="1" applyFill="1" applyBorder="1" applyAlignment="1">
      <alignment horizontal="center"/>
    </xf>
    <xf numFmtId="0" fontId="12" fillId="6" borderId="21" xfId="1" applyFont="1" applyFill="1" applyBorder="1" applyAlignment="1">
      <alignment horizontal="center" wrapText="1"/>
    </xf>
    <xf numFmtId="0" fontId="12" fillId="4" borderId="3" xfId="1" applyFont="1" applyAlignment="1">
      <alignment horizontal="center" wrapText="1"/>
    </xf>
    <xf numFmtId="0" fontId="12" fillId="6" borderId="20" xfId="1" applyFont="1" applyFill="1" applyBorder="1" applyAlignment="1">
      <alignment horizontal="center"/>
    </xf>
    <xf numFmtId="10" fontId="14" fillId="4" borderId="21" xfId="1" applyNumberFormat="1" applyFont="1" applyBorder="1" applyAlignment="1">
      <alignment horizontal="right"/>
    </xf>
    <xf numFmtId="10" fontId="14" fillId="4" borderId="21" xfId="1" applyNumberFormat="1" applyFont="1" applyBorder="1" applyAlignment="1">
      <alignment horizontal="right" wrapText="1"/>
    </xf>
    <xf numFmtId="10" fontId="14" fillId="4" borderId="3" xfId="1" applyNumberFormat="1" applyFont="1" applyAlignment="1">
      <alignment horizontal="right"/>
    </xf>
    <xf numFmtId="164" fontId="14" fillId="4" borderId="21" xfId="1" applyNumberFormat="1" applyFont="1" applyBorder="1"/>
    <xf numFmtId="6" fontId="31" fillId="4" borderId="3" xfId="1" applyNumberFormat="1" applyFont="1"/>
    <xf numFmtId="6" fontId="14" fillId="4" borderId="21" xfId="1" applyNumberFormat="1" applyFont="1" applyBorder="1"/>
    <xf numFmtId="6" fontId="14" fillId="4" borderId="3" xfId="1" applyNumberFormat="1" applyFont="1"/>
    <xf numFmtId="0" fontId="31" fillId="4" borderId="3" xfId="1" applyFont="1"/>
    <xf numFmtId="164" fontId="14" fillId="4" borderId="21" xfId="1" applyNumberFormat="1" applyFont="1" applyBorder="1" applyAlignment="1">
      <alignment horizontal="right"/>
    </xf>
    <xf numFmtId="6" fontId="30" fillId="4" borderId="3" xfId="1" applyNumberFormat="1" applyFont="1"/>
    <xf numFmtId="6" fontId="32" fillId="4" borderId="3" xfId="1" applyNumberFormat="1" applyFont="1"/>
    <xf numFmtId="10" fontId="9" fillId="4" borderId="23" xfId="5" applyNumberFormat="1" applyBorder="1"/>
    <xf numFmtId="6" fontId="9" fillId="4" borderId="21" xfId="5" applyNumberFormat="1" applyFont="1" applyBorder="1"/>
    <xf numFmtId="6" fontId="21" fillId="4" borderId="21" xfId="5" applyNumberFormat="1" applyFont="1" applyBorder="1"/>
    <xf numFmtId="6" fontId="33" fillId="4" borderId="3" xfId="1" applyNumberFormat="1" applyFont="1"/>
    <xf numFmtId="10" fontId="9" fillId="4" borderId="21" xfId="5" applyNumberFormat="1" applyFont="1" applyFill="1" applyBorder="1"/>
    <xf numFmtId="6" fontId="21" fillId="4" borderId="21" xfId="1" applyNumberFormat="1" applyFont="1" applyBorder="1"/>
    <xf numFmtId="164" fontId="9" fillId="4" borderId="21" xfId="1" applyNumberFormat="1" applyBorder="1"/>
    <xf numFmtId="8" fontId="31" fillId="4" borderId="3" xfId="1" applyNumberFormat="1" applyFont="1"/>
    <xf numFmtId="10" fontId="9" fillId="7" borderId="21" xfId="5" applyNumberFormat="1" applyFont="1" applyFill="1" applyBorder="1"/>
    <xf numFmtId="6" fontId="21" fillId="7" borderId="21" xfId="1" applyNumberFormat="1" applyFont="1" applyFill="1" applyBorder="1"/>
    <xf numFmtId="10" fontId="21" fillId="7" borderId="21" xfId="5" applyNumberFormat="1" applyFont="1" applyFill="1" applyBorder="1"/>
    <xf numFmtId="10" fontId="9" fillId="7" borderId="21" xfId="1" applyNumberFormat="1" applyFill="1" applyBorder="1"/>
    <xf numFmtId="6" fontId="34" fillId="4" borderId="21" xfId="5" applyNumberFormat="1" applyFont="1" applyBorder="1"/>
    <xf numFmtId="0" fontId="21" fillId="4" borderId="21" xfId="1" applyFont="1" applyBorder="1"/>
    <xf numFmtId="164" fontId="21" fillId="4" borderId="21" xfId="1" applyNumberFormat="1" applyFont="1" applyBorder="1"/>
    <xf numFmtId="10" fontId="14" fillId="4" borderId="21" xfId="5" applyNumberFormat="1" applyFont="1" applyBorder="1"/>
    <xf numFmtId="10" fontId="14" fillId="4" borderId="21" xfId="1" applyNumberFormat="1" applyFont="1" applyBorder="1"/>
    <xf numFmtId="164" fontId="14" fillId="4" borderId="21" xfId="1" applyNumberFormat="1" applyFont="1" applyBorder="1" applyAlignment="1">
      <alignment vertical="center"/>
    </xf>
    <xf numFmtId="6" fontId="31" fillId="4" borderId="3" xfId="1" applyNumberFormat="1" applyFont="1" applyAlignment="1">
      <alignment vertical="center"/>
    </xf>
    <xf numFmtId="164" fontId="24" fillId="4" borderId="21" xfId="1" applyNumberFormat="1" applyFont="1" applyBorder="1" applyAlignment="1">
      <alignment vertical="center"/>
    </xf>
    <xf numFmtId="0" fontId="5" fillId="4" borderId="3" xfId="3" applyAlignment="1">
      <alignment vertical="center"/>
    </xf>
    <xf numFmtId="164" fontId="30" fillId="4" borderId="3" xfId="1" applyNumberFormat="1" applyFont="1"/>
    <xf numFmtId="164" fontId="35" fillId="4" borderId="3" xfId="1" applyNumberFormat="1" applyFont="1"/>
    <xf numFmtId="2" fontId="30" fillId="4" borderId="3" xfId="1" applyNumberFormat="1" applyFont="1" applyAlignment="1">
      <alignment horizontal="right"/>
    </xf>
    <xf numFmtId="0" fontId="36" fillId="4" borderId="3" xfId="3" applyFont="1"/>
    <xf numFmtId="8" fontId="30" fillId="4" borderId="3" xfId="1" applyNumberFormat="1" applyFont="1"/>
    <xf numFmtId="164" fontId="13" fillId="4" borderId="3" xfId="1" applyNumberFormat="1" applyFont="1"/>
    <xf numFmtId="165" fontId="37" fillId="4" borderId="3" xfId="11" applyNumberFormat="1" applyFont="1"/>
    <xf numFmtId="6" fontId="22" fillId="4" borderId="3" xfId="1" applyNumberFormat="1" applyFont="1"/>
    <xf numFmtId="0" fontId="38" fillId="4" borderId="3" xfId="3" applyFont="1"/>
    <xf numFmtId="6" fontId="38" fillId="4" borderId="3" xfId="3" applyNumberFormat="1" applyFont="1"/>
    <xf numFmtId="164" fontId="22" fillId="4" borderId="3" xfId="1" applyNumberFormat="1" applyFont="1" applyAlignment="1">
      <alignment horizontal="center"/>
    </xf>
    <xf numFmtId="164" fontId="37" fillId="4" borderId="3" xfId="1" applyNumberFormat="1" applyFont="1"/>
    <xf numFmtId="164" fontId="32" fillId="4" borderId="3" xfId="1" applyNumberFormat="1" applyFont="1"/>
    <xf numFmtId="0" fontId="39" fillId="4" borderId="3" xfId="1" applyFont="1"/>
    <xf numFmtId="17" fontId="32" fillId="4" borderId="3" xfId="1" applyNumberFormat="1" applyFont="1" applyAlignment="1">
      <alignment horizontal="center"/>
    </xf>
    <xf numFmtId="0" fontId="37" fillId="4" borderId="3" xfId="1" applyFont="1"/>
    <xf numFmtId="6" fontId="39" fillId="4" borderId="3" xfId="1" applyNumberFormat="1" applyFont="1"/>
    <xf numFmtId="0" fontId="6" fillId="2" borderId="3" xfId="12" applyFont="1" applyFill="1" applyProtection="1">
      <protection locked="0"/>
    </xf>
    <xf numFmtId="0" fontId="8" fillId="4" borderId="3" xfId="12"/>
    <xf numFmtId="0" fontId="12" fillId="6" borderId="21" xfId="1" applyFont="1" applyFill="1" applyBorder="1" applyAlignment="1">
      <alignment horizontal="center" vertical="center"/>
    </xf>
    <xf numFmtId="0" fontId="12" fillId="6" borderId="21" xfId="1" applyFont="1" applyFill="1" applyBorder="1" applyAlignment="1">
      <alignment horizontal="center" vertical="center" wrapText="1"/>
    </xf>
    <xf numFmtId="0" fontId="9" fillId="4" borderId="21" xfId="2" applyBorder="1"/>
    <xf numFmtId="0" fontId="21" fillId="4" borderId="3" xfId="1" applyFont="1"/>
    <xf numFmtId="0" fontId="4" fillId="4" borderId="3" xfId="13"/>
    <xf numFmtId="0" fontId="41" fillId="4" borderId="3" xfId="1" applyFont="1"/>
    <xf numFmtId="0" fontId="41" fillId="4" borderId="4" xfId="1" applyFont="1" applyBorder="1"/>
    <xf numFmtId="0" fontId="22" fillId="4" borderId="3" xfId="1" applyFont="1"/>
    <xf numFmtId="8" fontId="22" fillId="4" borderId="3" xfId="1" applyNumberFormat="1" applyFont="1"/>
    <xf numFmtId="0" fontId="12" fillId="6" borderId="18" xfId="1" applyFont="1" applyFill="1" applyBorder="1" applyAlignment="1">
      <alignment horizontal="center" wrapText="1"/>
    </xf>
    <xf numFmtId="0" fontId="42" fillId="12" borderId="21" xfId="4" applyFont="1" applyFill="1" applyBorder="1" applyAlignment="1">
      <alignment horizontal="center"/>
    </xf>
    <xf numFmtId="0" fontId="42" fillId="12" borderId="21" xfId="4" applyFont="1" applyFill="1" applyBorder="1"/>
    <xf numFmtId="0" fontId="42" fillId="12" borderId="21" xfId="4" applyFont="1" applyFill="1" applyBorder="1" applyAlignment="1">
      <alignment wrapText="1"/>
    </xf>
    <xf numFmtId="0" fontId="3" fillId="4" borderId="3" xfId="14"/>
    <xf numFmtId="0" fontId="43" fillId="9" borderId="21" xfId="4" applyFont="1" applyFill="1" applyBorder="1" applyAlignment="1">
      <alignment horizontal="center" vertical="center"/>
    </xf>
    <xf numFmtId="0" fontId="44" fillId="4" borderId="21" xfId="4" applyFont="1" applyBorder="1" applyAlignment="1">
      <alignment vertical="center"/>
    </xf>
    <xf numFmtId="0" fontId="44" fillId="4" borderId="21" xfId="4" applyFont="1" applyBorder="1" applyAlignment="1">
      <alignment vertical="center" wrapText="1"/>
    </xf>
    <xf numFmtId="0" fontId="44" fillId="13" borderId="21" xfId="4" applyFont="1" applyFill="1" applyBorder="1" applyAlignment="1">
      <alignment horizontal="center" vertical="center"/>
    </xf>
    <xf numFmtId="0" fontId="44" fillId="11" borderId="21" xfId="4" applyFont="1" applyFill="1" applyBorder="1" applyAlignment="1">
      <alignment horizontal="center" vertical="center"/>
    </xf>
    <xf numFmtId="0" fontId="44" fillId="14" borderId="21" xfId="4" applyFont="1" applyFill="1" applyBorder="1" applyAlignment="1">
      <alignment horizontal="center" vertical="center"/>
    </xf>
    <xf numFmtId="0" fontId="44" fillId="15" borderId="21" xfId="4" applyFont="1" applyFill="1" applyBorder="1" applyAlignment="1">
      <alignment horizontal="center" vertical="center"/>
    </xf>
    <xf numFmtId="0" fontId="44" fillId="16" borderId="21" xfId="4" applyFont="1" applyFill="1" applyBorder="1" applyAlignment="1">
      <alignment horizontal="center" vertical="center"/>
    </xf>
    <xf numFmtId="0" fontId="21" fillId="4" borderId="3" xfId="4" applyAlignment="1">
      <alignment horizontal="center"/>
    </xf>
    <xf numFmtId="0" fontId="21" fillId="4" borderId="3" xfId="4"/>
    <xf numFmtId="0" fontId="21" fillId="4" borderId="3" xfId="4" applyAlignment="1">
      <alignment wrapText="1"/>
    </xf>
    <xf numFmtId="0" fontId="46" fillId="4" borderId="3" xfId="4" applyFont="1" applyAlignment="1">
      <alignment horizontal="center" vertical="center" wrapText="1"/>
    </xf>
    <xf numFmtId="0" fontId="48" fillId="4" borderId="21" xfId="1" applyFont="1" applyBorder="1"/>
    <xf numFmtId="3" fontId="48" fillId="4" borderId="21" xfId="1" applyNumberFormat="1" applyFont="1" applyBorder="1"/>
    <xf numFmtId="10" fontId="48" fillId="4" borderId="21" xfId="5" applyNumberFormat="1" applyFont="1" applyBorder="1" applyProtection="1"/>
    <xf numFmtId="10" fontId="48" fillId="4" borderId="3" xfId="5" applyNumberFormat="1" applyFont="1" applyBorder="1" applyProtection="1"/>
    <xf numFmtId="166" fontId="43" fillId="4" borderId="3" xfId="5" applyNumberFormat="1" applyFont="1"/>
    <xf numFmtId="10" fontId="49" fillId="4" borderId="21" xfId="5" applyNumberFormat="1" applyFont="1" applyBorder="1" applyProtection="1"/>
    <xf numFmtId="10" fontId="50" fillId="4" borderId="21" xfId="5" applyNumberFormat="1" applyFont="1" applyBorder="1" applyProtection="1"/>
    <xf numFmtId="10" fontId="48" fillId="4" borderId="21" xfId="5" applyNumberFormat="1" applyFont="1" applyFill="1" applyBorder="1" applyProtection="1"/>
    <xf numFmtId="10" fontId="49" fillId="4" borderId="3" xfId="5" applyNumberFormat="1" applyFont="1" applyBorder="1" applyProtection="1"/>
    <xf numFmtId="3" fontId="51" fillId="4" borderId="21" xfId="1" applyNumberFormat="1" applyFont="1" applyBorder="1"/>
    <xf numFmtId="10" fontId="51" fillId="4" borderId="21" xfId="5" applyNumberFormat="1" applyFont="1" applyBorder="1" applyProtection="1"/>
    <xf numFmtId="10" fontId="51" fillId="4" borderId="3" xfId="5" applyNumberFormat="1" applyFont="1" applyBorder="1" applyProtection="1"/>
    <xf numFmtId="0" fontId="14" fillId="4" borderId="3" xfId="15" applyFont="1"/>
    <xf numFmtId="0" fontId="9" fillId="4" borderId="3" xfId="15"/>
    <xf numFmtId="164" fontId="9" fillId="4" borderId="3" xfId="15" applyNumberFormat="1"/>
    <xf numFmtId="10" fontId="9" fillId="4" borderId="3" xfId="15" applyNumberFormat="1"/>
    <xf numFmtId="0" fontId="9" fillId="4" borderId="3" xfId="15" applyAlignment="1">
      <alignment horizontal="center"/>
    </xf>
    <xf numFmtId="0" fontId="9" fillId="4" borderId="32" xfId="15" applyBorder="1"/>
    <xf numFmtId="0" fontId="9" fillId="4" borderId="32" xfId="15" applyBorder="1" applyAlignment="1">
      <alignment horizontal="center"/>
    </xf>
    <xf numFmtId="0" fontId="9" fillId="4" borderId="33" xfId="15" applyBorder="1" applyAlignment="1">
      <alignment horizontal="center"/>
    </xf>
    <xf numFmtId="10" fontId="9" fillId="4" borderId="33" xfId="15" applyNumberFormat="1" applyBorder="1" applyAlignment="1">
      <alignment horizontal="center"/>
    </xf>
    <xf numFmtId="10" fontId="9" fillId="4" borderId="3" xfId="15" applyNumberFormat="1" applyAlignment="1">
      <alignment horizontal="center"/>
    </xf>
    <xf numFmtId="0" fontId="9" fillId="4" borderId="34" xfId="15" applyBorder="1"/>
    <xf numFmtId="10" fontId="9" fillId="4" borderId="35" xfId="15" applyNumberFormat="1" applyBorder="1"/>
    <xf numFmtId="10" fontId="9" fillId="4" borderId="32" xfId="16" applyNumberFormat="1" applyBorder="1"/>
    <xf numFmtId="10" fontId="9" fillId="4" borderId="34" xfId="16" applyNumberFormat="1" applyBorder="1"/>
    <xf numFmtId="10" fontId="9" fillId="4" borderId="32" xfId="2" applyNumberFormat="1" applyBorder="1"/>
    <xf numFmtId="10" fontId="9" fillId="4" borderId="34" xfId="15" applyNumberFormat="1" applyBorder="1"/>
    <xf numFmtId="10" fontId="9" fillId="4" borderId="34" xfId="2" applyNumberFormat="1" applyBorder="1"/>
    <xf numFmtId="0" fontId="9" fillId="4" borderId="33" xfId="15" applyBorder="1"/>
    <xf numFmtId="10" fontId="9" fillId="4" borderId="33" xfId="16" applyNumberFormat="1" applyBorder="1"/>
    <xf numFmtId="10" fontId="56" fillId="4" borderId="3" xfId="15" applyNumberFormat="1" applyFont="1"/>
    <xf numFmtId="2" fontId="9" fillId="4" borderId="3" xfId="15" applyNumberFormat="1"/>
    <xf numFmtId="10" fontId="0" fillId="4" borderId="3" xfId="17" applyNumberFormat="1" applyFont="1"/>
    <xf numFmtId="0" fontId="40" fillId="4" borderId="3" xfId="1" applyFont="1" applyAlignment="1">
      <alignment horizontal="center"/>
    </xf>
    <xf numFmtId="164" fontId="57" fillId="4" borderId="3" xfId="1" applyNumberFormat="1" applyFont="1"/>
    <xf numFmtId="6" fontId="57" fillId="4" borderId="3" xfId="1" applyNumberFormat="1" applyFont="1"/>
    <xf numFmtId="0" fontId="57" fillId="4" borderId="3" xfId="1" applyFont="1"/>
    <xf numFmtId="0" fontId="59" fillId="4" borderId="3" xfId="3" applyFont="1"/>
    <xf numFmtId="6" fontId="57" fillId="21" borderId="3" xfId="1" applyNumberFormat="1" applyFont="1" applyFill="1"/>
    <xf numFmtId="6" fontId="58" fillId="4" borderId="3" xfId="1" applyNumberFormat="1" applyFont="1"/>
    <xf numFmtId="6" fontId="58" fillId="21" borderId="3" xfId="1" applyNumberFormat="1" applyFont="1" applyFill="1"/>
    <xf numFmtId="0" fontId="53" fillId="4" borderId="3" xfId="13" applyFont="1" applyAlignment="1">
      <alignment horizontal="center" vertical="center"/>
    </xf>
    <xf numFmtId="6" fontId="60" fillId="4" borderId="3" xfId="13" applyNumberFormat="1" applyFont="1"/>
    <xf numFmtId="6" fontId="60" fillId="21" borderId="3" xfId="13" applyNumberFormat="1" applyFont="1" applyFill="1"/>
    <xf numFmtId="166" fontId="9" fillId="4" borderId="3" xfId="15" applyNumberFormat="1"/>
    <xf numFmtId="0" fontId="61" fillId="2" borderId="3" xfId="12" applyFont="1" applyFill="1" applyProtection="1">
      <protection locked="0"/>
    </xf>
    <xf numFmtId="6" fontId="9" fillId="4" borderId="19" xfId="1" applyNumberFormat="1" applyBorder="1"/>
    <xf numFmtId="0" fontId="6" fillId="2" borderId="3" xfId="0" applyFont="1" applyFill="1" applyBorder="1" applyProtection="1">
      <protection locked="0"/>
    </xf>
    <xf numFmtId="0" fontId="45" fillId="17" borderId="0" xfId="0" applyFont="1" applyFill="1"/>
    <xf numFmtId="0" fontId="43" fillId="0" borderId="0" xfId="0" applyFont="1"/>
    <xf numFmtId="0" fontId="45" fillId="17" borderId="21" xfId="0" applyFont="1" applyFill="1" applyBorder="1" applyAlignment="1">
      <alignment horizontal="left"/>
    </xf>
    <xf numFmtId="0" fontId="45" fillId="17" borderId="21" xfId="0" applyFont="1" applyFill="1" applyBorder="1" applyAlignment="1">
      <alignment horizontal="center"/>
    </xf>
    <xf numFmtId="0" fontId="45" fillId="17" borderId="2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48" fillId="0" borderId="21" xfId="0" applyNumberFormat="1" applyFont="1" applyBorder="1"/>
    <xf numFmtId="38" fontId="22" fillId="20" borderId="0" xfId="0" applyNumberFormat="1" applyFont="1" applyFill="1"/>
    <xf numFmtId="3" fontId="51" fillId="0" borderId="21" xfId="0" applyNumberFormat="1" applyFont="1" applyBorder="1"/>
    <xf numFmtId="38" fontId="40" fillId="20" borderId="0" xfId="0" applyNumberFormat="1" applyFont="1" applyFill="1"/>
    <xf numFmtId="0" fontId="0" fillId="0" borderId="0" xfId="0" applyAlignment="1">
      <alignment horizontal="center"/>
    </xf>
    <xf numFmtId="10" fontId="51" fillId="0" borderId="21" xfId="0" applyNumberFormat="1" applyFont="1" applyBorder="1"/>
    <xf numFmtId="10" fontId="52" fillId="4" borderId="21" xfId="0" applyNumberFormat="1" applyFont="1" applyFill="1" applyBorder="1"/>
    <xf numFmtId="10" fontId="51" fillId="4" borderId="21" xfId="0" applyNumberFormat="1" applyFont="1" applyFill="1" applyBorder="1"/>
    <xf numFmtId="3" fontId="14" fillId="0" borderId="0" xfId="0" applyNumberFormat="1" applyFont="1"/>
    <xf numFmtId="0" fontId="48" fillId="0" borderId="0" xfId="0" applyFont="1"/>
    <xf numFmtId="0" fontId="48" fillId="4" borderId="0" xfId="0" applyFont="1" applyFill="1"/>
    <xf numFmtId="3" fontId="53" fillId="0" borderId="0" xfId="0" applyNumberFormat="1" applyFont="1"/>
    <xf numFmtId="38" fontId="14" fillId="0" borderId="0" xfId="0" applyNumberFormat="1" applyFont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54" fillId="0" borderId="0" xfId="0" applyFont="1"/>
    <xf numFmtId="3" fontId="0" fillId="0" borderId="0" xfId="0" applyNumberFormat="1"/>
    <xf numFmtId="0" fontId="40" fillId="0" borderId="0" xfId="0" applyFont="1" applyAlignment="1">
      <alignment horizontal="right"/>
    </xf>
    <xf numFmtId="3" fontId="40" fillId="0" borderId="0" xfId="0" applyNumberFormat="1" applyFont="1"/>
    <xf numFmtId="0" fontId="22" fillId="0" borderId="31" xfId="0" applyFont="1" applyBorder="1" applyAlignment="1">
      <alignment horizontal="right"/>
    </xf>
    <xf numFmtId="38" fontId="22" fillId="0" borderId="31" xfId="0" applyNumberFormat="1" applyFont="1" applyBorder="1"/>
    <xf numFmtId="49" fontId="43" fillId="0" borderId="0" xfId="0" applyNumberFormat="1" applyFont="1"/>
    <xf numFmtId="38" fontId="22" fillId="20" borderId="31" xfId="0" applyNumberFormat="1" applyFont="1" applyFill="1" applyBorder="1"/>
    <xf numFmtId="38" fontId="40" fillId="20" borderId="31" xfId="0" applyNumberFormat="1" applyFont="1" applyFill="1" applyBorder="1"/>
    <xf numFmtId="38" fontId="0" fillId="0" borderId="0" xfId="0" applyNumberFormat="1"/>
    <xf numFmtId="10" fontId="22" fillId="0" borderId="31" xfId="0" applyNumberFormat="1" applyFont="1" applyBorder="1"/>
    <xf numFmtId="10" fontId="22" fillId="20" borderId="31" xfId="0" applyNumberFormat="1" applyFont="1" applyFill="1" applyBorder="1"/>
    <xf numFmtId="10" fontId="40" fillId="20" borderId="31" xfId="0" applyNumberFormat="1" applyFont="1" applyFill="1" applyBorder="1"/>
    <xf numFmtId="38" fontId="48" fillId="0" borderId="0" xfId="0" applyNumberFormat="1" applyFont="1"/>
    <xf numFmtId="0" fontId="55" fillId="0" borderId="0" xfId="0" applyFont="1"/>
    <xf numFmtId="0" fontId="43" fillId="4" borderId="21" xfId="4" applyFont="1" applyBorder="1" applyAlignment="1">
      <alignment vertical="center" wrapText="1"/>
    </xf>
    <xf numFmtId="0" fontId="22" fillId="4" borderId="3" xfId="1" applyFont="1" applyAlignment="1">
      <alignment horizontal="center"/>
    </xf>
    <xf numFmtId="164" fontId="9" fillId="4" borderId="36" xfId="1" applyNumberFormat="1" applyBorder="1"/>
    <xf numFmtId="167" fontId="7" fillId="2" borderId="1" xfId="0" applyNumberFormat="1" applyFont="1" applyFill="1" applyBorder="1" applyAlignment="1">
      <alignment horizontal="right" vertical="center"/>
    </xf>
    <xf numFmtId="167" fontId="7" fillId="2" borderId="2" xfId="0" applyNumberFormat="1" applyFont="1" applyFill="1" applyBorder="1" applyAlignment="1">
      <alignment horizontal="right" vertical="center"/>
    </xf>
    <xf numFmtId="6" fontId="9" fillId="22" borderId="19" xfId="1" applyNumberFormat="1" applyFill="1" applyBorder="1"/>
    <xf numFmtId="167" fontId="0" fillId="0" borderId="0" xfId="0" applyNumberFormat="1"/>
    <xf numFmtId="164" fontId="24" fillId="7" borderId="21" xfId="1" applyNumberFormat="1" applyFont="1" applyFill="1" applyBorder="1"/>
    <xf numFmtId="164" fontId="14" fillId="7" borderId="21" xfId="1" applyNumberFormat="1" applyFont="1" applyFill="1" applyBorder="1"/>
    <xf numFmtId="0" fontId="64" fillId="4" borderId="3" xfId="3" applyFont="1"/>
    <xf numFmtId="6" fontId="64" fillId="4" borderId="3" xfId="3" applyNumberFormat="1" applyFont="1"/>
    <xf numFmtId="0" fontId="65" fillId="4" borderId="3" xfId="13" applyFont="1" applyAlignment="1">
      <alignment horizontal="left" vertical="center"/>
    </xf>
    <xf numFmtId="6" fontId="66" fillId="4" borderId="3" xfId="13" applyNumberFormat="1" applyFont="1"/>
    <xf numFmtId="0" fontId="6" fillId="0" borderId="0" xfId="0" applyFont="1"/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13" borderId="39" xfId="0" applyFont="1" applyFill="1" applyBorder="1" applyProtection="1">
      <protection locked="0"/>
    </xf>
    <xf numFmtId="0" fontId="6" fillId="13" borderId="29" xfId="0" applyFont="1" applyFill="1" applyBorder="1" applyProtection="1">
      <protection locked="0"/>
    </xf>
    <xf numFmtId="0" fontId="6" fillId="13" borderId="26" xfId="0" applyFont="1" applyFill="1" applyBorder="1" applyProtection="1">
      <protection locked="0"/>
    </xf>
    <xf numFmtId="0" fontId="6" fillId="3" borderId="18" xfId="0" applyFont="1" applyFill="1" applyBorder="1" applyProtection="1">
      <protection locked="0"/>
    </xf>
    <xf numFmtId="0" fontId="6" fillId="3" borderId="28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168" fontId="14" fillId="4" borderId="3" xfId="1" applyNumberFormat="1" applyFont="1"/>
    <xf numFmtId="0" fontId="6" fillId="3" borderId="0" xfId="0" applyFont="1" applyFill="1" applyProtection="1">
      <protection locked="0"/>
    </xf>
    <xf numFmtId="164" fontId="9" fillId="7" borderId="21" xfId="1" applyNumberFormat="1" applyFill="1" applyBorder="1"/>
    <xf numFmtId="164" fontId="21" fillId="7" borderId="21" xfId="1" applyNumberFormat="1" applyFont="1" applyFill="1" applyBorder="1"/>
    <xf numFmtId="164" fontId="21" fillId="23" borderId="21" xfId="1" applyNumberFormat="1" applyFont="1" applyFill="1" applyBorder="1"/>
    <xf numFmtId="0" fontId="45" fillId="17" borderId="3" xfId="15" applyFont="1" applyFill="1"/>
    <xf numFmtId="0" fontId="43" fillId="4" borderId="3" xfId="15" applyFont="1"/>
    <xf numFmtId="0" fontId="45" fillId="17" borderId="21" xfId="15" applyFont="1" applyFill="1" applyBorder="1" applyAlignment="1">
      <alignment horizontal="left"/>
    </xf>
    <xf numFmtId="0" fontId="45" fillId="17" borderId="21" xfId="15" applyFont="1" applyFill="1" applyBorder="1" applyAlignment="1">
      <alignment horizontal="center"/>
    </xf>
    <xf numFmtId="0" fontId="45" fillId="17" borderId="21" xfId="15" applyFont="1" applyFill="1" applyBorder="1" applyAlignment="1">
      <alignment horizontal="center" wrapText="1"/>
    </xf>
    <xf numFmtId="49" fontId="9" fillId="4" borderId="3" xfId="15" applyNumberFormat="1" applyAlignment="1">
      <alignment horizontal="center"/>
    </xf>
    <xf numFmtId="3" fontId="48" fillId="4" borderId="21" xfId="15" applyNumberFormat="1" applyFont="1" applyBorder="1"/>
    <xf numFmtId="38" fontId="22" fillId="20" borderId="3" xfId="15" applyNumberFormat="1" applyFont="1" applyFill="1"/>
    <xf numFmtId="10" fontId="50" fillId="4" borderId="21" xfId="5" applyNumberFormat="1" applyFont="1" applyFill="1" applyBorder="1" applyProtection="1"/>
    <xf numFmtId="3" fontId="51" fillId="4" borderId="21" xfId="15" applyNumberFormat="1" applyFont="1" applyBorder="1"/>
    <xf numFmtId="10" fontId="51" fillId="4" borderId="21" xfId="5" applyNumberFormat="1" applyFont="1" applyFill="1" applyBorder="1" applyProtection="1"/>
    <xf numFmtId="38" fontId="40" fillId="20" borderId="3" xfId="15" applyNumberFormat="1" applyFont="1" applyFill="1"/>
    <xf numFmtId="10" fontId="51" fillId="4" borderId="21" xfId="15" applyNumberFormat="1" applyFont="1" applyBorder="1"/>
    <xf numFmtId="10" fontId="52" fillId="4" borderId="21" xfId="15" applyNumberFormat="1" applyFont="1" applyBorder="1"/>
    <xf numFmtId="3" fontId="14" fillId="4" borderId="3" xfId="15" applyNumberFormat="1" applyFont="1"/>
    <xf numFmtId="0" fontId="48" fillId="4" borderId="3" xfId="15" applyFont="1"/>
    <xf numFmtId="3" fontId="53" fillId="4" borderId="3" xfId="15" applyNumberFormat="1" applyFont="1"/>
    <xf numFmtId="38" fontId="14" fillId="4" borderId="3" xfId="15" applyNumberFormat="1" applyFont="1"/>
    <xf numFmtId="0" fontId="22" fillId="4" borderId="3" xfId="15" applyFont="1" applyAlignment="1">
      <alignment horizontal="right"/>
    </xf>
    <xf numFmtId="3" fontId="22" fillId="4" borderId="3" xfId="15" applyNumberFormat="1" applyFont="1"/>
    <xf numFmtId="0" fontId="54" fillId="4" borderId="3" xfId="15" applyFont="1"/>
    <xf numFmtId="0" fontId="40" fillId="4" borderId="3" xfId="15" applyFont="1" applyAlignment="1">
      <alignment horizontal="right"/>
    </xf>
    <xf numFmtId="3" fontId="40" fillId="4" borderId="3" xfId="15" applyNumberFormat="1" applyFont="1"/>
    <xf numFmtId="0" fontId="22" fillId="4" borderId="31" xfId="15" applyFont="1" applyBorder="1" applyAlignment="1">
      <alignment horizontal="right"/>
    </xf>
    <xf numFmtId="38" fontId="22" fillId="4" borderId="31" xfId="15" applyNumberFormat="1" applyFont="1" applyBorder="1"/>
    <xf numFmtId="38" fontId="22" fillId="20" borderId="31" xfId="15" applyNumberFormat="1" applyFont="1" applyFill="1" applyBorder="1"/>
    <xf numFmtId="38" fontId="40" fillId="20" borderId="31" xfId="15" applyNumberFormat="1" applyFont="1" applyFill="1" applyBorder="1"/>
    <xf numFmtId="38" fontId="9" fillId="4" borderId="3" xfId="15" applyNumberFormat="1"/>
    <xf numFmtId="10" fontId="22" fillId="4" borderId="31" xfId="15" applyNumberFormat="1" applyFont="1" applyBorder="1"/>
    <xf numFmtId="10" fontId="22" fillId="20" borderId="31" xfId="15" applyNumberFormat="1" applyFont="1" applyFill="1" applyBorder="1"/>
    <xf numFmtId="10" fontId="40" fillId="20" borderId="31" xfId="15" applyNumberFormat="1" applyFont="1" applyFill="1" applyBorder="1"/>
    <xf numFmtId="38" fontId="48" fillId="4" borderId="3" xfId="15" applyNumberFormat="1" applyFont="1"/>
    <xf numFmtId="0" fontId="55" fillId="4" borderId="3" xfId="15" applyFont="1"/>
    <xf numFmtId="0" fontId="2" fillId="4" borderId="3" xfId="21"/>
    <xf numFmtId="0" fontId="26" fillId="4" borderId="3" xfId="1" applyFont="1" applyAlignment="1">
      <alignment horizontal="center"/>
    </xf>
    <xf numFmtId="0" fontId="12" fillId="6" borderId="5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12" fillId="6" borderId="25" xfId="1" applyFont="1" applyFill="1" applyBorder="1" applyAlignment="1">
      <alignment horizontal="center" wrapText="1"/>
    </xf>
    <xf numFmtId="0" fontId="12" fillId="6" borderId="15" xfId="1" applyFont="1" applyFill="1" applyBorder="1" applyAlignment="1">
      <alignment horizontal="center" wrapText="1"/>
    </xf>
    <xf numFmtId="0" fontId="12" fillId="6" borderId="5" xfId="1" applyFont="1" applyFill="1" applyBorder="1" applyAlignment="1">
      <alignment horizontal="center" vertical="center"/>
    </xf>
    <xf numFmtId="0" fontId="1" fillId="4" borderId="3" xfId="13" applyFont="1"/>
    <xf numFmtId="16" fontId="7" fillId="5" borderId="1" xfId="0" applyNumberFormat="1" applyFont="1" applyFill="1" applyBorder="1" applyAlignment="1" applyProtection="1">
      <alignment horizontal="left" vertical="center" indent="2"/>
      <protection locked="0"/>
    </xf>
    <xf numFmtId="0" fontId="67" fillId="5" borderId="1" xfId="0" applyFont="1" applyFill="1" applyBorder="1" applyAlignment="1" applyProtection="1">
      <alignment horizontal="left" vertical="center" indent="2"/>
      <protection locked="0"/>
    </xf>
    <xf numFmtId="167" fontId="67" fillId="2" borderId="1" xfId="0" applyNumberFormat="1" applyFont="1" applyFill="1" applyBorder="1" applyAlignment="1">
      <alignment horizontal="right" vertical="center"/>
    </xf>
    <xf numFmtId="167" fontId="67" fillId="2" borderId="2" xfId="0" applyNumberFormat="1" applyFont="1" applyFill="1" applyBorder="1" applyAlignment="1">
      <alignment horizontal="right" vertical="center"/>
    </xf>
    <xf numFmtId="6" fontId="32" fillId="4" borderId="3" xfId="1" applyNumberFormat="1" applyFont="1" applyAlignment="1">
      <alignment horizontal="right"/>
    </xf>
    <xf numFmtId="0" fontId="21" fillId="4" borderId="3" xfId="4" applyAlignment="1">
      <alignment horizontal="left"/>
    </xf>
    <xf numFmtId="6" fontId="24" fillId="4" borderId="21" xfId="1" applyNumberFormat="1" applyFont="1" applyBorder="1"/>
    <xf numFmtId="6" fontId="9" fillId="4" borderId="21" xfId="5" applyNumberFormat="1" applyFont="1" applyFill="1" applyBorder="1"/>
    <xf numFmtId="6" fontId="21" fillId="4" borderId="21" xfId="5" applyNumberFormat="1" applyFont="1" applyFill="1" applyBorder="1"/>
    <xf numFmtId="6" fontId="34" fillId="4" borderId="21" xfId="5" applyNumberFormat="1" applyFont="1" applyFill="1" applyBorder="1"/>
    <xf numFmtId="0" fontId="68" fillId="5" borderId="1" xfId="0" applyFont="1" applyFill="1" applyBorder="1" applyAlignment="1" applyProtection="1">
      <alignment horizontal="center" vertical="center"/>
      <protection locked="0"/>
    </xf>
    <xf numFmtId="0" fontId="68" fillId="5" borderId="2" xfId="0" applyFont="1" applyFill="1" applyBorder="1" applyAlignment="1" applyProtection="1">
      <alignment horizontal="center" vertical="center"/>
      <protection locked="0"/>
    </xf>
    <xf numFmtId="6" fontId="66" fillId="0" borderId="3" xfId="13" applyNumberFormat="1" applyFont="1" applyFill="1"/>
    <xf numFmtId="0" fontId="69" fillId="24" borderId="0" xfId="0" applyFont="1" applyFill="1"/>
    <xf numFmtId="0" fontId="69" fillId="25" borderId="1" xfId="0" applyFont="1" applyFill="1" applyBorder="1"/>
    <xf numFmtId="3" fontId="69" fillId="26" borderId="40" xfId="0" applyNumberFormat="1" applyFont="1" applyFill="1" applyBorder="1"/>
    <xf numFmtId="0" fontId="69" fillId="26" borderId="41" xfId="0" applyFont="1" applyFill="1" applyBorder="1"/>
    <xf numFmtId="3" fontId="69" fillId="26" borderId="41" xfId="0" applyNumberFormat="1" applyFont="1" applyFill="1" applyBorder="1"/>
    <xf numFmtId="0" fontId="69" fillId="26" borderId="38" xfId="0" applyFont="1" applyFill="1" applyBorder="1"/>
    <xf numFmtId="3" fontId="69" fillId="26" borderId="38" xfId="0" applyNumberFormat="1" applyFont="1" applyFill="1" applyBorder="1"/>
    <xf numFmtId="0" fontId="6" fillId="5" borderId="42" xfId="0" applyFont="1" applyFill="1" applyBorder="1" applyAlignment="1" applyProtection="1">
      <alignment horizontal="center" vertical="center"/>
      <protection locked="0"/>
    </xf>
    <xf numFmtId="167" fontId="7" fillId="2" borderId="42" xfId="0" applyNumberFormat="1" applyFont="1" applyFill="1" applyBorder="1" applyAlignment="1">
      <alignment horizontal="right" vertical="center"/>
    </xf>
    <xf numFmtId="167" fontId="7" fillId="2" borderId="37" xfId="0" applyNumberFormat="1" applyFont="1" applyFill="1" applyBorder="1" applyAlignment="1">
      <alignment horizontal="right" vertical="center"/>
    </xf>
    <xf numFmtId="0" fontId="6" fillId="5" borderId="43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167" fontId="7" fillId="2" borderId="44" xfId="0" applyNumberFormat="1" applyFont="1" applyFill="1" applyBorder="1" applyAlignment="1">
      <alignment horizontal="right" vertical="center"/>
    </xf>
    <xf numFmtId="0" fontId="8" fillId="0" borderId="3" xfId="12" applyFill="1"/>
    <xf numFmtId="0" fontId="6" fillId="0" borderId="1" xfId="0" applyFont="1" applyBorder="1" applyAlignment="1" applyProtection="1">
      <alignment horizontal="center" vertical="center"/>
      <protection locked="0"/>
    </xf>
    <xf numFmtId="3" fontId="7" fillId="0" borderId="45" xfId="0" applyNumberFormat="1" applyFont="1" applyBorder="1"/>
    <xf numFmtId="0" fontId="7" fillId="0" borderId="0" xfId="0" applyFont="1"/>
    <xf numFmtId="0" fontId="7" fillId="0" borderId="3" xfId="0" applyFont="1" applyBorder="1"/>
    <xf numFmtId="0" fontId="7" fillId="0" borderId="45" xfId="0" applyFont="1" applyBorder="1"/>
    <xf numFmtId="3" fontId="7" fillId="0" borderId="3" xfId="0" applyNumberFormat="1" applyFont="1" applyBorder="1"/>
    <xf numFmtId="0" fontId="69" fillId="24" borderId="0" xfId="0" applyFont="1" applyFill="1" applyAlignment="1">
      <alignment horizontal="center"/>
    </xf>
    <xf numFmtId="16" fontId="69" fillId="25" borderId="37" xfId="0" applyNumberFormat="1" applyFont="1" applyFill="1" applyBorder="1" applyAlignment="1">
      <alignment horizontal="center"/>
    </xf>
    <xf numFmtId="0" fontId="69" fillId="25" borderId="37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left"/>
      <protection locked="0"/>
    </xf>
    <xf numFmtId="0" fontId="70" fillId="25" borderId="1" xfId="0" applyFont="1" applyFill="1" applyBorder="1" applyAlignment="1">
      <alignment horizontal="center"/>
    </xf>
    <xf numFmtId="0" fontId="70" fillId="25" borderId="37" xfId="0" applyFont="1" applyFill="1" applyBorder="1" applyAlignment="1">
      <alignment horizontal="center"/>
    </xf>
    <xf numFmtId="0" fontId="70" fillId="25" borderId="38" xfId="0" applyFont="1" applyFill="1" applyBorder="1" applyAlignment="1">
      <alignment horizontal="center"/>
    </xf>
    <xf numFmtId="0" fontId="70" fillId="25" borderId="41" xfId="0" applyFont="1" applyFill="1" applyBorder="1" applyAlignment="1">
      <alignment horizontal="center"/>
    </xf>
    <xf numFmtId="0" fontId="7" fillId="4" borderId="3" xfId="12" applyFont="1"/>
    <xf numFmtId="0" fontId="7" fillId="0" borderId="0" xfId="0" applyFont="1" applyAlignment="1">
      <alignment horizont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26" fillId="4" borderId="3" xfId="1" applyFont="1" applyAlignment="1">
      <alignment horizontal="center"/>
    </xf>
    <xf numFmtId="0" fontId="12" fillId="6" borderId="28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/>
    </xf>
    <xf numFmtId="0" fontId="12" fillId="6" borderId="6" xfId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63" fillId="4" borderId="3" xfId="1" applyFont="1" applyAlignment="1">
      <alignment horizontal="center"/>
    </xf>
    <xf numFmtId="0" fontId="26" fillId="4" borderId="28" xfId="1" applyFont="1" applyBorder="1" applyAlignment="1">
      <alignment horizontal="center"/>
    </xf>
    <xf numFmtId="0" fontId="29" fillId="10" borderId="23" xfId="1" applyFont="1" applyFill="1" applyBorder="1" applyAlignment="1">
      <alignment horizontal="center"/>
    </xf>
    <xf numFmtId="0" fontId="29" fillId="10" borderId="24" xfId="1" applyFont="1" applyFill="1" applyBorder="1" applyAlignment="1">
      <alignment horizontal="center"/>
    </xf>
    <xf numFmtId="0" fontId="29" fillId="10" borderId="20" xfId="1" applyFont="1" applyFill="1" applyBorder="1" applyAlignment="1">
      <alignment horizontal="center"/>
    </xf>
    <xf numFmtId="0" fontId="12" fillId="10" borderId="23" xfId="1" applyFont="1" applyFill="1" applyBorder="1" applyAlignment="1">
      <alignment horizontal="center" vertical="center"/>
    </xf>
    <xf numFmtId="0" fontId="12" fillId="10" borderId="24" xfId="1" applyFont="1" applyFill="1" applyBorder="1" applyAlignment="1">
      <alignment horizontal="center" vertical="center"/>
    </xf>
    <xf numFmtId="0" fontId="12" fillId="10" borderId="20" xfId="1" applyFont="1" applyFill="1" applyBorder="1" applyAlignment="1">
      <alignment horizontal="center" vertical="center"/>
    </xf>
    <xf numFmtId="0" fontId="12" fillId="6" borderId="26" xfId="1" applyFont="1" applyFill="1" applyBorder="1" applyAlignment="1">
      <alignment horizontal="center" wrapText="1"/>
    </xf>
    <xf numFmtId="0" fontId="12" fillId="6" borderId="30" xfId="1" applyFont="1" applyFill="1" applyBorder="1" applyAlignment="1">
      <alignment horizontal="center" wrapText="1"/>
    </xf>
    <xf numFmtId="0" fontId="12" fillId="6" borderId="22" xfId="1" applyFont="1" applyFill="1" applyBorder="1" applyAlignment="1">
      <alignment horizontal="center" wrapText="1"/>
    </xf>
    <xf numFmtId="0" fontId="12" fillId="6" borderId="25" xfId="1" applyFont="1" applyFill="1" applyBorder="1" applyAlignment="1">
      <alignment horizontal="center" wrapText="1"/>
    </xf>
    <xf numFmtId="0" fontId="12" fillId="6" borderId="27" xfId="1" applyFont="1" applyFill="1" applyBorder="1" applyAlignment="1">
      <alignment horizontal="center" wrapText="1"/>
    </xf>
    <xf numFmtId="0" fontId="12" fillId="6" borderId="15" xfId="1" applyFont="1" applyFill="1" applyBorder="1" applyAlignment="1">
      <alignment horizontal="center" wrapText="1"/>
    </xf>
    <xf numFmtId="0" fontId="25" fillId="4" borderId="28" xfId="1" applyFont="1" applyBorder="1" applyAlignment="1">
      <alignment horizontal="center"/>
    </xf>
    <xf numFmtId="0" fontId="12" fillId="10" borderId="23" xfId="1" applyFont="1" applyFill="1" applyBorder="1" applyAlignment="1">
      <alignment horizontal="center"/>
    </xf>
    <xf numFmtId="0" fontId="12" fillId="10" borderId="24" xfId="1" applyFont="1" applyFill="1" applyBorder="1" applyAlignment="1">
      <alignment horizontal="center"/>
    </xf>
    <xf numFmtId="0" fontId="12" fillId="10" borderId="20" xfId="1" applyFont="1" applyFill="1" applyBorder="1" applyAlignment="1">
      <alignment horizontal="center"/>
    </xf>
    <xf numFmtId="0" fontId="12" fillId="6" borderId="25" xfId="1" applyFont="1" applyFill="1" applyBorder="1" applyAlignment="1">
      <alignment horizontal="left" vertical="center" wrapText="1"/>
    </xf>
    <xf numFmtId="0" fontId="12" fillId="6" borderId="27" xfId="1" applyFont="1" applyFill="1" applyBorder="1" applyAlignment="1">
      <alignment horizontal="left" vertical="center" wrapText="1"/>
    </xf>
    <xf numFmtId="0" fontId="12" fillId="6" borderId="15" xfId="1" applyFont="1" applyFill="1" applyBorder="1" applyAlignment="1">
      <alignment horizontal="left" vertical="center" wrapText="1"/>
    </xf>
    <xf numFmtId="0" fontId="25" fillId="4" borderId="3" xfId="1" applyFont="1" applyAlignment="1">
      <alignment horizontal="center"/>
    </xf>
    <xf numFmtId="0" fontId="45" fillId="17" borderId="23" xfId="0" applyFont="1" applyFill="1" applyBorder="1" applyAlignment="1">
      <alignment horizontal="center"/>
    </xf>
    <xf numFmtId="0" fontId="45" fillId="17" borderId="20" xfId="0" applyFont="1" applyFill="1" applyBorder="1" applyAlignment="1">
      <alignment horizontal="center"/>
    </xf>
    <xf numFmtId="0" fontId="46" fillId="17" borderId="23" xfId="4" applyFont="1" applyFill="1" applyBorder="1" applyAlignment="1">
      <alignment horizontal="center" vertical="center" wrapText="1"/>
    </xf>
    <xf numFmtId="0" fontId="46" fillId="17" borderId="20" xfId="4" applyFont="1" applyFill="1" applyBorder="1" applyAlignment="1">
      <alignment horizontal="center" vertical="center" wrapText="1"/>
    </xf>
    <xf numFmtId="0" fontId="46" fillId="18" borderId="23" xfId="4" applyFont="1" applyFill="1" applyBorder="1" applyAlignment="1">
      <alignment horizontal="center" vertical="center" wrapText="1"/>
    </xf>
    <xf numFmtId="0" fontId="46" fillId="18" borderId="20" xfId="4" applyFont="1" applyFill="1" applyBorder="1" applyAlignment="1">
      <alignment horizontal="center" vertical="center" wrapText="1"/>
    </xf>
    <xf numFmtId="0" fontId="46" fillId="18" borderId="20" xfId="4" applyFont="1" applyFill="1" applyBorder="1" applyAlignment="1">
      <alignment horizontal="center" vertical="center"/>
    </xf>
    <xf numFmtId="0" fontId="40" fillId="20" borderId="0" xfId="0" applyFont="1" applyFill="1" applyAlignment="1">
      <alignment horizontal="center" wrapText="1"/>
    </xf>
    <xf numFmtId="10" fontId="51" fillId="0" borderId="23" xfId="0" applyNumberFormat="1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46" fillId="19" borderId="23" xfId="4" applyFont="1" applyFill="1" applyBorder="1" applyAlignment="1">
      <alignment horizontal="center" vertical="center" wrapText="1"/>
    </xf>
    <xf numFmtId="0" fontId="46" fillId="19" borderId="20" xfId="4" applyFont="1" applyFill="1" applyBorder="1" applyAlignment="1">
      <alignment horizontal="center" vertical="center" wrapText="1"/>
    </xf>
    <xf numFmtId="0" fontId="47" fillId="9" borderId="23" xfId="4" applyFont="1" applyFill="1" applyBorder="1" applyAlignment="1">
      <alignment horizontal="center" vertical="center" wrapText="1"/>
    </xf>
    <xf numFmtId="0" fontId="47" fillId="9" borderId="20" xfId="4" applyFont="1" applyFill="1" applyBorder="1" applyAlignment="1">
      <alignment horizontal="center" vertical="center" wrapText="1"/>
    </xf>
    <xf numFmtId="0" fontId="40" fillId="20" borderId="3" xfId="15" applyFont="1" applyFill="1" applyAlignment="1">
      <alignment horizontal="center" wrapText="1"/>
    </xf>
    <xf numFmtId="10" fontId="51" fillId="4" borderId="23" xfId="15" applyNumberFormat="1" applyFont="1" applyBorder="1" applyAlignment="1">
      <alignment horizontal="center"/>
    </xf>
    <xf numFmtId="0" fontId="51" fillId="4" borderId="20" xfId="15" applyFont="1" applyBorder="1" applyAlignment="1">
      <alignment horizontal="center"/>
    </xf>
    <xf numFmtId="0" fontId="45" fillId="17" borderId="23" xfId="15" applyFont="1" applyFill="1" applyBorder="1" applyAlignment="1">
      <alignment horizontal="center"/>
    </xf>
    <xf numFmtId="0" fontId="45" fillId="17" borderId="20" xfId="15" applyFont="1" applyFill="1" applyBorder="1" applyAlignment="1">
      <alignment horizontal="center"/>
    </xf>
  </cellXfs>
  <cellStyles count="22">
    <cellStyle name="Comma 10" xfId="16" xr:uid="{3897495B-9F0B-4FA1-854D-5DF58C01F6C7}"/>
    <cellStyle name="Currency 10" xfId="11" xr:uid="{7ED48381-4620-4EC5-92E6-D4B3833AE932}"/>
    <cellStyle name="Currency 2" xfId="6" xr:uid="{A14331DE-F3EB-4279-9BD3-A70061830253}"/>
    <cellStyle name="Normal" xfId="0" builtinId="0"/>
    <cellStyle name="Normal - Style1 2" xfId="15" xr:uid="{B2ED32B0-21A0-4FFC-B6A5-620B097142BE}"/>
    <cellStyle name="Normal - Style1 2 2" xfId="18" xr:uid="{BFB279A5-CD2D-412D-B122-AEED20393645}"/>
    <cellStyle name="Normal 163 3 2" xfId="4" xr:uid="{461D7A14-1260-4374-8DA3-9A095FCB29B0}"/>
    <cellStyle name="Normal 2" xfId="1" xr:uid="{DA259DD1-A522-4BA7-AAD0-83AC3341018D}"/>
    <cellStyle name="Normal 2 2" xfId="10" xr:uid="{39572871-95BB-4ACB-B268-1E56EA9758E9}"/>
    <cellStyle name="Normal 3" xfId="3" xr:uid="{A8F33CDF-E8F3-4FD0-BFFA-7E99A5064EF6}"/>
    <cellStyle name="Normal 4" xfId="7" xr:uid="{76FEE1D7-C1F5-4B70-8929-2AB92D84672D}"/>
    <cellStyle name="Normal 4 2" xfId="21" xr:uid="{EA8F8D0E-9BDE-4153-8697-BAEC8EBBD9D6}"/>
    <cellStyle name="Normal 5" xfId="12" xr:uid="{48858302-BA03-4C99-A7A1-3EB7DEB27114}"/>
    <cellStyle name="Normal 6" xfId="13" xr:uid="{006B2751-E620-4C58-9814-9425B20DB76E}"/>
    <cellStyle name="Normal 7" xfId="14" xr:uid="{52D474DC-2F78-4C81-9146-3677DC94B8E7}"/>
    <cellStyle name="Normal 8" xfId="19" xr:uid="{1BAAA2A2-48FE-4EE6-B2FD-236603C115CA}"/>
    <cellStyle name="Normal 9" xfId="20" xr:uid="{FFC57128-57FB-4C96-ACB9-B016244A291B}"/>
    <cellStyle name="Normal_Costall5-98" xfId="2" xr:uid="{3243F245-EF22-4FC1-8AFE-9DA2FC1FE1B2}"/>
    <cellStyle name="Percent 10" xfId="17" xr:uid="{FDB2B500-8AE1-489B-8AF0-2038B6A72AF5}"/>
    <cellStyle name="Percent 2" xfId="5" xr:uid="{35F4B4D7-2461-4AE1-99FF-1050B7641940}"/>
    <cellStyle name="Percent 2 12" xfId="8" xr:uid="{5DA4E8BD-7F95-46E0-B7B9-51AF45A15023}"/>
    <cellStyle name="Percent 54 2" xfId="9" xr:uid="{EFE51C61-EB74-4DFF-9CD7-7D7126FB1E3A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CCFF"/>
      <color rgb="FF9E9EBE"/>
      <color rgb="FFE8EEF7"/>
      <color rgb="FFC6E0B4"/>
      <color rgb="FFD9E1F2"/>
      <color rgb="FFBEB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lissa Gates" id="{54E2D340-572B-49A4-9FF3-FAC192F95B79}" userId="S::GatesM@CalACES.org::4819db97-2631-4760-9373-fb832a08827a" providerId="AD"/>
  <person displayName="Britt Carlsen" id="{3577532D-8FE3-4BC2-B3B5-67547A517027}" userId="S::CarlsenB@CalACES.org::74ef3845-6f9f-430e-942e-3bc0a2aeb2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68" dT="2023-10-19T22:17:04.34" personId="{3577532D-8FE3-4BC2-B3B5-67547A517027}" id="{8E7376E2-1C20-4583-8556-9C59581D94CF}">
    <text>Had to manually reference the NAD # from calcs as difference between NAD and MO was not accurate.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2" dT="2022-01-28T23:18:20.90" personId="{3577532D-8FE3-4BC2-B3B5-67547A517027}" id="{96552FA6-0BBC-4866-AB90-8C73E2602859}">
    <text>Requires updating each year. Column H and I on CW Sharing Tables tab are updated based on new Persons Count and impact Column J %'s. Work with Tracy.</text>
  </threadedComment>
  <threadedComment ref="AE11" dT="2021-01-27T17:53:30.92" personId="{3577532D-8FE3-4BC2-B3B5-67547A517027}" id="{B5A979A7-F824-4848-A30A-47676B09206A}">
    <text>El Dorado has not opted in to GA/GR</text>
  </threadedComment>
  <threadedComment ref="AE38" dT="2021-01-27T17:53:30.92" personId="{3577532D-8FE3-4BC2-B3B5-67547A517027}" id="{4665BCF6-AF6B-4152-93E8-2C1F3A4FD307}">
    <text>San Bernardino has not opted in to GA/GR</text>
  </threadedComment>
  <threadedComment ref="H62" dT="2022-01-28T01:08:22.09" personId="{3577532D-8FE3-4BC2-B3B5-67547A517027}" id="{2DAFBA53-04B6-48D2-9C13-7D388F870EEF}">
    <text>Roundup not working; added 0.0001 to match OSI's calcuation on the Source Data tab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Q2" dT="2022-01-28T23:18:20.90" personId="{3577532D-8FE3-4BC2-B3B5-67547A517027}" id="{C397D52B-804E-4F52-B2DC-E234F38FAF9E}">
    <text>Requires updating each year. Column H and I on CW Sharing Tables tab are updated based on new Persons Count and impact Column J %'s. Work with Tracy.</text>
  </threadedComment>
  <threadedComment ref="H62" dT="2023-01-26T14:40:29.78" personId="{54E2D340-572B-49A4-9FF3-FAC192F95B79}" id="{71C17AA9-225A-466C-B5E1-E795AF64E48F}">
    <text>Round down to match OSI's count on Source Data tab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DAE1-67D7-4ACA-BE38-65F99EE2C4C1}">
  <sheetPr>
    <tabColor rgb="FF9EE7F8"/>
  </sheetPr>
  <dimension ref="A1:F26"/>
  <sheetViews>
    <sheetView tabSelected="1" zoomScaleNormal="100" workbookViewId="0"/>
  </sheetViews>
  <sheetFormatPr defaultColWidth="9.140625" defaultRowHeight="15" x14ac:dyDescent="0.25"/>
  <cols>
    <col min="1" max="1" width="9.140625" style="132"/>
    <col min="2" max="2" width="46.85546875" style="133" customWidth="1"/>
    <col min="3" max="3" width="97" style="134" customWidth="1"/>
    <col min="4" max="16384" width="9.140625" style="123"/>
  </cols>
  <sheetData>
    <row r="1" spans="1:3" x14ac:dyDescent="0.25">
      <c r="A1" s="120" t="s">
        <v>0</v>
      </c>
      <c r="B1" s="121" t="s">
        <v>1</v>
      </c>
      <c r="C1" s="122" t="s">
        <v>2</v>
      </c>
    </row>
    <row r="2" spans="1:3" x14ac:dyDescent="0.25">
      <c r="A2" s="124" t="s">
        <v>3</v>
      </c>
      <c r="B2" s="125" t="s">
        <v>4</v>
      </c>
      <c r="C2" s="126" t="s">
        <v>5</v>
      </c>
    </row>
    <row r="3" spans="1:3" x14ac:dyDescent="0.25">
      <c r="A3" s="124" t="s">
        <v>3</v>
      </c>
      <c r="B3" s="125" t="s">
        <v>6</v>
      </c>
      <c r="C3" s="126" t="s">
        <v>7</v>
      </c>
    </row>
    <row r="4" spans="1:3" ht="17.25" customHeight="1" x14ac:dyDescent="0.25">
      <c r="A4" s="124" t="s">
        <v>3</v>
      </c>
      <c r="B4" s="125" t="s">
        <v>8</v>
      </c>
      <c r="C4" s="126" t="s">
        <v>9</v>
      </c>
    </row>
    <row r="5" spans="1:3" x14ac:dyDescent="0.25">
      <c r="A5" s="127" t="s">
        <v>10</v>
      </c>
      <c r="B5" s="125" t="s">
        <v>11</v>
      </c>
      <c r="C5" s="221" t="s">
        <v>12</v>
      </c>
    </row>
    <row r="6" spans="1:3" x14ac:dyDescent="0.25">
      <c r="A6" s="128" t="s">
        <v>13</v>
      </c>
      <c r="B6" s="125" t="s">
        <v>14</v>
      </c>
      <c r="C6" s="126" t="s">
        <v>15</v>
      </c>
    </row>
    <row r="7" spans="1:3" x14ac:dyDescent="0.25">
      <c r="A7" s="128" t="s">
        <v>16</v>
      </c>
      <c r="B7" s="125" t="s">
        <v>17</v>
      </c>
      <c r="C7" s="126" t="s">
        <v>18</v>
      </c>
    </row>
    <row r="8" spans="1:3" x14ac:dyDescent="0.25">
      <c r="A8" s="128" t="s">
        <v>19</v>
      </c>
      <c r="B8" s="125" t="s">
        <v>20</v>
      </c>
      <c r="C8" s="126" t="s">
        <v>21</v>
      </c>
    </row>
    <row r="9" spans="1:3" x14ac:dyDescent="0.25">
      <c r="A9" s="128" t="s">
        <v>22</v>
      </c>
      <c r="B9" s="125" t="s">
        <v>23</v>
      </c>
      <c r="C9" s="126" t="s">
        <v>24</v>
      </c>
    </row>
    <row r="10" spans="1:3" x14ac:dyDescent="0.25">
      <c r="A10" s="129" t="s">
        <v>25</v>
      </c>
      <c r="B10" s="125" t="s">
        <v>26</v>
      </c>
      <c r="C10" s="126" t="s">
        <v>27</v>
      </c>
    </row>
    <row r="11" spans="1:3" x14ac:dyDescent="0.25">
      <c r="A11" s="129" t="s">
        <v>28</v>
      </c>
      <c r="B11" s="125" t="s">
        <v>23</v>
      </c>
      <c r="C11" s="126" t="s">
        <v>29</v>
      </c>
    </row>
    <row r="12" spans="1:3" x14ac:dyDescent="0.25">
      <c r="A12" s="130" t="s">
        <v>30</v>
      </c>
      <c r="B12" s="125" t="s">
        <v>31</v>
      </c>
      <c r="C12" s="126" t="s">
        <v>32</v>
      </c>
    </row>
    <row r="13" spans="1:3" x14ac:dyDescent="0.25">
      <c r="A13" s="130" t="s">
        <v>33</v>
      </c>
      <c r="B13" s="125" t="s">
        <v>34</v>
      </c>
      <c r="C13" s="126" t="s">
        <v>35</v>
      </c>
    </row>
    <row r="14" spans="1:3" x14ac:dyDescent="0.25">
      <c r="A14" s="131" t="s">
        <v>36</v>
      </c>
      <c r="B14" s="125" t="s">
        <v>37</v>
      </c>
      <c r="C14" s="126" t="s">
        <v>38</v>
      </c>
    </row>
    <row r="15" spans="1:3" x14ac:dyDescent="0.25">
      <c r="A15" s="131" t="s">
        <v>39</v>
      </c>
      <c r="B15" s="125" t="s">
        <v>40</v>
      </c>
      <c r="C15" s="126" t="s">
        <v>41</v>
      </c>
    </row>
    <row r="16" spans="1:3" x14ac:dyDescent="0.25">
      <c r="A16" s="293"/>
    </row>
    <row r="17" spans="1:6" x14ac:dyDescent="0.25">
      <c r="A17" s="293"/>
      <c r="B17" s="123"/>
      <c r="C17" s="123"/>
    </row>
    <row r="18" spans="1:6" x14ac:dyDescent="0.25">
      <c r="A18" s="123"/>
      <c r="B18"/>
      <c r="C18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</sheetData>
  <phoneticPr fontId="62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5DE3-DF7C-4B5A-81ED-03F0C1D41B28}">
  <sheetPr>
    <tabColor theme="5" tint="0.59999389629810485"/>
  </sheetPr>
  <dimension ref="A1:AG47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2.42578125" defaultRowHeight="15" x14ac:dyDescent="0.25"/>
  <cols>
    <col min="1" max="1" width="15" style="109" bestFit="1" customWidth="1"/>
    <col min="2" max="2" width="13.5703125" style="109" customWidth="1"/>
    <col min="3" max="17" width="16.7109375" style="109" customWidth="1"/>
    <col min="18" max="16384" width="12.42578125" style="109"/>
  </cols>
  <sheetData>
    <row r="1" spans="1:33" x14ac:dyDescent="0.25">
      <c r="A1" s="108" t="s">
        <v>141</v>
      </c>
      <c r="B1" s="182" t="s">
        <v>176</v>
      </c>
    </row>
    <row r="2" spans="1:33" s="317" customFormat="1" ht="14.45" customHeight="1" x14ac:dyDescent="0.2">
      <c r="A2" s="236"/>
      <c r="B2" s="237"/>
      <c r="C2" s="238"/>
      <c r="D2" s="1" t="s">
        <v>144</v>
      </c>
      <c r="E2" s="1" t="s">
        <v>144</v>
      </c>
      <c r="F2" s="1" t="s">
        <v>144</v>
      </c>
      <c r="G2" s="1" t="s">
        <v>144</v>
      </c>
      <c r="H2" s="311" t="s">
        <v>144</v>
      </c>
      <c r="I2" s="1" t="s">
        <v>145</v>
      </c>
      <c r="J2" s="1" t="s">
        <v>145</v>
      </c>
      <c r="K2" s="1" t="s">
        <v>145</v>
      </c>
      <c r="L2" s="1" t="s">
        <v>145</v>
      </c>
      <c r="M2" s="311" t="s">
        <v>145</v>
      </c>
      <c r="N2" s="1" t="s">
        <v>146</v>
      </c>
      <c r="O2" s="1" t="s">
        <v>146</v>
      </c>
      <c r="P2" s="1" t="s">
        <v>146</v>
      </c>
      <c r="Q2" s="1" t="s">
        <v>146</v>
      </c>
      <c r="R2" s="311" t="s">
        <v>146</v>
      </c>
      <c r="S2" s="1" t="s">
        <v>147</v>
      </c>
      <c r="T2" s="1" t="s">
        <v>147</v>
      </c>
      <c r="U2" s="1" t="s">
        <v>147</v>
      </c>
      <c r="V2" s="1" t="s">
        <v>147</v>
      </c>
      <c r="W2" s="311" t="s">
        <v>147</v>
      </c>
      <c r="X2" s="1" t="s">
        <v>148</v>
      </c>
      <c r="Y2" s="1" t="s">
        <v>148</v>
      </c>
      <c r="Z2" s="1" t="s">
        <v>148</v>
      </c>
      <c r="AA2" s="1" t="s">
        <v>148</v>
      </c>
      <c r="AB2" s="311" t="s">
        <v>148</v>
      </c>
      <c r="AC2" s="1" t="s">
        <v>149</v>
      </c>
      <c r="AD2" s="1" t="s">
        <v>149</v>
      </c>
      <c r="AE2" s="1" t="s">
        <v>149</v>
      </c>
      <c r="AF2" s="1" t="s">
        <v>149</v>
      </c>
      <c r="AG2" s="1" t="s">
        <v>149</v>
      </c>
    </row>
    <row r="3" spans="1:33" s="317" customFormat="1" ht="14.45" customHeight="1" x14ac:dyDescent="0.2">
      <c r="A3" s="239" t="s">
        <v>150</v>
      </c>
      <c r="B3" s="240" t="s">
        <v>151</v>
      </c>
      <c r="C3" s="241" t="s">
        <v>152</v>
      </c>
      <c r="D3" s="1" t="s">
        <v>45</v>
      </c>
      <c r="E3" s="1" t="s">
        <v>46</v>
      </c>
      <c r="F3" s="1" t="s">
        <v>118</v>
      </c>
      <c r="G3" s="308" t="s">
        <v>159</v>
      </c>
      <c r="H3" s="312" t="s">
        <v>163</v>
      </c>
      <c r="I3" s="235" t="s">
        <v>45</v>
      </c>
      <c r="J3" s="1" t="s">
        <v>46</v>
      </c>
      <c r="K3" s="1" t="s">
        <v>118</v>
      </c>
      <c r="L3" s="308" t="s">
        <v>159</v>
      </c>
      <c r="M3" s="312" t="s">
        <v>163</v>
      </c>
      <c r="N3" s="235" t="s">
        <v>45</v>
      </c>
      <c r="O3" s="1" t="s">
        <v>46</v>
      </c>
      <c r="P3" s="1" t="s">
        <v>118</v>
      </c>
      <c r="Q3" s="308" t="s">
        <v>159</v>
      </c>
      <c r="R3" s="312" t="s">
        <v>163</v>
      </c>
      <c r="S3" s="235" t="s">
        <v>45</v>
      </c>
      <c r="T3" s="1" t="s">
        <v>46</v>
      </c>
      <c r="U3" s="1" t="s">
        <v>118</v>
      </c>
      <c r="V3" s="308" t="s">
        <v>159</v>
      </c>
      <c r="W3" s="312" t="s">
        <v>163</v>
      </c>
      <c r="X3" s="235" t="s">
        <v>45</v>
      </c>
      <c r="Y3" s="1" t="s">
        <v>46</v>
      </c>
      <c r="Z3" s="1" t="s">
        <v>118</v>
      </c>
      <c r="AA3" s="308" t="s">
        <v>159</v>
      </c>
      <c r="AB3" s="312" t="s">
        <v>163</v>
      </c>
      <c r="AC3" s="235" t="s">
        <v>45</v>
      </c>
      <c r="AD3" s="1" t="s">
        <v>46</v>
      </c>
      <c r="AE3" s="1" t="s">
        <v>118</v>
      </c>
      <c r="AF3" s="308" t="s">
        <v>159</v>
      </c>
      <c r="AG3" s="312" t="s">
        <v>163</v>
      </c>
    </row>
    <row r="4" spans="1:33" s="317" customFormat="1" ht="14.45" customHeight="1" x14ac:dyDescent="0.2">
      <c r="A4" s="3" t="s">
        <v>49</v>
      </c>
      <c r="B4" s="288">
        <v>45161</v>
      </c>
      <c r="C4" s="3" t="s">
        <v>177</v>
      </c>
      <c r="D4" s="224">
        <v>55879</v>
      </c>
      <c r="E4" s="224">
        <v>282</v>
      </c>
      <c r="F4" s="224">
        <v>823</v>
      </c>
      <c r="G4" s="309">
        <v>0</v>
      </c>
      <c r="H4" s="313">
        <v>235279</v>
      </c>
      <c r="I4" s="310">
        <v>27940</v>
      </c>
      <c r="J4" s="224">
        <v>0</v>
      </c>
      <c r="K4" s="224">
        <v>0</v>
      </c>
      <c r="L4" s="309">
        <v>0</v>
      </c>
      <c r="M4" s="313">
        <v>115922</v>
      </c>
      <c r="N4" s="310">
        <v>19558</v>
      </c>
      <c r="O4" s="224">
        <v>197</v>
      </c>
      <c r="P4" s="225">
        <v>0</v>
      </c>
      <c r="Q4" s="309">
        <v>0</v>
      </c>
      <c r="R4" s="313">
        <v>20626</v>
      </c>
      <c r="S4" s="310">
        <v>0</v>
      </c>
      <c r="T4" s="224">
        <v>0</v>
      </c>
      <c r="U4" s="224">
        <v>0</v>
      </c>
      <c r="V4" s="309">
        <v>0</v>
      </c>
      <c r="W4" s="313">
        <v>89442</v>
      </c>
      <c r="X4" s="310">
        <v>8381</v>
      </c>
      <c r="Y4" s="224">
        <v>85</v>
      </c>
      <c r="Z4" s="224">
        <v>823</v>
      </c>
      <c r="AA4" s="309">
        <v>0</v>
      </c>
      <c r="AB4" s="316">
        <v>9289</v>
      </c>
      <c r="AC4" s="317">
        <v>0</v>
      </c>
      <c r="AD4" s="317">
        <v>0</v>
      </c>
      <c r="AE4" s="317">
        <v>0</v>
      </c>
      <c r="AF4" s="318">
        <v>0</v>
      </c>
      <c r="AG4" s="319">
        <v>0</v>
      </c>
    </row>
    <row r="5" spans="1:33" s="317" customFormat="1" ht="14.45" customHeight="1" x14ac:dyDescent="0.2">
      <c r="A5" s="3" t="s">
        <v>49</v>
      </c>
      <c r="B5" s="288">
        <v>45192</v>
      </c>
      <c r="C5" s="3" t="s">
        <v>177</v>
      </c>
      <c r="D5" s="224">
        <v>111</v>
      </c>
      <c r="E5" s="224">
        <v>1</v>
      </c>
      <c r="F5" s="224">
        <v>2</v>
      </c>
      <c r="G5" s="309">
        <v>0</v>
      </c>
      <c r="H5" s="313">
        <v>467</v>
      </c>
      <c r="I5" s="310">
        <v>56</v>
      </c>
      <c r="J5" s="224">
        <v>0</v>
      </c>
      <c r="K5" s="224">
        <v>0</v>
      </c>
      <c r="L5" s="309">
        <v>0</v>
      </c>
      <c r="M5" s="313">
        <v>231</v>
      </c>
      <c r="N5" s="310">
        <v>39</v>
      </c>
      <c r="O5" s="224">
        <v>1</v>
      </c>
      <c r="P5" s="225">
        <v>0</v>
      </c>
      <c r="Q5" s="309">
        <v>0</v>
      </c>
      <c r="R5" s="313">
        <v>41</v>
      </c>
      <c r="S5" s="310">
        <v>0</v>
      </c>
      <c r="T5" s="224">
        <v>0</v>
      </c>
      <c r="U5" s="224">
        <v>0</v>
      </c>
      <c r="V5" s="309">
        <v>0</v>
      </c>
      <c r="W5" s="313">
        <v>177</v>
      </c>
      <c r="X5" s="310">
        <v>16</v>
      </c>
      <c r="Y5" s="224">
        <v>0</v>
      </c>
      <c r="Z5" s="224">
        <v>2</v>
      </c>
      <c r="AA5" s="309">
        <v>0</v>
      </c>
      <c r="AB5" s="319">
        <v>18</v>
      </c>
      <c r="AC5" s="317">
        <v>0</v>
      </c>
      <c r="AD5" s="317">
        <v>0</v>
      </c>
      <c r="AE5" s="317">
        <v>0</v>
      </c>
      <c r="AF5" s="318">
        <v>0</v>
      </c>
      <c r="AG5" s="319">
        <v>0</v>
      </c>
    </row>
    <row r="6" spans="1:33" s="317" customFormat="1" ht="14.45" customHeight="1" x14ac:dyDescent="0.2">
      <c r="A6" s="3" t="s">
        <v>49</v>
      </c>
      <c r="B6" s="288">
        <v>45192</v>
      </c>
      <c r="C6" s="3" t="s">
        <v>178</v>
      </c>
      <c r="D6" s="224">
        <v>31488</v>
      </c>
      <c r="E6" s="224">
        <v>159</v>
      </c>
      <c r="F6" s="224">
        <v>464</v>
      </c>
      <c r="G6" s="309">
        <v>0</v>
      </c>
      <c r="H6" s="313">
        <v>132580</v>
      </c>
      <c r="I6" s="310">
        <v>15744</v>
      </c>
      <c r="J6" s="224">
        <v>0</v>
      </c>
      <c r="K6" s="224">
        <v>0</v>
      </c>
      <c r="L6" s="309">
        <v>0</v>
      </c>
      <c r="M6" s="313">
        <v>65322</v>
      </c>
      <c r="N6" s="310">
        <v>11021</v>
      </c>
      <c r="O6" s="224">
        <v>111</v>
      </c>
      <c r="P6" s="225">
        <v>0</v>
      </c>
      <c r="Q6" s="309">
        <v>0</v>
      </c>
      <c r="R6" s="313">
        <v>11623</v>
      </c>
      <c r="S6" s="310">
        <v>0</v>
      </c>
      <c r="T6" s="224">
        <v>0</v>
      </c>
      <c r="U6" s="224">
        <v>0</v>
      </c>
      <c r="V6" s="309">
        <v>0</v>
      </c>
      <c r="W6" s="313">
        <v>50400</v>
      </c>
      <c r="X6" s="310">
        <v>4723</v>
      </c>
      <c r="Y6" s="224">
        <v>48</v>
      </c>
      <c r="Z6" s="224">
        <v>464</v>
      </c>
      <c r="AA6" s="309">
        <v>0</v>
      </c>
      <c r="AB6" s="316">
        <v>5235</v>
      </c>
      <c r="AC6" s="317">
        <v>0</v>
      </c>
      <c r="AD6" s="317">
        <v>0</v>
      </c>
      <c r="AE6" s="317">
        <v>0</v>
      </c>
      <c r="AF6" s="318">
        <v>0</v>
      </c>
      <c r="AG6" s="319">
        <v>0</v>
      </c>
    </row>
    <row r="7" spans="1:33" s="317" customFormat="1" ht="14.45" customHeight="1" x14ac:dyDescent="0.2">
      <c r="A7" s="3" t="s">
        <v>49</v>
      </c>
      <c r="B7" s="288">
        <v>45222</v>
      </c>
      <c r="C7" s="3" t="s">
        <v>160</v>
      </c>
      <c r="D7" s="224">
        <v>32889</v>
      </c>
      <c r="E7" s="224">
        <v>166</v>
      </c>
      <c r="F7" s="224">
        <v>485</v>
      </c>
      <c r="G7" s="309">
        <v>0</v>
      </c>
      <c r="H7" s="313">
        <v>138481</v>
      </c>
      <c r="I7" s="310">
        <v>16445</v>
      </c>
      <c r="J7" s="224">
        <v>0</v>
      </c>
      <c r="K7" s="224">
        <v>0</v>
      </c>
      <c r="L7" s="309">
        <v>0</v>
      </c>
      <c r="M7" s="313">
        <v>68230</v>
      </c>
      <c r="N7" s="310">
        <v>11511</v>
      </c>
      <c r="O7" s="224">
        <v>116</v>
      </c>
      <c r="P7" s="225">
        <v>0</v>
      </c>
      <c r="Q7" s="309">
        <v>0</v>
      </c>
      <c r="R7" s="313">
        <v>12140</v>
      </c>
      <c r="S7" s="310">
        <v>0</v>
      </c>
      <c r="T7" s="224">
        <v>0</v>
      </c>
      <c r="U7" s="224">
        <v>0</v>
      </c>
      <c r="V7" s="309">
        <v>0</v>
      </c>
      <c r="W7" s="313">
        <v>52643</v>
      </c>
      <c r="X7" s="310">
        <v>4933</v>
      </c>
      <c r="Y7" s="224">
        <v>50</v>
      </c>
      <c r="Z7" s="224">
        <v>485</v>
      </c>
      <c r="AA7" s="309">
        <v>0</v>
      </c>
      <c r="AB7" s="316">
        <v>5468</v>
      </c>
      <c r="AC7" s="317">
        <v>0</v>
      </c>
      <c r="AD7" s="317">
        <v>0</v>
      </c>
      <c r="AE7" s="317">
        <v>0</v>
      </c>
      <c r="AF7" s="318">
        <v>0</v>
      </c>
      <c r="AG7" s="319">
        <v>0</v>
      </c>
    </row>
    <row r="8" spans="1:33" s="317" customFormat="1" ht="14.45" customHeight="1" x14ac:dyDescent="0.2">
      <c r="A8" s="3" t="s">
        <v>56</v>
      </c>
      <c r="B8" s="288">
        <v>45192</v>
      </c>
      <c r="C8" s="3" t="s">
        <v>177</v>
      </c>
      <c r="D8" s="224">
        <v>36190</v>
      </c>
      <c r="E8" s="224">
        <v>183</v>
      </c>
      <c r="F8" s="224">
        <v>533</v>
      </c>
      <c r="G8" s="309">
        <v>0</v>
      </c>
      <c r="H8" s="313">
        <v>152381</v>
      </c>
      <c r="I8" s="310">
        <v>18095</v>
      </c>
      <c r="J8" s="224">
        <v>0</v>
      </c>
      <c r="K8" s="224">
        <v>0</v>
      </c>
      <c r="L8" s="309">
        <v>0</v>
      </c>
      <c r="M8" s="313">
        <v>75078</v>
      </c>
      <c r="N8" s="310">
        <v>12667</v>
      </c>
      <c r="O8" s="224">
        <v>128</v>
      </c>
      <c r="P8" s="225">
        <v>0</v>
      </c>
      <c r="Q8" s="309">
        <v>0</v>
      </c>
      <c r="R8" s="313">
        <v>13359</v>
      </c>
      <c r="S8" s="310">
        <v>0</v>
      </c>
      <c r="T8" s="224">
        <v>0</v>
      </c>
      <c r="U8" s="224">
        <v>0</v>
      </c>
      <c r="V8" s="309">
        <v>0</v>
      </c>
      <c r="W8" s="313">
        <v>57928</v>
      </c>
      <c r="X8" s="310">
        <v>5428</v>
      </c>
      <c r="Y8" s="224">
        <v>55</v>
      </c>
      <c r="Z8" s="224">
        <v>533</v>
      </c>
      <c r="AA8" s="309">
        <v>0</v>
      </c>
      <c r="AB8" s="316">
        <v>6016</v>
      </c>
      <c r="AC8" s="317">
        <v>0</v>
      </c>
      <c r="AD8" s="317">
        <v>0</v>
      </c>
      <c r="AE8" s="317">
        <v>0</v>
      </c>
      <c r="AF8" s="318">
        <v>0</v>
      </c>
      <c r="AG8" s="319">
        <v>0</v>
      </c>
    </row>
    <row r="9" spans="1:33" s="317" customFormat="1" ht="14.45" customHeight="1" x14ac:dyDescent="0.2">
      <c r="A9" s="3" t="s">
        <v>56</v>
      </c>
      <c r="B9" s="288">
        <v>45192</v>
      </c>
      <c r="C9" s="3" t="s">
        <v>178</v>
      </c>
      <c r="D9" s="224">
        <v>36</v>
      </c>
      <c r="E9" s="224">
        <v>0</v>
      </c>
      <c r="F9" s="224">
        <v>1</v>
      </c>
      <c r="G9" s="309">
        <v>0</v>
      </c>
      <c r="H9" s="313">
        <v>151</v>
      </c>
      <c r="I9" s="310">
        <v>18</v>
      </c>
      <c r="J9" s="224">
        <v>0</v>
      </c>
      <c r="K9" s="224">
        <v>0</v>
      </c>
      <c r="L9" s="309">
        <v>0</v>
      </c>
      <c r="M9" s="313">
        <v>74</v>
      </c>
      <c r="N9" s="310">
        <v>13</v>
      </c>
      <c r="O9" s="224">
        <v>0</v>
      </c>
      <c r="P9" s="225">
        <v>0</v>
      </c>
      <c r="Q9" s="309">
        <v>0</v>
      </c>
      <c r="R9" s="313">
        <v>13</v>
      </c>
      <c r="S9" s="310">
        <v>0</v>
      </c>
      <c r="T9" s="224">
        <v>0</v>
      </c>
      <c r="U9" s="224">
        <v>0</v>
      </c>
      <c r="V9" s="309">
        <v>0</v>
      </c>
      <c r="W9" s="313">
        <v>58</v>
      </c>
      <c r="X9" s="310">
        <v>5</v>
      </c>
      <c r="Y9" s="224">
        <v>0</v>
      </c>
      <c r="Z9" s="224">
        <v>1</v>
      </c>
      <c r="AA9" s="309">
        <v>0</v>
      </c>
      <c r="AB9" s="319">
        <v>6</v>
      </c>
      <c r="AC9" s="317">
        <v>0</v>
      </c>
      <c r="AD9" s="317">
        <v>0</v>
      </c>
      <c r="AE9" s="317">
        <v>0</v>
      </c>
      <c r="AF9" s="318">
        <v>0</v>
      </c>
      <c r="AG9" s="319">
        <v>0</v>
      </c>
    </row>
    <row r="10" spans="1:33" s="317" customFormat="1" ht="14.45" customHeight="1" x14ac:dyDescent="0.2">
      <c r="A10" s="3" t="s">
        <v>59</v>
      </c>
      <c r="B10" s="288">
        <v>45161</v>
      </c>
      <c r="C10" s="3" t="s">
        <v>177</v>
      </c>
      <c r="D10" s="224">
        <v>65962</v>
      </c>
      <c r="E10" s="224">
        <v>333</v>
      </c>
      <c r="F10" s="224">
        <v>972</v>
      </c>
      <c r="G10" s="309">
        <v>0</v>
      </c>
      <c r="H10" s="313">
        <v>277734</v>
      </c>
      <c r="I10" s="310">
        <v>32981</v>
      </c>
      <c r="J10" s="224">
        <v>0</v>
      </c>
      <c r="K10" s="224">
        <v>0</v>
      </c>
      <c r="L10" s="309">
        <v>0</v>
      </c>
      <c r="M10" s="313">
        <v>136840</v>
      </c>
      <c r="N10" s="310">
        <v>23087</v>
      </c>
      <c r="O10" s="224">
        <v>233</v>
      </c>
      <c r="P10" s="225">
        <v>0</v>
      </c>
      <c r="Q10" s="309">
        <v>0</v>
      </c>
      <c r="R10" s="313">
        <v>24347</v>
      </c>
      <c r="S10" s="310">
        <v>0</v>
      </c>
      <c r="T10" s="224">
        <v>0</v>
      </c>
      <c r="U10" s="224">
        <v>0</v>
      </c>
      <c r="V10" s="309">
        <v>0</v>
      </c>
      <c r="W10" s="313">
        <v>105581</v>
      </c>
      <c r="X10" s="310">
        <v>9894</v>
      </c>
      <c r="Y10" s="224">
        <v>100</v>
      </c>
      <c r="Z10" s="224">
        <v>972</v>
      </c>
      <c r="AA10" s="309">
        <v>0</v>
      </c>
      <c r="AB10" s="316">
        <v>10966</v>
      </c>
      <c r="AC10" s="317">
        <v>0</v>
      </c>
      <c r="AD10" s="317">
        <v>0</v>
      </c>
      <c r="AE10" s="317">
        <v>0</v>
      </c>
      <c r="AF10" s="318">
        <v>0</v>
      </c>
      <c r="AG10" s="319">
        <v>0</v>
      </c>
    </row>
    <row r="11" spans="1:33" s="317" customFormat="1" ht="14.45" customHeight="1" x14ac:dyDescent="0.2">
      <c r="A11" s="3" t="s">
        <v>59</v>
      </c>
      <c r="B11" s="288">
        <v>45192</v>
      </c>
      <c r="C11" s="3" t="s">
        <v>178</v>
      </c>
      <c r="D11" s="224">
        <v>49925</v>
      </c>
      <c r="E11" s="224">
        <v>252</v>
      </c>
      <c r="F11" s="224">
        <v>736</v>
      </c>
      <c r="G11" s="309">
        <v>0</v>
      </c>
      <c r="H11" s="313">
        <v>210210</v>
      </c>
      <c r="I11" s="310">
        <v>24963</v>
      </c>
      <c r="J11" s="224">
        <v>0</v>
      </c>
      <c r="K11" s="224">
        <v>0</v>
      </c>
      <c r="L11" s="309">
        <v>0</v>
      </c>
      <c r="M11" s="313">
        <v>103571</v>
      </c>
      <c r="N11" s="310">
        <v>17474</v>
      </c>
      <c r="O11" s="224">
        <v>176</v>
      </c>
      <c r="P11" s="225">
        <v>0</v>
      </c>
      <c r="Q11" s="309">
        <v>0</v>
      </c>
      <c r="R11" s="313">
        <v>18427</v>
      </c>
      <c r="S11" s="310">
        <v>0</v>
      </c>
      <c r="T11" s="224">
        <v>0</v>
      </c>
      <c r="U11" s="224">
        <v>0</v>
      </c>
      <c r="V11" s="309">
        <v>0</v>
      </c>
      <c r="W11" s="313">
        <v>79912</v>
      </c>
      <c r="X11" s="310">
        <v>7488</v>
      </c>
      <c r="Y11" s="224">
        <v>76</v>
      </c>
      <c r="Z11" s="224">
        <v>736</v>
      </c>
      <c r="AA11" s="309">
        <v>0</v>
      </c>
      <c r="AB11" s="316">
        <v>8300</v>
      </c>
      <c r="AC11" s="317">
        <v>0</v>
      </c>
      <c r="AD11" s="317">
        <v>0</v>
      </c>
      <c r="AE11" s="317">
        <v>0</v>
      </c>
      <c r="AF11" s="318">
        <v>0</v>
      </c>
      <c r="AG11" s="319">
        <v>0</v>
      </c>
    </row>
    <row r="12" spans="1:33" s="317" customFormat="1" ht="14.45" customHeight="1" x14ac:dyDescent="0.2">
      <c r="A12" s="3" t="s">
        <v>59</v>
      </c>
      <c r="B12" s="288">
        <v>45222</v>
      </c>
      <c r="C12" s="3" t="s">
        <v>160</v>
      </c>
      <c r="D12" s="224">
        <v>21542</v>
      </c>
      <c r="E12" s="224">
        <v>109</v>
      </c>
      <c r="F12" s="224">
        <v>317</v>
      </c>
      <c r="G12" s="309">
        <v>0</v>
      </c>
      <c r="H12" s="313">
        <v>90703</v>
      </c>
      <c r="I12" s="310">
        <v>10771</v>
      </c>
      <c r="J12" s="224">
        <v>0</v>
      </c>
      <c r="K12" s="224">
        <v>0</v>
      </c>
      <c r="L12" s="309">
        <v>0</v>
      </c>
      <c r="M12" s="313">
        <v>44689</v>
      </c>
      <c r="N12" s="310">
        <v>7540</v>
      </c>
      <c r="O12" s="224">
        <v>76</v>
      </c>
      <c r="P12" s="225">
        <v>0</v>
      </c>
      <c r="Q12" s="309">
        <v>0</v>
      </c>
      <c r="R12" s="313">
        <v>7952</v>
      </c>
      <c r="S12" s="310">
        <v>0</v>
      </c>
      <c r="T12" s="224">
        <v>0</v>
      </c>
      <c r="U12" s="224">
        <v>0</v>
      </c>
      <c r="V12" s="309">
        <v>0</v>
      </c>
      <c r="W12" s="313">
        <v>34481</v>
      </c>
      <c r="X12" s="310">
        <v>3231</v>
      </c>
      <c r="Y12" s="224">
        <v>33</v>
      </c>
      <c r="Z12" s="224">
        <v>317</v>
      </c>
      <c r="AA12" s="309">
        <v>0</v>
      </c>
      <c r="AB12" s="316">
        <v>3581</v>
      </c>
      <c r="AC12" s="317">
        <v>0</v>
      </c>
      <c r="AD12" s="317">
        <v>0</v>
      </c>
      <c r="AE12" s="317">
        <v>0</v>
      </c>
      <c r="AF12" s="318">
        <v>0</v>
      </c>
      <c r="AG12" s="319">
        <v>0</v>
      </c>
    </row>
    <row r="13" spans="1:33" s="317" customFormat="1" ht="14.45" customHeight="1" x14ac:dyDescent="0.2">
      <c r="A13" s="3" t="s">
        <v>79</v>
      </c>
      <c r="B13" s="288">
        <v>45161</v>
      </c>
      <c r="C13" s="3" t="s">
        <v>177</v>
      </c>
      <c r="D13" s="224">
        <v>2593</v>
      </c>
      <c r="E13" s="224">
        <v>13</v>
      </c>
      <c r="F13" s="224">
        <v>38</v>
      </c>
      <c r="G13" s="309">
        <v>0</v>
      </c>
      <c r="H13" s="313">
        <v>10917</v>
      </c>
      <c r="I13" s="310">
        <v>1297</v>
      </c>
      <c r="J13" s="224">
        <v>0</v>
      </c>
      <c r="K13" s="224">
        <v>0</v>
      </c>
      <c r="L13" s="309">
        <v>0</v>
      </c>
      <c r="M13" s="313">
        <v>5380</v>
      </c>
      <c r="N13" s="310">
        <v>908</v>
      </c>
      <c r="O13" s="224">
        <v>9</v>
      </c>
      <c r="P13" s="225">
        <v>0</v>
      </c>
      <c r="Q13" s="309">
        <v>0</v>
      </c>
      <c r="R13" s="313">
        <v>957</v>
      </c>
      <c r="S13" s="310">
        <v>0</v>
      </c>
      <c r="T13" s="224">
        <v>0</v>
      </c>
      <c r="U13" s="224">
        <v>0</v>
      </c>
      <c r="V13" s="309">
        <v>0</v>
      </c>
      <c r="W13" s="313">
        <v>4150</v>
      </c>
      <c r="X13" s="310">
        <v>388</v>
      </c>
      <c r="Y13" s="224">
        <v>4</v>
      </c>
      <c r="Z13" s="224">
        <v>38</v>
      </c>
      <c r="AA13" s="309">
        <v>0</v>
      </c>
      <c r="AB13" s="319">
        <v>430</v>
      </c>
      <c r="AC13" s="317">
        <v>0</v>
      </c>
      <c r="AD13" s="317">
        <v>0</v>
      </c>
      <c r="AE13" s="317">
        <v>0</v>
      </c>
      <c r="AF13" s="318">
        <v>0</v>
      </c>
      <c r="AG13" s="319">
        <v>0</v>
      </c>
    </row>
    <row r="14" spans="1:33" s="317" customFormat="1" ht="14.45" customHeight="1" x14ac:dyDescent="0.2">
      <c r="A14" s="3" t="s">
        <v>79</v>
      </c>
      <c r="B14" s="288">
        <v>45192</v>
      </c>
      <c r="C14" s="3" t="s">
        <v>178</v>
      </c>
      <c r="D14" s="224">
        <v>60613</v>
      </c>
      <c r="E14" s="224">
        <v>306</v>
      </c>
      <c r="F14" s="224">
        <v>893</v>
      </c>
      <c r="G14" s="309">
        <v>0</v>
      </c>
      <c r="H14" s="313">
        <v>255214</v>
      </c>
      <c r="I14" s="310">
        <v>30307</v>
      </c>
      <c r="J14" s="224">
        <v>0</v>
      </c>
      <c r="K14" s="224">
        <v>0</v>
      </c>
      <c r="L14" s="309">
        <v>0</v>
      </c>
      <c r="M14" s="313">
        <v>125744</v>
      </c>
      <c r="N14" s="310">
        <v>21214</v>
      </c>
      <c r="O14" s="224">
        <v>214</v>
      </c>
      <c r="P14" s="225">
        <v>0</v>
      </c>
      <c r="Q14" s="309">
        <v>0</v>
      </c>
      <c r="R14" s="313">
        <v>22372</v>
      </c>
      <c r="S14" s="310">
        <v>0</v>
      </c>
      <c r="T14" s="224">
        <v>0</v>
      </c>
      <c r="U14" s="224">
        <v>0</v>
      </c>
      <c r="V14" s="309">
        <v>0</v>
      </c>
      <c r="W14" s="313">
        <v>97021</v>
      </c>
      <c r="X14" s="310">
        <v>9092</v>
      </c>
      <c r="Y14" s="224">
        <v>92</v>
      </c>
      <c r="Z14" s="224">
        <v>893</v>
      </c>
      <c r="AA14" s="309">
        <v>0</v>
      </c>
      <c r="AB14" s="316">
        <v>10077</v>
      </c>
      <c r="AC14" s="317">
        <v>0</v>
      </c>
      <c r="AD14" s="317">
        <v>0</v>
      </c>
      <c r="AE14" s="317">
        <v>0</v>
      </c>
      <c r="AF14" s="318">
        <v>0</v>
      </c>
      <c r="AG14" s="319">
        <v>0</v>
      </c>
    </row>
    <row r="15" spans="1:33" s="317" customFormat="1" ht="14.45" customHeight="1" x14ac:dyDescent="0.2">
      <c r="A15" s="3" t="s">
        <v>79</v>
      </c>
      <c r="B15" s="288">
        <v>45222</v>
      </c>
      <c r="C15" s="3" t="s">
        <v>160</v>
      </c>
      <c r="D15" s="224">
        <v>41195</v>
      </c>
      <c r="E15" s="224">
        <v>209</v>
      </c>
      <c r="F15" s="224">
        <v>607</v>
      </c>
      <c r="G15" s="309">
        <v>0</v>
      </c>
      <c r="H15" s="313">
        <v>173455</v>
      </c>
      <c r="I15" s="310">
        <v>20598</v>
      </c>
      <c r="J15" s="224">
        <v>0</v>
      </c>
      <c r="K15" s="224">
        <v>0</v>
      </c>
      <c r="L15" s="309">
        <v>0</v>
      </c>
      <c r="M15" s="313">
        <v>85461</v>
      </c>
      <c r="N15" s="310">
        <v>14418</v>
      </c>
      <c r="O15" s="224">
        <v>146</v>
      </c>
      <c r="P15" s="225">
        <v>0</v>
      </c>
      <c r="Q15" s="309">
        <v>0</v>
      </c>
      <c r="R15" s="313">
        <v>15206</v>
      </c>
      <c r="S15" s="310">
        <v>0</v>
      </c>
      <c r="T15" s="224">
        <v>0</v>
      </c>
      <c r="U15" s="224">
        <v>0</v>
      </c>
      <c r="V15" s="309">
        <v>0</v>
      </c>
      <c r="W15" s="313">
        <v>65939</v>
      </c>
      <c r="X15" s="310">
        <v>6179</v>
      </c>
      <c r="Y15" s="224">
        <v>63</v>
      </c>
      <c r="Z15" s="224">
        <v>607</v>
      </c>
      <c r="AA15" s="309">
        <v>0</v>
      </c>
      <c r="AB15" s="316">
        <v>6849</v>
      </c>
      <c r="AC15" s="317">
        <v>0</v>
      </c>
      <c r="AD15" s="317">
        <v>0</v>
      </c>
      <c r="AE15" s="317">
        <v>0</v>
      </c>
      <c r="AF15" s="318">
        <v>0</v>
      </c>
      <c r="AG15" s="319">
        <v>0</v>
      </c>
    </row>
    <row r="16" spans="1:33" s="317" customFormat="1" ht="14.45" customHeight="1" x14ac:dyDescent="0.2">
      <c r="A16" s="3" t="s">
        <v>80</v>
      </c>
      <c r="B16" s="288">
        <v>45161</v>
      </c>
      <c r="C16" s="3" t="s">
        <v>177</v>
      </c>
      <c r="D16" s="224">
        <v>500</v>
      </c>
      <c r="E16" s="224">
        <v>3</v>
      </c>
      <c r="F16" s="224">
        <v>7</v>
      </c>
      <c r="G16" s="309">
        <v>0</v>
      </c>
      <c r="H16" s="313">
        <v>2107</v>
      </c>
      <c r="I16" s="310">
        <v>250</v>
      </c>
      <c r="J16" s="224">
        <v>0</v>
      </c>
      <c r="K16" s="224">
        <v>0</v>
      </c>
      <c r="L16" s="309">
        <v>0</v>
      </c>
      <c r="M16" s="313">
        <v>1038</v>
      </c>
      <c r="N16" s="310">
        <v>175</v>
      </c>
      <c r="O16" s="224">
        <v>2</v>
      </c>
      <c r="P16" s="225">
        <v>0</v>
      </c>
      <c r="Q16" s="309">
        <v>0</v>
      </c>
      <c r="R16" s="313">
        <v>185</v>
      </c>
      <c r="S16" s="310">
        <v>0</v>
      </c>
      <c r="T16" s="224">
        <v>0</v>
      </c>
      <c r="U16" s="224">
        <v>0</v>
      </c>
      <c r="V16" s="309">
        <v>0</v>
      </c>
      <c r="W16" s="313">
        <v>801</v>
      </c>
      <c r="X16" s="310">
        <v>75</v>
      </c>
      <c r="Y16" s="224">
        <v>1</v>
      </c>
      <c r="Z16" s="224">
        <v>7</v>
      </c>
      <c r="AA16" s="309">
        <v>0</v>
      </c>
      <c r="AB16" s="319">
        <v>83</v>
      </c>
      <c r="AC16" s="317">
        <v>0</v>
      </c>
      <c r="AD16" s="317">
        <v>0</v>
      </c>
      <c r="AE16" s="317">
        <v>0</v>
      </c>
      <c r="AF16" s="318">
        <v>0</v>
      </c>
      <c r="AG16" s="319">
        <v>0</v>
      </c>
    </row>
    <row r="17" spans="1:33" s="317" customFormat="1" ht="14.45" customHeight="1" x14ac:dyDescent="0.2">
      <c r="A17" s="3" t="s">
        <v>80</v>
      </c>
      <c r="B17" s="288">
        <v>45222</v>
      </c>
      <c r="C17" s="3" t="s">
        <v>178</v>
      </c>
      <c r="D17" s="224">
        <v>500</v>
      </c>
      <c r="E17" s="224">
        <v>3</v>
      </c>
      <c r="F17" s="224">
        <v>7</v>
      </c>
      <c r="G17" s="309">
        <v>0</v>
      </c>
      <c r="H17" s="313">
        <v>2107</v>
      </c>
      <c r="I17" s="310">
        <v>250</v>
      </c>
      <c r="J17" s="224">
        <v>0</v>
      </c>
      <c r="K17" s="224">
        <v>0</v>
      </c>
      <c r="L17" s="309">
        <v>0</v>
      </c>
      <c r="M17" s="313">
        <v>1038</v>
      </c>
      <c r="N17" s="310">
        <v>175</v>
      </c>
      <c r="O17" s="224">
        <v>2</v>
      </c>
      <c r="P17" s="225">
        <v>0</v>
      </c>
      <c r="Q17" s="309">
        <v>0</v>
      </c>
      <c r="R17" s="313">
        <v>185</v>
      </c>
      <c r="S17" s="310">
        <v>0</v>
      </c>
      <c r="T17" s="224">
        <v>0</v>
      </c>
      <c r="U17" s="224">
        <v>0</v>
      </c>
      <c r="V17" s="309">
        <v>0</v>
      </c>
      <c r="W17" s="313">
        <v>801</v>
      </c>
      <c r="X17" s="310">
        <v>75</v>
      </c>
      <c r="Y17" s="224">
        <v>1</v>
      </c>
      <c r="Z17" s="224">
        <v>7</v>
      </c>
      <c r="AA17" s="309">
        <v>0</v>
      </c>
      <c r="AB17" s="319">
        <v>83</v>
      </c>
      <c r="AC17" s="317">
        <v>0</v>
      </c>
      <c r="AD17" s="317">
        <v>0</v>
      </c>
      <c r="AE17" s="317">
        <v>0</v>
      </c>
      <c r="AF17" s="318">
        <v>0</v>
      </c>
      <c r="AG17" s="319">
        <v>0</v>
      </c>
    </row>
    <row r="18" spans="1:33" s="317" customFormat="1" ht="14.45" customHeight="1" x14ac:dyDescent="0.2">
      <c r="A18" s="3" t="s">
        <v>80</v>
      </c>
      <c r="B18" s="288">
        <v>45222</v>
      </c>
      <c r="C18" s="3" t="s">
        <v>160</v>
      </c>
      <c r="D18" s="224">
        <v>517</v>
      </c>
      <c r="E18" s="224">
        <v>3</v>
      </c>
      <c r="F18" s="224">
        <v>8</v>
      </c>
      <c r="G18" s="309">
        <v>0</v>
      </c>
      <c r="H18" s="313">
        <v>2177</v>
      </c>
      <c r="I18" s="310">
        <v>259</v>
      </c>
      <c r="J18" s="224">
        <v>0</v>
      </c>
      <c r="K18" s="224">
        <v>0</v>
      </c>
      <c r="L18" s="309">
        <v>0</v>
      </c>
      <c r="M18" s="313">
        <v>1072</v>
      </c>
      <c r="N18" s="310">
        <v>181</v>
      </c>
      <c r="O18" s="224">
        <v>2</v>
      </c>
      <c r="P18" s="225">
        <v>0</v>
      </c>
      <c r="Q18" s="309">
        <v>0</v>
      </c>
      <c r="R18" s="313">
        <v>192</v>
      </c>
      <c r="S18" s="310">
        <v>0</v>
      </c>
      <c r="T18" s="224">
        <v>0</v>
      </c>
      <c r="U18" s="224">
        <v>0</v>
      </c>
      <c r="V18" s="309">
        <v>0</v>
      </c>
      <c r="W18" s="313">
        <v>827</v>
      </c>
      <c r="X18" s="310">
        <v>77</v>
      </c>
      <c r="Y18" s="224">
        <v>1</v>
      </c>
      <c r="Z18" s="224">
        <v>8</v>
      </c>
      <c r="AA18" s="309">
        <v>0</v>
      </c>
      <c r="AB18" s="319">
        <v>86</v>
      </c>
      <c r="AC18" s="317">
        <v>0</v>
      </c>
      <c r="AD18" s="317">
        <v>0</v>
      </c>
      <c r="AE18" s="317">
        <v>0</v>
      </c>
      <c r="AF18" s="318">
        <v>0</v>
      </c>
      <c r="AG18" s="319">
        <v>0</v>
      </c>
    </row>
    <row r="19" spans="1:33" s="317" customFormat="1" ht="14.45" customHeight="1" x14ac:dyDescent="0.2">
      <c r="A19" s="3" t="s">
        <v>83</v>
      </c>
      <c r="B19" s="288">
        <v>45161</v>
      </c>
      <c r="C19" s="3" t="s">
        <v>177</v>
      </c>
      <c r="D19" s="224">
        <v>52702</v>
      </c>
      <c r="E19" s="224">
        <v>266</v>
      </c>
      <c r="F19" s="224">
        <v>777</v>
      </c>
      <c r="G19" s="309">
        <v>0</v>
      </c>
      <c r="H19" s="313">
        <v>221902</v>
      </c>
      <c r="I19" s="310">
        <v>26351</v>
      </c>
      <c r="J19" s="224">
        <v>0</v>
      </c>
      <c r="K19" s="224">
        <v>0</v>
      </c>
      <c r="L19" s="309">
        <v>0</v>
      </c>
      <c r="M19" s="313">
        <v>109331</v>
      </c>
      <c r="N19" s="310">
        <v>18446</v>
      </c>
      <c r="O19" s="224">
        <v>186</v>
      </c>
      <c r="P19" s="225">
        <v>0</v>
      </c>
      <c r="Q19" s="309">
        <v>0</v>
      </c>
      <c r="R19" s="313">
        <v>19453</v>
      </c>
      <c r="S19" s="310">
        <v>0</v>
      </c>
      <c r="T19" s="224">
        <v>0</v>
      </c>
      <c r="U19" s="224">
        <v>0</v>
      </c>
      <c r="V19" s="309">
        <v>0</v>
      </c>
      <c r="W19" s="313">
        <v>84356</v>
      </c>
      <c r="X19" s="310">
        <v>7905</v>
      </c>
      <c r="Y19" s="224">
        <v>80</v>
      </c>
      <c r="Z19" s="224">
        <v>777</v>
      </c>
      <c r="AA19" s="309">
        <v>0</v>
      </c>
      <c r="AB19" s="316">
        <v>8762</v>
      </c>
      <c r="AC19" s="317">
        <v>0</v>
      </c>
      <c r="AD19" s="317">
        <v>0</v>
      </c>
      <c r="AE19" s="317">
        <v>0</v>
      </c>
      <c r="AF19" s="318">
        <v>0</v>
      </c>
      <c r="AG19" s="319">
        <v>0</v>
      </c>
    </row>
    <row r="20" spans="1:33" s="317" customFormat="1" ht="14.45" customHeight="1" x14ac:dyDescent="0.2">
      <c r="A20" s="3" t="s">
        <v>83</v>
      </c>
      <c r="B20" s="288">
        <v>45192</v>
      </c>
      <c r="C20" s="3" t="s">
        <v>178</v>
      </c>
      <c r="D20" s="224">
        <v>53857</v>
      </c>
      <c r="E20" s="224">
        <v>272</v>
      </c>
      <c r="F20" s="224">
        <v>794</v>
      </c>
      <c r="G20" s="309">
        <v>0</v>
      </c>
      <c r="H20" s="313">
        <v>226765</v>
      </c>
      <c r="I20" s="310">
        <v>26929</v>
      </c>
      <c r="J20" s="224">
        <v>0</v>
      </c>
      <c r="K20" s="224">
        <v>0</v>
      </c>
      <c r="L20" s="309">
        <v>0</v>
      </c>
      <c r="M20" s="313">
        <v>111727</v>
      </c>
      <c r="N20" s="310">
        <v>18850</v>
      </c>
      <c r="O20" s="224">
        <v>190</v>
      </c>
      <c r="P20" s="225">
        <v>0</v>
      </c>
      <c r="Q20" s="309">
        <v>0</v>
      </c>
      <c r="R20" s="313">
        <v>19879</v>
      </c>
      <c r="S20" s="310">
        <v>0</v>
      </c>
      <c r="T20" s="224">
        <v>0</v>
      </c>
      <c r="U20" s="224">
        <v>0</v>
      </c>
      <c r="V20" s="309">
        <v>0</v>
      </c>
      <c r="W20" s="313">
        <v>86205</v>
      </c>
      <c r="X20" s="310">
        <v>8078</v>
      </c>
      <c r="Y20" s="224">
        <v>82</v>
      </c>
      <c r="Z20" s="224">
        <v>794</v>
      </c>
      <c r="AA20" s="309">
        <v>0</v>
      </c>
      <c r="AB20" s="316">
        <v>8954</v>
      </c>
      <c r="AC20" s="317">
        <v>0</v>
      </c>
      <c r="AD20" s="317">
        <v>0</v>
      </c>
      <c r="AE20" s="317">
        <v>0</v>
      </c>
      <c r="AF20" s="318">
        <v>0</v>
      </c>
      <c r="AG20" s="319">
        <v>0</v>
      </c>
    </row>
    <row r="21" spans="1:33" s="317" customFormat="1" ht="14.45" customHeight="1" x14ac:dyDescent="0.2">
      <c r="A21" s="3" t="s">
        <v>83</v>
      </c>
      <c r="B21" s="288">
        <v>45222</v>
      </c>
      <c r="C21" s="3" t="s">
        <v>160</v>
      </c>
      <c r="D21" s="224">
        <v>76753</v>
      </c>
      <c r="E21" s="224">
        <v>388</v>
      </c>
      <c r="F21" s="224">
        <v>1131</v>
      </c>
      <c r="G21" s="309">
        <v>0</v>
      </c>
      <c r="H21" s="313">
        <v>323170</v>
      </c>
      <c r="I21" s="310">
        <v>38377</v>
      </c>
      <c r="J21" s="224">
        <v>0</v>
      </c>
      <c r="K21" s="224">
        <v>0</v>
      </c>
      <c r="L21" s="309">
        <v>0</v>
      </c>
      <c r="M21" s="313">
        <v>159226</v>
      </c>
      <c r="N21" s="310">
        <v>26864</v>
      </c>
      <c r="O21" s="224">
        <v>272</v>
      </c>
      <c r="P21" s="225">
        <v>0</v>
      </c>
      <c r="Q21" s="309">
        <v>0</v>
      </c>
      <c r="R21" s="313">
        <v>28332</v>
      </c>
      <c r="S21" s="310">
        <v>0</v>
      </c>
      <c r="T21" s="224">
        <v>0</v>
      </c>
      <c r="U21" s="224">
        <v>0</v>
      </c>
      <c r="V21" s="309">
        <v>0</v>
      </c>
      <c r="W21" s="313">
        <v>122853</v>
      </c>
      <c r="X21" s="310">
        <v>11512</v>
      </c>
      <c r="Y21" s="224">
        <v>116</v>
      </c>
      <c r="Z21" s="224">
        <v>1131</v>
      </c>
      <c r="AA21" s="309">
        <v>0</v>
      </c>
      <c r="AB21" s="316">
        <v>12759</v>
      </c>
      <c r="AC21" s="317">
        <v>0</v>
      </c>
      <c r="AD21" s="317">
        <v>0</v>
      </c>
      <c r="AE21" s="317">
        <v>0</v>
      </c>
      <c r="AF21" s="318">
        <v>0</v>
      </c>
      <c r="AG21" s="319">
        <v>0</v>
      </c>
    </row>
    <row r="22" spans="1:33" s="317" customFormat="1" ht="14.45" customHeight="1" x14ac:dyDescent="0.2">
      <c r="A22" s="3" t="s">
        <v>86</v>
      </c>
      <c r="B22" s="288">
        <v>45222</v>
      </c>
      <c r="C22" s="3" t="s">
        <v>160</v>
      </c>
      <c r="D22" s="224">
        <v>58557</v>
      </c>
      <c r="E22" s="224">
        <v>296</v>
      </c>
      <c r="F22" s="224">
        <v>863</v>
      </c>
      <c r="G22" s="309">
        <v>0</v>
      </c>
      <c r="H22" s="313">
        <v>246554</v>
      </c>
      <c r="I22" s="310">
        <v>29279</v>
      </c>
      <c r="J22" s="224">
        <v>0</v>
      </c>
      <c r="K22" s="224">
        <v>0</v>
      </c>
      <c r="L22" s="309">
        <v>0</v>
      </c>
      <c r="M22" s="313">
        <v>121477</v>
      </c>
      <c r="N22" s="310">
        <v>20495</v>
      </c>
      <c r="O22" s="224">
        <v>207</v>
      </c>
      <c r="P22" s="225">
        <v>0</v>
      </c>
      <c r="Q22" s="309">
        <v>0</v>
      </c>
      <c r="R22" s="313">
        <v>21614</v>
      </c>
      <c r="S22" s="310">
        <v>0</v>
      </c>
      <c r="T22" s="224">
        <v>0</v>
      </c>
      <c r="U22" s="224">
        <v>0</v>
      </c>
      <c r="V22" s="309">
        <v>0</v>
      </c>
      <c r="W22" s="313">
        <v>93728</v>
      </c>
      <c r="X22" s="310">
        <v>8783</v>
      </c>
      <c r="Y22" s="224">
        <v>89</v>
      </c>
      <c r="Z22" s="224">
        <v>863</v>
      </c>
      <c r="AA22" s="309">
        <v>0</v>
      </c>
      <c r="AB22" s="316">
        <v>9735</v>
      </c>
      <c r="AC22" s="317">
        <v>0</v>
      </c>
      <c r="AD22" s="317">
        <v>0</v>
      </c>
      <c r="AE22" s="317">
        <v>0</v>
      </c>
      <c r="AF22" s="318">
        <v>0</v>
      </c>
      <c r="AG22" s="319">
        <v>0</v>
      </c>
    </row>
    <row r="23" spans="1:33" s="317" customFormat="1" ht="14.45" customHeight="1" x14ac:dyDescent="0.2">
      <c r="A23" s="3" t="s">
        <v>87</v>
      </c>
      <c r="B23" s="288">
        <v>45161</v>
      </c>
      <c r="C23" s="3" t="s">
        <v>177</v>
      </c>
      <c r="D23" s="224">
        <v>22422</v>
      </c>
      <c r="E23" s="224">
        <v>113</v>
      </c>
      <c r="F23" s="224">
        <v>330</v>
      </c>
      <c r="G23" s="309">
        <v>0</v>
      </c>
      <c r="H23" s="313">
        <v>94410</v>
      </c>
      <c r="I23" s="310">
        <v>11211</v>
      </c>
      <c r="J23" s="224">
        <v>0</v>
      </c>
      <c r="K23" s="224">
        <v>0</v>
      </c>
      <c r="L23" s="309">
        <v>0</v>
      </c>
      <c r="M23" s="313">
        <v>46515</v>
      </c>
      <c r="N23" s="310">
        <v>7848</v>
      </c>
      <c r="O23" s="224">
        <v>79</v>
      </c>
      <c r="P23" s="225">
        <v>0</v>
      </c>
      <c r="Q23" s="309">
        <v>0</v>
      </c>
      <c r="R23" s="313">
        <v>8277</v>
      </c>
      <c r="S23" s="310">
        <v>0</v>
      </c>
      <c r="T23" s="224">
        <v>0</v>
      </c>
      <c r="U23" s="224">
        <v>0</v>
      </c>
      <c r="V23" s="309">
        <v>0</v>
      </c>
      <c r="W23" s="313">
        <v>35891</v>
      </c>
      <c r="X23" s="310">
        <v>3363</v>
      </c>
      <c r="Y23" s="224">
        <v>34</v>
      </c>
      <c r="Z23" s="224">
        <v>330</v>
      </c>
      <c r="AA23" s="309">
        <v>0</v>
      </c>
      <c r="AB23" s="316">
        <v>3727</v>
      </c>
      <c r="AC23" s="317">
        <v>0</v>
      </c>
      <c r="AD23" s="317">
        <v>0</v>
      </c>
      <c r="AE23" s="317">
        <v>0</v>
      </c>
      <c r="AF23" s="318">
        <v>0</v>
      </c>
      <c r="AG23" s="319">
        <v>0</v>
      </c>
    </row>
    <row r="24" spans="1:33" s="317" customFormat="1" ht="14.45" customHeight="1" x14ac:dyDescent="0.2">
      <c r="A24" s="3" t="s">
        <v>87</v>
      </c>
      <c r="B24" s="288">
        <v>45192</v>
      </c>
      <c r="C24" s="3" t="s">
        <v>178</v>
      </c>
      <c r="D24" s="224">
        <v>44759</v>
      </c>
      <c r="E24" s="224">
        <v>226</v>
      </c>
      <c r="F24" s="224">
        <v>660</v>
      </c>
      <c r="G24" s="309">
        <v>0</v>
      </c>
      <c r="H24" s="313">
        <v>188459</v>
      </c>
      <c r="I24" s="310">
        <v>22380</v>
      </c>
      <c r="J24" s="224">
        <v>0</v>
      </c>
      <c r="K24" s="224">
        <v>0</v>
      </c>
      <c r="L24" s="309">
        <v>0</v>
      </c>
      <c r="M24" s="313">
        <v>92853</v>
      </c>
      <c r="N24" s="310">
        <v>15666</v>
      </c>
      <c r="O24" s="224">
        <v>158</v>
      </c>
      <c r="P24" s="225">
        <v>0</v>
      </c>
      <c r="Q24" s="309">
        <v>0</v>
      </c>
      <c r="R24" s="313">
        <v>16522</v>
      </c>
      <c r="S24" s="310">
        <v>0</v>
      </c>
      <c r="T24" s="224">
        <v>0</v>
      </c>
      <c r="U24" s="224">
        <v>0</v>
      </c>
      <c r="V24" s="309">
        <v>0</v>
      </c>
      <c r="W24" s="313">
        <v>71643</v>
      </c>
      <c r="X24" s="310">
        <v>6713</v>
      </c>
      <c r="Y24" s="224">
        <v>68</v>
      </c>
      <c r="Z24" s="224">
        <v>660</v>
      </c>
      <c r="AA24" s="309">
        <v>0</v>
      </c>
      <c r="AB24" s="316">
        <v>7441</v>
      </c>
      <c r="AC24" s="317">
        <v>0</v>
      </c>
      <c r="AD24" s="317">
        <v>0</v>
      </c>
      <c r="AE24" s="317">
        <v>0</v>
      </c>
      <c r="AF24" s="318">
        <v>0</v>
      </c>
      <c r="AG24" s="319">
        <v>0</v>
      </c>
    </row>
    <row r="25" spans="1:33" s="317" customFormat="1" ht="14.45" customHeight="1" x14ac:dyDescent="0.2">
      <c r="A25" s="3" t="s">
        <v>87</v>
      </c>
      <c r="B25" s="288">
        <v>45222</v>
      </c>
      <c r="C25" s="3" t="s">
        <v>160</v>
      </c>
      <c r="D25" s="224">
        <v>38864</v>
      </c>
      <c r="E25" s="224">
        <v>196</v>
      </c>
      <c r="F25" s="224">
        <v>573</v>
      </c>
      <c r="G25" s="309">
        <v>0</v>
      </c>
      <c r="H25" s="313">
        <v>163636</v>
      </c>
      <c r="I25" s="310">
        <v>19432</v>
      </c>
      <c r="J25" s="224">
        <v>0</v>
      </c>
      <c r="K25" s="224">
        <v>0</v>
      </c>
      <c r="L25" s="309">
        <v>0</v>
      </c>
      <c r="M25" s="313">
        <v>80623</v>
      </c>
      <c r="N25" s="310">
        <v>13602</v>
      </c>
      <c r="O25" s="224">
        <v>137</v>
      </c>
      <c r="P25" s="225">
        <v>0</v>
      </c>
      <c r="Q25" s="309">
        <v>0</v>
      </c>
      <c r="R25" s="313">
        <v>14345</v>
      </c>
      <c r="S25" s="310">
        <v>0</v>
      </c>
      <c r="T25" s="224">
        <v>0</v>
      </c>
      <c r="U25" s="224">
        <v>0</v>
      </c>
      <c r="V25" s="309">
        <v>0</v>
      </c>
      <c r="W25" s="313">
        <v>62206</v>
      </c>
      <c r="X25" s="310">
        <v>5830</v>
      </c>
      <c r="Y25" s="224">
        <v>59</v>
      </c>
      <c r="Z25" s="224">
        <v>573</v>
      </c>
      <c r="AA25" s="309">
        <v>0</v>
      </c>
      <c r="AB25" s="316">
        <v>6462</v>
      </c>
      <c r="AC25" s="317">
        <v>0</v>
      </c>
      <c r="AD25" s="317">
        <v>0</v>
      </c>
      <c r="AE25" s="317">
        <v>0</v>
      </c>
      <c r="AF25" s="318">
        <v>0</v>
      </c>
      <c r="AG25" s="319">
        <v>0</v>
      </c>
    </row>
    <row r="26" spans="1:33" s="317" customFormat="1" ht="14.45" customHeight="1" x14ac:dyDescent="0.2">
      <c r="A26" s="3" t="s">
        <v>89</v>
      </c>
      <c r="B26" s="288">
        <v>45161</v>
      </c>
      <c r="C26" s="3" t="s">
        <v>177</v>
      </c>
      <c r="D26" s="224">
        <v>3819</v>
      </c>
      <c r="E26" s="224">
        <v>19</v>
      </c>
      <c r="F26" s="224">
        <v>56</v>
      </c>
      <c r="G26" s="309">
        <v>0</v>
      </c>
      <c r="H26" s="313">
        <v>16082</v>
      </c>
      <c r="I26" s="310">
        <v>1910</v>
      </c>
      <c r="J26" s="224">
        <v>0</v>
      </c>
      <c r="K26" s="224">
        <v>0</v>
      </c>
      <c r="L26" s="309">
        <v>0</v>
      </c>
      <c r="M26" s="313">
        <v>7924</v>
      </c>
      <c r="N26" s="310">
        <v>1337</v>
      </c>
      <c r="O26" s="224">
        <v>13</v>
      </c>
      <c r="P26" s="225">
        <v>0</v>
      </c>
      <c r="Q26" s="309">
        <v>0</v>
      </c>
      <c r="R26" s="313">
        <v>1409</v>
      </c>
      <c r="S26" s="310">
        <v>0</v>
      </c>
      <c r="T26" s="224">
        <v>0</v>
      </c>
      <c r="U26" s="224">
        <v>0</v>
      </c>
      <c r="V26" s="309">
        <v>0</v>
      </c>
      <c r="W26" s="313">
        <v>6115</v>
      </c>
      <c r="X26" s="310">
        <v>572</v>
      </c>
      <c r="Y26" s="224">
        <v>6</v>
      </c>
      <c r="Z26" s="224">
        <v>56</v>
      </c>
      <c r="AA26" s="309">
        <v>0</v>
      </c>
      <c r="AB26" s="319">
        <v>634</v>
      </c>
      <c r="AC26" s="317">
        <v>0</v>
      </c>
      <c r="AD26" s="317">
        <v>0</v>
      </c>
      <c r="AE26" s="317">
        <v>0</v>
      </c>
      <c r="AF26" s="318">
        <v>0</v>
      </c>
      <c r="AG26" s="319">
        <v>0</v>
      </c>
    </row>
    <row r="27" spans="1:33" s="317" customFormat="1" ht="14.45" customHeight="1" x14ac:dyDescent="0.2">
      <c r="A27" s="3" t="s">
        <v>89</v>
      </c>
      <c r="B27" s="288">
        <v>45192</v>
      </c>
      <c r="C27" s="3" t="s">
        <v>178</v>
      </c>
      <c r="D27" s="224">
        <v>16117</v>
      </c>
      <c r="E27" s="224">
        <v>81</v>
      </c>
      <c r="F27" s="224">
        <v>238</v>
      </c>
      <c r="G27" s="309">
        <v>0</v>
      </c>
      <c r="H27" s="313">
        <v>67859</v>
      </c>
      <c r="I27" s="310">
        <v>8059</v>
      </c>
      <c r="J27" s="224">
        <v>0</v>
      </c>
      <c r="K27" s="224">
        <v>0</v>
      </c>
      <c r="L27" s="309">
        <v>0</v>
      </c>
      <c r="M27" s="313">
        <v>33434</v>
      </c>
      <c r="N27" s="310">
        <v>5641</v>
      </c>
      <c r="O27" s="224">
        <v>57</v>
      </c>
      <c r="P27" s="225">
        <v>0</v>
      </c>
      <c r="Q27" s="309">
        <v>0</v>
      </c>
      <c r="R27" s="313">
        <v>5949</v>
      </c>
      <c r="S27" s="310">
        <v>0</v>
      </c>
      <c r="T27" s="224">
        <v>0</v>
      </c>
      <c r="U27" s="224">
        <v>0</v>
      </c>
      <c r="V27" s="309">
        <v>0</v>
      </c>
      <c r="W27" s="313">
        <v>25797</v>
      </c>
      <c r="X27" s="310">
        <v>2417</v>
      </c>
      <c r="Y27" s="224">
        <v>24</v>
      </c>
      <c r="Z27" s="224">
        <v>238</v>
      </c>
      <c r="AA27" s="309">
        <v>0</v>
      </c>
      <c r="AB27" s="316">
        <v>2679</v>
      </c>
      <c r="AC27" s="317">
        <v>0</v>
      </c>
      <c r="AD27" s="317">
        <v>0</v>
      </c>
      <c r="AE27" s="317">
        <v>0</v>
      </c>
      <c r="AF27" s="318">
        <v>0</v>
      </c>
      <c r="AG27" s="319">
        <v>0</v>
      </c>
    </row>
    <row r="28" spans="1:33" s="317" customFormat="1" ht="14.45" customHeight="1" x14ac:dyDescent="0.2">
      <c r="A28" s="3" t="s">
        <v>89</v>
      </c>
      <c r="B28" s="288">
        <v>45222</v>
      </c>
      <c r="C28" s="3" t="s">
        <v>160</v>
      </c>
      <c r="D28" s="224">
        <v>18829</v>
      </c>
      <c r="E28" s="224">
        <v>95</v>
      </c>
      <c r="F28" s="224">
        <v>277</v>
      </c>
      <c r="G28" s="309">
        <v>0</v>
      </c>
      <c r="H28" s="313">
        <v>79280</v>
      </c>
      <c r="I28" s="310">
        <v>9415</v>
      </c>
      <c r="J28" s="224">
        <v>0</v>
      </c>
      <c r="K28" s="224">
        <v>0</v>
      </c>
      <c r="L28" s="309">
        <v>0</v>
      </c>
      <c r="M28" s="313">
        <v>39063</v>
      </c>
      <c r="N28" s="310">
        <v>6590</v>
      </c>
      <c r="O28" s="224">
        <v>67</v>
      </c>
      <c r="P28" s="225">
        <v>0</v>
      </c>
      <c r="Q28" s="309">
        <v>0</v>
      </c>
      <c r="R28" s="313">
        <v>6949</v>
      </c>
      <c r="S28" s="310">
        <v>0</v>
      </c>
      <c r="T28" s="224">
        <v>0</v>
      </c>
      <c r="U28" s="224">
        <v>0</v>
      </c>
      <c r="V28" s="309">
        <v>0</v>
      </c>
      <c r="W28" s="313">
        <v>30139</v>
      </c>
      <c r="X28" s="310">
        <v>2824</v>
      </c>
      <c r="Y28" s="224">
        <v>28</v>
      </c>
      <c r="Z28" s="224">
        <v>277</v>
      </c>
      <c r="AA28" s="309">
        <v>0</v>
      </c>
      <c r="AB28" s="316">
        <v>3129</v>
      </c>
      <c r="AC28" s="317">
        <v>0</v>
      </c>
      <c r="AD28" s="317">
        <v>0</v>
      </c>
      <c r="AE28" s="317">
        <v>0</v>
      </c>
      <c r="AF28" s="318">
        <v>0</v>
      </c>
      <c r="AG28" s="319">
        <v>0</v>
      </c>
    </row>
    <row r="29" spans="1:33" s="317" customFormat="1" ht="14.45" customHeight="1" x14ac:dyDescent="0.2">
      <c r="A29" s="3" t="s">
        <v>90</v>
      </c>
      <c r="B29" s="288">
        <v>45161</v>
      </c>
      <c r="C29" s="3" t="s">
        <v>177</v>
      </c>
      <c r="D29" s="224">
        <v>5333</v>
      </c>
      <c r="E29" s="224">
        <v>27</v>
      </c>
      <c r="F29" s="224">
        <v>79</v>
      </c>
      <c r="G29" s="309">
        <v>0</v>
      </c>
      <c r="H29" s="313">
        <v>22455</v>
      </c>
      <c r="I29" s="310">
        <v>2667</v>
      </c>
      <c r="J29" s="224">
        <v>0</v>
      </c>
      <c r="K29" s="224">
        <v>0</v>
      </c>
      <c r="L29" s="309">
        <v>0</v>
      </c>
      <c r="M29" s="313">
        <v>11064</v>
      </c>
      <c r="N29" s="310">
        <v>1867</v>
      </c>
      <c r="O29" s="224">
        <v>19</v>
      </c>
      <c r="P29" s="225">
        <v>0</v>
      </c>
      <c r="Q29" s="309">
        <v>0</v>
      </c>
      <c r="R29" s="313">
        <v>1969</v>
      </c>
      <c r="S29" s="310">
        <v>0</v>
      </c>
      <c r="T29" s="224">
        <v>0</v>
      </c>
      <c r="U29" s="224">
        <v>0</v>
      </c>
      <c r="V29" s="309">
        <v>0</v>
      </c>
      <c r="W29" s="313">
        <v>8536</v>
      </c>
      <c r="X29" s="310">
        <v>799</v>
      </c>
      <c r="Y29" s="224">
        <v>8</v>
      </c>
      <c r="Z29" s="224">
        <v>79</v>
      </c>
      <c r="AA29" s="309">
        <v>0</v>
      </c>
      <c r="AB29" s="319">
        <v>886</v>
      </c>
      <c r="AC29" s="317">
        <v>0</v>
      </c>
      <c r="AD29" s="317">
        <v>0</v>
      </c>
      <c r="AE29" s="317">
        <v>0</v>
      </c>
      <c r="AF29" s="318">
        <v>0</v>
      </c>
      <c r="AG29" s="319">
        <v>0</v>
      </c>
    </row>
    <row r="30" spans="1:33" s="317" customFormat="1" ht="14.45" customHeight="1" x14ac:dyDescent="0.2">
      <c r="A30" s="3" t="s">
        <v>90</v>
      </c>
      <c r="B30" s="288">
        <v>45192</v>
      </c>
      <c r="C30" s="3" t="s">
        <v>178</v>
      </c>
      <c r="D30" s="224">
        <v>5836</v>
      </c>
      <c r="E30" s="224">
        <v>29</v>
      </c>
      <c r="F30" s="224">
        <v>86</v>
      </c>
      <c r="G30" s="309">
        <v>0</v>
      </c>
      <c r="H30" s="313">
        <v>24572</v>
      </c>
      <c r="I30" s="310">
        <v>2918</v>
      </c>
      <c r="J30" s="224">
        <v>0</v>
      </c>
      <c r="K30" s="224">
        <v>0</v>
      </c>
      <c r="L30" s="309">
        <v>0</v>
      </c>
      <c r="M30" s="313">
        <v>12107</v>
      </c>
      <c r="N30" s="310">
        <v>2043</v>
      </c>
      <c r="O30" s="224">
        <v>20</v>
      </c>
      <c r="P30" s="225">
        <v>0</v>
      </c>
      <c r="Q30" s="309">
        <v>0</v>
      </c>
      <c r="R30" s="313">
        <v>2154</v>
      </c>
      <c r="S30" s="310">
        <v>0</v>
      </c>
      <c r="T30" s="224">
        <v>0</v>
      </c>
      <c r="U30" s="224">
        <v>0</v>
      </c>
      <c r="V30" s="309">
        <v>0</v>
      </c>
      <c r="W30" s="313">
        <v>9341</v>
      </c>
      <c r="X30" s="310">
        <v>875</v>
      </c>
      <c r="Y30" s="224">
        <v>9</v>
      </c>
      <c r="Z30" s="224">
        <v>86</v>
      </c>
      <c r="AA30" s="309">
        <v>0</v>
      </c>
      <c r="AB30" s="319">
        <v>970</v>
      </c>
      <c r="AC30" s="317">
        <v>0</v>
      </c>
      <c r="AD30" s="317">
        <v>0</v>
      </c>
      <c r="AE30" s="317">
        <v>0</v>
      </c>
      <c r="AF30" s="318">
        <v>0</v>
      </c>
      <c r="AG30" s="319">
        <v>0</v>
      </c>
    </row>
    <row r="31" spans="1:33" s="317" customFormat="1" ht="14.45" customHeight="1" x14ac:dyDescent="0.2">
      <c r="A31" s="3" t="s">
        <v>90</v>
      </c>
      <c r="B31" s="288">
        <v>45222</v>
      </c>
      <c r="C31" s="3" t="s">
        <v>160</v>
      </c>
      <c r="D31" s="224">
        <v>6368</v>
      </c>
      <c r="E31" s="224">
        <v>32</v>
      </c>
      <c r="F31" s="224">
        <v>94</v>
      </c>
      <c r="G31" s="309">
        <v>0</v>
      </c>
      <c r="H31" s="313">
        <v>26811</v>
      </c>
      <c r="I31" s="310">
        <v>3184</v>
      </c>
      <c r="J31" s="224">
        <v>0</v>
      </c>
      <c r="K31" s="224">
        <v>0</v>
      </c>
      <c r="L31" s="309">
        <v>0</v>
      </c>
      <c r="M31" s="313">
        <v>13210</v>
      </c>
      <c r="N31" s="310">
        <v>2229</v>
      </c>
      <c r="O31" s="224">
        <v>22</v>
      </c>
      <c r="P31" s="225">
        <v>0</v>
      </c>
      <c r="Q31" s="309">
        <v>0</v>
      </c>
      <c r="R31" s="313">
        <v>2350</v>
      </c>
      <c r="S31" s="310">
        <v>0</v>
      </c>
      <c r="T31" s="224">
        <v>0</v>
      </c>
      <c r="U31" s="224">
        <v>0</v>
      </c>
      <c r="V31" s="309">
        <v>0</v>
      </c>
      <c r="W31" s="313">
        <v>10192</v>
      </c>
      <c r="X31" s="310">
        <v>955</v>
      </c>
      <c r="Y31" s="224">
        <v>10</v>
      </c>
      <c r="Z31" s="224">
        <v>94</v>
      </c>
      <c r="AA31" s="309">
        <v>0</v>
      </c>
      <c r="AB31" s="316">
        <v>1059</v>
      </c>
      <c r="AC31" s="317">
        <v>0</v>
      </c>
      <c r="AD31" s="317">
        <v>0</v>
      </c>
      <c r="AE31" s="317">
        <v>0</v>
      </c>
      <c r="AF31" s="318">
        <v>0</v>
      </c>
      <c r="AG31" s="319">
        <v>0</v>
      </c>
    </row>
    <row r="32" spans="1:33" s="317" customFormat="1" ht="14.45" customHeight="1" x14ac:dyDescent="0.2">
      <c r="A32" s="3" t="s">
        <v>91</v>
      </c>
      <c r="B32" s="288">
        <v>45192</v>
      </c>
      <c r="C32" s="3" t="s">
        <v>178</v>
      </c>
      <c r="D32" s="224">
        <v>16785</v>
      </c>
      <c r="E32" s="224">
        <v>85</v>
      </c>
      <c r="F32" s="224">
        <v>247</v>
      </c>
      <c r="G32" s="309">
        <v>0</v>
      </c>
      <c r="H32" s="313">
        <v>70675</v>
      </c>
      <c r="I32" s="310">
        <v>8393</v>
      </c>
      <c r="J32" s="224">
        <v>0</v>
      </c>
      <c r="K32" s="224">
        <v>0</v>
      </c>
      <c r="L32" s="309">
        <v>0</v>
      </c>
      <c r="M32" s="313">
        <v>34822</v>
      </c>
      <c r="N32" s="310">
        <v>5875</v>
      </c>
      <c r="O32" s="224">
        <v>60</v>
      </c>
      <c r="P32" s="225">
        <v>0</v>
      </c>
      <c r="Q32" s="309">
        <v>0</v>
      </c>
      <c r="R32" s="313">
        <v>6196</v>
      </c>
      <c r="S32" s="310">
        <v>0</v>
      </c>
      <c r="T32" s="224">
        <v>0</v>
      </c>
      <c r="U32" s="224">
        <v>0</v>
      </c>
      <c r="V32" s="309">
        <v>0</v>
      </c>
      <c r="W32" s="313">
        <v>26868</v>
      </c>
      <c r="X32" s="310">
        <v>2517</v>
      </c>
      <c r="Y32" s="224">
        <v>25</v>
      </c>
      <c r="Z32" s="224">
        <v>247</v>
      </c>
      <c r="AA32" s="309">
        <v>0</v>
      </c>
      <c r="AB32" s="316">
        <v>2789</v>
      </c>
      <c r="AC32" s="317">
        <v>0</v>
      </c>
      <c r="AD32" s="317">
        <v>0</v>
      </c>
      <c r="AE32" s="317">
        <v>0</v>
      </c>
      <c r="AF32" s="318">
        <v>0</v>
      </c>
      <c r="AG32" s="319">
        <v>0</v>
      </c>
    </row>
    <row r="33" spans="1:33" s="317" customFormat="1" ht="14.45" customHeight="1" x14ac:dyDescent="0.2">
      <c r="A33" s="3" t="s">
        <v>92</v>
      </c>
      <c r="B33" s="288">
        <v>45192</v>
      </c>
      <c r="C33" s="3" t="s">
        <v>177</v>
      </c>
      <c r="D33" s="224">
        <v>580</v>
      </c>
      <c r="E33" s="224">
        <v>3</v>
      </c>
      <c r="F33" s="224">
        <v>9</v>
      </c>
      <c r="G33" s="309">
        <v>0</v>
      </c>
      <c r="H33" s="313">
        <v>2443</v>
      </c>
      <c r="I33" s="310">
        <v>290</v>
      </c>
      <c r="J33" s="224">
        <v>0</v>
      </c>
      <c r="K33" s="224">
        <v>0</v>
      </c>
      <c r="L33" s="309">
        <v>0</v>
      </c>
      <c r="M33" s="313">
        <v>1203</v>
      </c>
      <c r="N33" s="310">
        <v>203</v>
      </c>
      <c r="O33" s="224">
        <v>2</v>
      </c>
      <c r="P33" s="225">
        <v>0</v>
      </c>
      <c r="Q33" s="309">
        <v>0</v>
      </c>
      <c r="R33" s="313">
        <v>214</v>
      </c>
      <c r="S33" s="310">
        <v>0</v>
      </c>
      <c r="T33" s="224">
        <v>0</v>
      </c>
      <c r="U33" s="224">
        <v>0</v>
      </c>
      <c r="V33" s="309">
        <v>0</v>
      </c>
      <c r="W33" s="313">
        <v>929</v>
      </c>
      <c r="X33" s="310">
        <v>87</v>
      </c>
      <c r="Y33" s="224">
        <v>1</v>
      </c>
      <c r="Z33" s="224">
        <v>9</v>
      </c>
      <c r="AA33" s="309">
        <v>0</v>
      </c>
      <c r="AB33" s="319">
        <v>97</v>
      </c>
      <c r="AC33" s="317">
        <v>0</v>
      </c>
      <c r="AD33" s="317">
        <v>0</v>
      </c>
      <c r="AE33" s="317">
        <v>0</v>
      </c>
      <c r="AF33" s="318">
        <v>0</v>
      </c>
      <c r="AG33" s="319">
        <v>0</v>
      </c>
    </row>
    <row r="34" spans="1:33" s="317" customFormat="1" ht="14.45" customHeight="1" x14ac:dyDescent="0.2">
      <c r="A34" s="3" t="s">
        <v>93</v>
      </c>
      <c r="B34" s="288">
        <v>45161</v>
      </c>
      <c r="C34" s="3" t="s">
        <v>177</v>
      </c>
      <c r="D34" s="224">
        <v>2921</v>
      </c>
      <c r="E34" s="224">
        <v>15</v>
      </c>
      <c r="F34" s="224">
        <v>43</v>
      </c>
      <c r="G34" s="309">
        <v>0</v>
      </c>
      <c r="H34" s="313">
        <v>12300</v>
      </c>
      <c r="I34" s="310">
        <v>1461</v>
      </c>
      <c r="J34" s="224">
        <v>0</v>
      </c>
      <c r="K34" s="224">
        <v>0</v>
      </c>
      <c r="L34" s="309">
        <v>0</v>
      </c>
      <c r="M34" s="313">
        <v>6060</v>
      </c>
      <c r="N34" s="310">
        <v>1022</v>
      </c>
      <c r="O34" s="224">
        <v>11</v>
      </c>
      <c r="P34" s="225">
        <v>0</v>
      </c>
      <c r="Q34" s="309">
        <v>0</v>
      </c>
      <c r="R34" s="313">
        <v>1079</v>
      </c>
      <c r="S34" s="310">
        <v>0</v>
      </c>
      <c r="T34" s="224">
        <v>0</v>
      </c>
      <c r="U34" s="224">
        <v>0</v>
      </c>
      <c r="V34" s="309">
        <v>0</v>
      </c>
      <c r="W34" s="313">
        <v>4676</v>
      </c>
      <c r="X34" s="310">
        <v>438</v>
      </c>
      <c r="Y34" s="224">
        <v>4</v>
      </c>
      <c r="Z34" s="224">
        <v>43</v>
      </c>
      <c r="AA34" s="309">
        <v>0</v>
      </c>
      <c r="AB34" s="319">
        <v>485</v>
      </c>
      <c r="AC34" s="317">
        <v>0</v>
      </c>
      <c r="AD34" s="317">
        <v>0</v>
      </c>
      <c r="AE34" s="317">
        <v>0</v>
      </c>
      <c r="AF34" s="318">
        <v>0</v>
      </c>
      <c r="AG34" s="319">
        <v>0</v>
      </c>
    </row>
    <row r="35" spans="1:33" s="317" customFormat="1" ht="14.45" customHeight="1" x14ac:dyDescent="0.2">
      <c r="A35" s="3" t="s">
        <v>93</v>
      </c>
      <c r="B35" s="288">
        <v>45192</v>
      </c>
      <c r="C35" s="3" t="s">
        <v>177</v>
      </c>
      <c r="D35" s="224">
        <v>3646</v>
      </c>
      <c r="E35" s="224">
        <v>18</v>
      </c>
      <c r="F35" s="224">
        <v>54</v>
      </c>
      <c r="G35" s="309">
        <v>0</v>
      </c>
      <c r="H35" s="313">
        <v>15351</v>
      </c>
      <c r="I35" s="310">
        <v>1823</v>
      </c>
      <c r="J35" s="224">
        <v>0</v>
      </c>
      <c r="K35" s="224">
        <v>0</v>
      </c>
      <c r="L35" s="309">
        <v>0</v>
      </c>
      <c r="M35" s="313">
        <v>7563</v>
      </c>
      <c r="N35" s="310">
        <v>1276</v>
      </c>
      <c r="O35" s="224">
        <v>13</v>
      </c>
      <c r="P35" s="225">
        <v>0</v>
      </c>
      <c r="Q35" s="309">
        <v>0</v>
      </c>
      <c r="R35" s="313">
        <v>1346</v>
      </c>
      <c r="S35" s="310">
        <v>0</v>
      </c>
      <c r="T35" s="224">
        <v>0</v>
      </c>
      <c r="U35" s="224">
        <v>0</v>
      </c>
      <c r="V35" s="309">
        <v>0</v>
      </c>
      <c r="W35" s="313">
        <v>5836</v>
      </c>
      <c r="X35" s="310">
        <v>547</v>
      </c>
      <c r="Y35" s="224">
        <v>5</v>
      </c>
      <c r="Z35" s="224">
        <v>54</v>
      </c>
      <c r="AA35" s="309">
        <v>0</v>
      </c>
      <c r="AB35" s="319">
        <v>606</v>
      </c>
      <c r="AC35" s="317">
        <v>0</v>
      </c>
      <c r="AD35" s="317">
        <v>0</v>
      </c>
      <c r="AE35" s="317">
        <v>0</v>
      </c>
      <c r="AF35" s="318">
        <v>0</v>
      </c>
      <c r="AG35" s="319">
        <v>0</v>
      </c>
    </row>
    <row r="36" spans="1:33" s="317" customFormat="1" ht="14.45" customHeight="1" x14ac:dyDescent="0.2">
      <c r="A36" s="3" t="s">
        <v>93</v>
      </c>
      <c r="B36" s="288">
        <v>45192</v>
      </c>
      <c r="C36" s="3" t="s">
        <v>178</v>
      </c>
      <c r="D36" s="224">
        <v>2176</v>
      </c>
      <c r="E36" s="224">
        <v>11</v>
      </c>
      <c r="F36" s="224">
        <v>32</v>
      </c>
      <c r="G36" s="309">
        <v>0</v>
      </c>
      <c r="H36" s="313">
        <v>9164</v>
      </c>
      <c r="I36" s="310">
        <v>1088</v>
      </c>
      <c r="J36" s="224">
        <v>0</v>
      </c>
      <c r="K36" s="224">
        <v>0</v>
      </c>
      <c r="L36" s="309">
        <v>0</v>
      </c>
      <c r="M36" s="313">
        <v>4515</v>
      </c>
      <c r="N36" s="310">
        <v>762</v>
      </c>
      <c r="O36" s="224">
        <v>8</v>
      </c>
      <c r="P36" s="225">
        <v>0</v>
      </c>
      <c r="Q36" s="309">
        <v>0</v>
      </c>
      <c r="R36" s="313">
        <v>803</v>
      </c>
      <c r="S36" s="310">
        <v>0</v>
      </c>
      <c r="T36" s="224">
        <v>0</v>
      </c>
      <c r="U36" s="224">
        <v>0</v>
      </c>
      <c r="V36" s="309">
        <v>0</v>
      </c>
      <c r="W36" s="313">
        <v>3485</v>
      </c>
      <c r="X36" s="310">
        <v>326</v>
      </c>
      <c r="Y36" s="224">
        <v>3</v>
      </c>
      <c r="Z36" s="224">
        <v>32</v>
      </c>
      <c r="AA36" s="309">
        <v>0</v>
      </c>
      <c r="AB36" s="319">
        <v>361</v>
      </c>
      <c r="AC36" s="317">
        <v>0</v>
      </c>
      <c r="AD36" s="317">
        <v>0</v>
      </c>
      <c r="AE36" s="317">
        <v>0</v>
      </c>
      <c r="AF36" s="318">
        <v>0</v>
      </c>
      <c r="AG36" s="319">
        <v>0</v>
      </c>
    </row>
    <row r="37" spans="1:33" s="317" customFormat="1" ht="14.45" customHeight="1" x14ac:dyDescent="0.2">
      <c r="A37" s="3" t="s">
        <v>93</v>
      </c>
      <c r="B37" s="288">
        <v>45222</v>
      </c>
      <c r="C37" s="3" t="s">
        <v>160</v>
      </c>
      <c r="D37" s="224">
        <v>3732</v>
      </c>
      <c r="E37" s="224">
        <v>19</v>
      </c>
      <c r="F37" s="224">
        <v>55</v>
      </c>
      <c r="G37" s="309">
        <v>0</v>
      </c>
      <c r="H37" s="313">
        <v>15713</v>
      </c>
      <c r="I37" s="310">
        <v>1866</v>
      </c>
      <c r="J37" s="224">
        <v>0</v>
      </c>
      <c r="K37" s="224">
        <v>0</v>
      </c>
      <c r="L37" s="309">
        <v>0</v>
      </c>
      <c r="M37" s="313">
        <v>7741</v>
      </c>
      <c r="N37" s="310">
        <v>1306</v>
      </c>
      <c r="O37" s="224">
        <v>13</v>
      </c>
      <c r="P37" s="225">
        <v>0</v>
      </c>
      <c r="Q37" s="309">
        <v>0</v>
      </c>
      <c r="R37" s="313">
        <v>1378</v>
      </c>
      <c r="S37" s="310">
        <v>0</v>
      </c>
      <c r="T37" s="224">
        <v>0</v>
      </c>
      <c r="U37" s="224">
        <v>0</v>
      </c>
      <c r="V37" s="309">
        <v>0</v>
      </c>
      <c r="W37" s="313">
        <v>5973</v>
      </c>
      <c r="X37" s="310">
        <v>560</v>
      </c>
      <c r="Y37" s="224">
        <v>6</v>
      </c>
      <c r="Z37" s="224">
        <v>55</v>
      </c>
      <c r="AA37" s="309">
        <v>0</v>
      </c>
      <c r="AB37" s="319">
        <v>621</v>
      </c>
      <c r="AC37" s="317">
        <v>0</v>
      </c>
      <c r="AD37" s="317">
        <v>0</v>
      </c>
      <c r="AE37" s="317">
        <v>0</v>
      </c>
      <c r="AF37" s="318">
        <v>0</v>
      </c>
      <c r="AG37" s="319">
        <v>0</v>
      </c>
    </row>
    <row r="38" spans="1:33" s="317" customFormat="1" ht="14.45" customHeight="1" x14ac:dyDescent="0.2">
      <c r="A38" s="3" t="s">
        <v>97</v>
      </c>
      <c r="B38" s="288">
        <v>45161</v>
      </c>
      <c r="C38" s="3" t="s">
        <v>177</v>
      </c>
      <c r="D38" s="224">
        <v>22407</v>
      </c>
      <c r="E38" s="224">
        <v>113</v>
      </c>
      <c r="F38" s="224">
        <v>330</v>
      </c>
      <c r="G38" s="309">
        <v>0</v>
      </c>
      <c r="H38" s="313">
        <v>94347</v>
      </c>
      <c r="I38" s="310">
        <v>11204</v>
      </c>
      <c r="J38" s="224">
        <v>0</v>
      </c>
      <c r="K38" s="224">
        <v>0</v>
      </c>
      <c r="L38" s="309">
        <v>0</v>
      </c>
      <c r="M38" s="313">
        <v>46485</v>
      </c>
      <c r="N38" s="310">
        <v>7842</v>
      </c>
      <c r="O38" s="224">
        <v>79</v>
      </c>
      <c r="P38" s="225">
        <v>0</v>
      </c>
      <c r="Q38" s="309">
        <v>0</v>
      </c>
      <c r="R38" s="313">
        <v>8270</v>
      </c>
      <c r="S38" s="310">
        <v>0</v>
      </c>
      <c r="T38" s="224">
        <v>0</v>
      </c>
      <c r="U38" s="224">
        <v>0</v>
      </c>
      <c r="V38" s="309">
        <v>0</v>
      </c>
      <c r="W38" s="313">
        <v>35867</v>
      </c>
      <c r="X38" s="310">
        <v>3361</v>
      </c>
      <c r="Y38" s="224">
        <v>34</v>
      </c>
      <c r="Z38" s="224">
        <v>330</v>
      </c>
      <c r="AA38" s="309">
        <v>0</v>
      </c>
      <c r="AB38" s="316">
        <v>3725</v>
      </c>
      <c r="AC38" s="317">
        <v>0</v>
      </c>
      <c r="AD38" s="317">
        <v>0</v>
      </c>
      <c r="AE38" s="317">
        <v>0</v>
      </c>
      <c r="AF38" s="318">
        <v>0</v>
      </c>
      <c r="AG38" s="319">
        <v>0</v>
      </c>
    </row>
    <row r="39" spans="1:33" s="317" customFormat="1" ht="14.45" customHeight="1" x14ac:dyDescent="0.2">
      <c r="A39" s="3" t="s">
        <v>97</v>
      </c>
      <c r="B39" s="288">
        <v>45222</v>
      </c>
      <c r="C39" s="3" t="s">
        <v>160</v>
      </c>
      <c r="D39" s="224">
        <v>660</v>
      </c>
      <c r="E39" s="224">
        <v>3</v>
      </c>
      <c r="F39" s="224">
        <v>10</v>
      </c>
      <c r="G39" s="309">
        <v>0</v>
      </c>
      <c r="H39" s="313">
        <v>2781</v>
      </c>
      <c r="I39" s="310">
        <v>330</v>
      </c>
      <c r="J39" s="224">
        <v>0</v>
      </c>
      <c r="K39" s="224">
        <v>0</v>
      </c>
      <c r="L39" s="309">
        <v>0</v>
      </c>
      <c r="M39" s="313">
        <v>1370</v>
      </c>
      <c r="N39" s="310">
        <v>231</v>
      </c>
      <c r="O39" s="224">
        <v>2</v>
      </c>
      <c r="P39" s="225">
        <v>0</v>
      </c>
      <c r="Q39" s="309">
        <v>0</v>
      </c>
      <c r="R39" s="313">
        <v>243</v>
      </c>
      <c r="S39" s="310">
        <v>0</v>
      </c>
      <c r="T39" s="224">
        <v>0</v>
      </c>
      <c r="U39" s="224">
        <v>0</v>
      </c>
      <c r="V39" s="309">
        <v>0</v>
      </c>
      <c r="W39" s="313">
        <v>1058</v>
      </c>
      <c r="X39" s="310">
        <v>99</v>
      </c>
      <c r="Y39" s="224">
        <v>1</v>
      </c>
      <c r="Z39" s="224">
        <v>10</v>
      </c>
      <c r="AA39" s="309">
        <v>0</v>
      </c>
      <c r="AB39" s="319">
        <v>110</v>
      </c>
      <c r="AC39" s="317">
        <v>0</v>
      </c>
      <c r="AD39" s="317">
        <v>0</v>
      </c>
      <c r="AE39" s="317">
        <v>0</v>
      </c>
      <c r="AF39" s="318">
        <v>0</v>
      </c>
      <c r="AG39" s="319">
        <v>0</v>
      </c>
    </row>
    <row r="40" spans="1:33" s="317" customFormat="1" ht="14.45" customHeight="1" x14ac:dyDescent="0.2">
      <c r="A40" s="3" t="s">
        <v>98</v>
      </c>
      <c r="B40" s="288">
        <v>45161</v>
      </c>
      <c r="C40" s="3" t="s">
        <v>177</v>
      </c>
      <c r="D40" s="224">
        <v>23398</v>
      </c>
      <c r="E40" s="224">
        <v>118</v>
      </c>
      <c r="F40" s="224">
        <v>345</v>
      </c>
      <c r="G40" s="309">
        <v>0</v>
      </c>
      <c r="H40" s="313">
        <v>98517</v>
      </c>
      <c r="I40" s="310">
        <v>11699</v>
      </c>
      <c r="J40" s="224">
        <v>0</v>
      </c>
      <c r="K40" s="224">
        <v>0</v>
      </c>
      <c r="L40" s="309">
        <v>0</v>
      </c>
      <c r="M40" s="313">
        <v>48539</v>
      </c>
      <c r="N40" s="310">
        <v>8189</v>
      </c>
      <c r="O40" s="224">
        <v>83</v>
      </c>
      <c r="P40" s="225">
        <v>0</v>
      </c>
      <c r="Q40" s="309">
        <v>0</v>
      </c>
      <c r="R40" s="313">
        <v>8637</v>
      </c>
      <c r="S40" s="310">
        <v>0</v>
      </c>
      <c r="T40" s="224">
        <v>0</v>
      </c>
      <c r="U40" s="224">
        <v>0</v>
      </c>
      <c r="V40" s="309">
        <v>0</v>
      </c>
      <c r="W40" s="313">
        <v>37451</v>
      </c>
      <c r="X40" s="310">
        <v>3510</v>
      </c>
      <c r="Y40" s="224">
        <v>35</v>
      </c>
      <c r="Z40" s="224">
        <v>345</v>
      </c>
      <c r="AA40" s="309">
        <v>0</v>
      </c>
      <c r="AB40" s="316">
        <v>3890</v>
      </c>
      <c r="AC40" s="317">
        <v>0</v>
      </c>
      <c r="AD40" s="317">
        <v>0</v>
      </c>
      <c r="AE40" s="317">
        <v>0</v>
      </c>
      <c r="AF40" s="318">
        <v>0</v>
      </c>
      <c r="AG40" s="319">
        <v>0</v>
      </c>
    </row>
    <row r="41" spans="1:33" s="317" customFormat="1" ht="14.45" customHeight="1" x14ac:dyDescent="0.2">
      <c r="A41" s="3" t="s">
        <v>98</v>
      </c>
      <c r="B41" s="288">
        <v>45192</v>
      </c>
      <c r="C41" s="3" t="s">
        <v>178</v>
      </c>
      <c r="D41" s="224">
        <v>13538</v>
      </c>
      <c r="E41" s="224">
        <v>68</v>
      </c>
      <c r="F41" s="224">
        <v>200</v>
      </c>
      <c r="G41" s="309">
        <v>0</v>
      </c>
      <c r="H41" s="313">
        <v>57004</v>
      </c>
      <c r="I41" s="310">
        <v>6769</v>
      </c>
      <c r="J41" s="224">
        <v>0</v>
      </c>
      <c r="K41" s="224">
        <v>0</v>
      </c>
      <c r="L41" s="309">
        <v>0</v>
      </c>
      <c r="M41" s="313">
        <v>28086</v>
      </c>
      <c r="N41" s="310">
        <v>4738</v>
      </c>
      <c r="O41" s="224">
        <v>48</v>
      </c>
      <c r="P41" s="225">
        <v>0</v>
      </c>
      <c r="Q41" s="309">
        <v>0</v>
      </c>
      <c r="R41" s="313">
        <v>4997</v>
      </c>
      <c r="S41" s="310">
        <v>0</v>
      </c>
      <c r="T41" s="224">
        <v>0</v>
      </c>
      <c r="U41" s="224">
        <v>0</v>
      </c>
      <c r="V41" s="309">
        <v>0</v>
      </c>
      <c r="W41" s="313">
        <v>21670</v>
      </c>
      <c r="X41" s="310">
        <v>2031</v>
      </c>
      <c r="Y41" s="224">
        <v>20</v>
      </c>
      <c r="Z41" s="224">
        <v>200</v>
      </c>
      <c r="AA41" s="309">
        <v>0</v>
      </c>
      <c r="AB41" s="316">
        <v>2251</v>
      </c>
      <c r="AC41" s="317">
        <v>0</v>
      </c>
      <c r="AD41" s="317">
        <v>0</v>
      </c>
      <c r="AE41" s="317">
        <v>0</v>
      </c>
      <c r="AF41" s="318">
        <v>0</v>
      </c>
      <c r="AG41" s="319">
        <v>0</v>
      </c>
    </row>
    <row r="42" spans="1:33" s="317" customFormat="1" ht="14.45" customHeight="1" x14ac:dyDescent="0.2">
      <c r="A42" s="3" t="s">
        <v>98</v>
      </c>
      <c r="B42" s="288">
        <v>45222</v>
      </c>
      <c r="C42" s="3" t="s">
        <v>160</v>
      </c>
      <c r="D42" s="224">
        <v>4733</v>
      </c>
      <c r="E42" s="224">
        <v>24</v>
      </c>
      <c r="F42" s="224">
        <v>70</v>
      </c>
      <c r="G42" s="309">
        <v>0</v>
      </c>
      <c r="H42" s="313">
        <v>19930</v>
      </c>
      <c r="I42" s="310">
        <v>2367</v>
      </c>
      <c r="J42" s="224">
        <v>0</v>
      </c>
      <c r="K42" s="224">
        <v>0</v>
      </c>
      <c r="L42" s="309">
        <v>0</v>
      </c>
      <c r="M42" s="313">
        <v>9819</v>
      </c>
      <c r="N42" s="310">
        <v>1657</v>
      </c>
      <c r="O42" s="224">
        <v>17</v>
      </c>
      <c r="P42" s="225">
        <v>0</v>
      </c>
      <c r="Q42" s="309">
        <v>0</v>
      </c>
      <c r="R42" s="313">
        <v>1748</v>
      </c>
      <c r="S42" s="310">
        <v>0</v>
      </c>
      <c r="T42" s="224">
        <v>0</v>
      </c>
      <c r="U42" s="224">
        <v>0</v>
      </c>
      <c r="V42" s="309">
        <v>0</v>
      </c>
      <c r="W42" s="313">
        <v>7577</v>
      </c>
      <c r="X42" s="310">
        <v>709</v>
      </c>
      <c r="Y42" s="224">
        <v>7</v>
      </c>
      <c r="Z42" s="224">
        <v>70</v>
      </c>
      <c r="AA42" s="309">
        <v>0</v>
      </c>
      <c r="AB42" s="319">
        <v>786</v>
      </c>
      <c r="AC42" s="317">
        <v>0</v>
      </c>
      <c r="AD42" s="317">
        <v>0</v>
      </c>
      <c r="AE42" s="317">
        <v>0</v>
      </c>
      <c r="AF42" s="318">
        <v>0</v>
      </c>
      <c r="AG42" s="319">
        <v>0</v>
      </c>
    </row>
    <row r="43" spans="1:33" s="317" customFormat="1" ht="14.45" customHeight="1" x14ac:dyDescent="0.2">
      <c r="A43" s="3" t="s">
        <v>105</v>
      </c>
      <c r="B43" s="288">
        <v>45161</v>
      </c>
      <c r="C43" s="3" t="s">
        <v>177</v>
      </c>
      <c r="D43" s="224">
        <v>10068</v>
      </c>
      <c r="E43" s="224">
        <v>51</v>
      </c>
      <c r="F43" s="224">
        <v>148</v>
      </c>
      <c r="G43" s="309">
        <v>0</v>
      </c>
      <c r="H43" s="313">
        <v>42391</v>
      </c>
      <c r="I43" s="310">
        <v>5034</v>
      </c>
      <c r="J43" s="224">
        <v>0</v>
      </c>
      <c r="K43" s="224">
        <v>0</v>
      </c>
      <c r="L43" s="309">
        <v>0</v>
      </c>
      <c r="M43" s="313">
        <v>20886</v>
      </c>
      <c r="N43" s="310">
        <v>3524</v>
      </c>
      <c r="O43" s="224">
        <v>36</v>
      </c>
      <c r="P43" s="225">
        <v>0</v>
      </c>
      <c r="Q43" s="309">
        <v>0</v>
      </c>
      <c r="R43" s="313">
        <v>3717</v>
      </c>
      <c r="S43" s="310">
        <v>0</v>
      </c>
      <c r="T43" s="224">
        <v>0</v>
      </c>
      <c r="U43" s="224">
        <v>0</v>
      </c>
      <c r="V43" s="309">
        <v>0</v>
      </c>
      <c r="W43" s="313">
        <v>16115</v>
      </c>
      <c r="X43" s="310">
        <v>1510</v>
      </c>
      <c r="Y43" s="224">
        <v>15</v>
      </c>
      <c r="Z43" s="224">
        <v>148</v>
      </c>
      <c r="AA43" s="309">
        <v>0</v>
      </c>
      <c r="AB43" s="316">
        <v>1673</v>
      </c>
      <c r="AC43" s="317">
        <v>0</v>
      </c>
      <c r="AD43" s="317">
        <v>0</v>
      </c>
      <c r="AE43" s="317">
        <v>0</v>
      </c>
      <c r="AF43" s="318">
        <v>0</v>
      </c>
      <c r="AG43" s="319">
        <v>0</v>
      </c>
    </row>
    <row r="44" spans="1:33" s="317" customFormat="1" ht="14.45" customHeight="1" x14ac:dyDescent="0.2">
      <c r="A44" s="3" t="s">
        <v>85</v>
      </c>
      <c r="B44" s="288">
        <v>45161</v>
      </c>
      <c r="C44" s="3" t="s">
        <v>177</v>
      </c>
      <c r="D44" s="224">
        <v>296924</v>
      </c>
      <c r="E44" s="224">
        <v>1500</v>
      </c>
      <c r="F44" s="224">
        <v>4376</v>
      </c>
      <c r="G44" s="309">
        <v>0</v>
      </c>
      <c r="H44" s="313">
        <v>1743507</v>
      </c>
      <c r="I44" s="310">
        <v>148462</v>
      </c>
      <c r="J44" s="224">
        <v>0</v>
      </c>
      <c r="K44" s="224">
        <v>0</v>
      </c>
      <c r="L44" s="309">
        <v>0</v>
      </c>
      <c r="M44" s="313">
        <v>985952</v>
      </c>
      <c r="N44" s="310">
        <v>103923</v>
      </c>
      <c r="O44" s="224">
        <v>1050</v>
      </c>
      <c r="P44" s="225">
        <v>0</v>
      </c>
      <c r="Q44" s="309">
        <v>0</v>
      </c>
      <c r="R44" s="313">
        <v>109598</v>
      </c>
      <c r="S44" s="310">
        <v>0</v>
      </c>
      <c r="T44" s="224">
        <v>0</v>
      </c>
      <c r="U44" s="224">
        <v>0</v>
      </c>
      <c r="V44" s="309">
        <v>0</v>
      </c>
      <c r="W44" s="313">
        <v>598592</v>
      </c>
      <c r="X44" s="310">
        <v>44539</v>
      </c>
      <c r="Y44" s="224">
        <v>450</v>
      </c>
      <c r="Z44" s="224">
        <v>4376</v>
      </c>
      <c r="AA44" s="309">
        <v>0</v>
      </c>
      <c r="AB44" s="316">
        <v>49365</v>
      </c>
      <c r="AC44" s="317">
        <v>0</v>
      </c>
      <c r="AD44" s="317">
        <v>0</v>
      </c>
      <c r="AE44" s="317">
        <v>0</v>
      </c>
      <c r="AF44" s="318">
        <v>0</v>
      </c>
      <c r="AG44" s="319">
        <v>0</v>
      </c>
    </row>
    <row r="45" spans="1:33" s="317" customFormat="1" ht="14.45" customHeight="1" x14ac:dyDescent="0.2">
      <c r="A45" s="3" t="s">
        <v>85</v>
      </c>
      <c r="B45" s="288">
        <v>45192</v>
      </c>
      <c r="C45" s="3" t="s">
        <v>178</v>
      </c>
      <c r="D45" s="224">
        <v>736595</v>
      </c>
      <c r="E45" s="224">
        <v>3722</v>
      </c>
      <c r="F45" s="224">
        <v>10855</v>
      </c>
      <c r="G45" s="309">
        <v>3909</v>
      </c>
      <c r="H45" s="313">
        <v>3617660</v>
      </c>
      <c r="I45" s="310">
        <v>368298</v>
      </c>
      <c r="J45" s="224">
        <v>0</v>
      </c>
      <c r="K45" s="224">
        <v>0</v>
      </c>
      <c r="L45" s="309">
        <v>0</v>
      </c>
      <c r="M45" s="313">
        <v>1911680</v>
      </c>
      <c r="N45" s="310">
        <v>257808</v>
      </c>
      <c r="O45" s="224">
        <v>2605</v>
      </c>
      <c r="P45" s="225">
        <v>0</v>
      </c>
      <c r="Q45" s="309">
        <v>0</v>
      </c>
      <c r="R45" s="313">
        <v>271888</v>
      </c>
      <c r="S45" s="310">
        <v>0</v>
      </c>
      <c r="T45" s="224">
        <v>0</v>
      </c>
      <c r="U45" s="224">
        <v>0</v>
      </c>
      <c r="V45" s="309">
        <v>0</v>
      </c>
      <c r="W45" s="313">
        <v>1307722</v>
      </c>
      <c r="X45" s="310">
        <v>110489</v>
      </c>
      <c r="Y45" s="224">
        <v>1117</v>
      </c>
      <c r="Z45" s="224">
        <v>10855</v>
      </c>
      <c r="AA45" s="309">
        <v>0</v>
      </c>
      <c r="AB45" s="316">
        <v>122461</v>
      </c>
      <c r="AC45" s="317">
        <v>0</v>
      </c>
      <c r="AD45" s="317">
        <v>0</v>
      </c>
      <c r="AE45" s="317">
        <v>0</v>
      </c>
      <c r="AF45" s="320">
        <v>3909</v>
      </c>
      <c r="AG45" s="316">
        <v>3909</v>
      </c>
    </row>
    <row r="46" spans="1:33" s="317" customFormat="1" ht="14.45" customHeight="1" x14ac:dyDescent="0.2">
      <c r="A46" s="3" t="s">
        <v>85</v>
      </c>
      <c r="B46" s="288">
        <v>45222</v>
      </c>
      <c r="C46" s="3" t="s">
        <v>160</v>
      </c>
      <c r="D46" s="224">
        <v>948665</v>
      </c>
      <c r="E46" s="224">
        <v>4793</v>
      </c>
      <c r="F46" s="224">
        <v>13980</v>
      </c>
      <c r="G46" s="309">
        <v>32939</v>
      </c>
      <c r="H46" s="313">
        <v>4727066</v>
      </c>
      <c r="I46" s="310">
        <v>474333</v>
      </c>
      <c r="J46" s="224">
        <v>0</v>
      </c>
      <c r="K46" s="224">
        <v>0</v>
      </c>
      <c r="L46" s="309">
        <v>0</v>
      </c>
      <c r="M46" s="313">
        <v>2487535</v>
      </c>
      <c r="N46" s="310">
        <v>332033</v>
      </c>
      <c r="O46" s="224">
        <v>3355</v>
      </c>
      <c r="P46" s="225">
        <v>0</v>
      </c>
      <c r="Q46" s="309">
        <v>0</v>
      </c>
      <c r="R46" s="313">
        <v>350168</v>
      </c>
      <c r="S46" s="310">
        <v>0</v>
      </c>
      <c r="T46" s="224">
        <v>0</v>
      </c>
      <c r="U46" s="224">
        <v>0</v>
      </c>
      <c r="V46" s="309">
        <v>0</v>
      </c>
      <c r="W46" s="313">
        <v>1698707</v>
      </c>
      <c r="X46" s="310">
        <v>142299</v>
      </c>
      <c r="Y46" s="224">
        <v>1438</v>
      </c>
      <c r="Z46" s="224">
        <v>13980</v>
      </c>
      <c r="AA46" s="309">
        <v>0</v>
      </c>
      <c r="AB46" s="316">
        <v>157717</v>
      </c>
      <c r="AC46" s="317">
        <v>0</v>
      </c>
      <c r="AD46" s="317">
        <v>0</v>
      </c>
      <c r="AE46" s="317">
        <v>0</v>
      </c>
      <c r="AF46" s="320">
        <v>32939</v>
      </c>
      <c r="AG46" s="316">
        <v>32939</v>
      </c>
    </row>
    <row r="47" spans="1:33" s="329" customFormat="1" ht="11.25" x14ac:dyDescent="0.2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391FC-DAE1-4817-B2F4-4F0DA3ABA5BB}">
  <sheetPr>
    <tabColor theme="5" tint="0.59999389629810485"/>
  </sheetPr>
  <dimension ref="A1:AG26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2.42578125" defaultRowHeight="15" x14ac:dyDescent="0.25"/>
  <cols>
    <col min="1" max="1" width="15" style="109" bestFit="1" customWidth="1"/>
    <col min="2" max="2" width="13.5703125" style="109" customWidth="1"/>
    <col min="3" max="17" width="16.7109375" style="109" customWidth="1"/>
    <col min="18" max="16384" width="12.42578125" style="109"/>
  </cols>
  <sheetData>
    <row r="1" spans="1:33" x14ac:dyDescent="0.25">
      <c r="A1" s="108" t="s">
        <v>141</v>
      </c>
      <c r="B1" s="182" t="s">
        <v>179</v>
      </c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5"/>
      <c r="AC1" s="315"/>
      <c r="AD1" s="315"/>
      <c r="AE1" s="315"/>
      <c r="AF1" s="315"/>
      <c r="AG1" s="315"/>
    </row>
    <row r="2" spans="1:33" s="234" customFormat="1" ht="11.25" x14ac:dyDescent="0.2">
      <c r="A2" s="243"/>
      <c r="B2" s="243"/>
      <c r="C2" s="243"/>
      <c r="D2" s="1" t="s">
        <v>144</v>
      </c>
      <c r="E2" s="1" t="s">
        <v>144</v>
      </c>
      <c r="F2" s="1" t="s">
        <v>144</v>
      </c>
      <c r="G2" s="1" t="s">
        <v>144</v>
      </c>
      <c r="H2" s="311" t="s">
        <v>144</v>
      </c>
      <c r="I2" s="1" t="s">
        <v>145</v>
      </c>
      <c r="J2" s="1" t="s">
        <v>145</v>
      </c>
      <c r="K2" s="1" t="s">
        <v>145</v>
      </c>
      <c r="L2" s="1" t="s">
        <v>145</v>
      </c>
      <c r="M2" s="311" t="s">
        <v>145</v>
      </c>
      <c r="N2" s="1" t="s">
        <v>146</v>
      </c>
      <c r="O2" s="1" t="s">
        <v>146</v>
      </c>
      <c r="P2" s="1" t="s">
        <v>146</v>
      </c>
      <c r="Q2" s="1" t="s">
        <v>146</v>
      </c>
      <c r="R2" s="311" t="s">
        <v>146</v>
      </c>
      <c r="S2" s="1" t="s">
        <v>147</v>
      </c>
      <c r="T2" s="1" t="s">
        <v>147</v>
      </c>
      <c r="U2" s="1" t="s">
        <v>147</v>
      </c>
      <c r="V2" s="1" t="s">
        <v>147</v>
      </c>
      <c r="W2" s="311" t="s">
        <v>147</v>
      </c>
      <c r="X2" s="1" t="s">
        <v>148</v>
      </c>
      <c r="Y2" s="1" t="s">
        <v>148</v>
      </c>
      <c r="Z2" s="1" t="s">
        <v>148</v>
      </c>
      <c r="AA2" s="1" t="s">
        <v>148</v>
      </c>
      <c r="AB2" s="311" t="s">
        <v>148</v>
      </c>
      <c r="AC2" s="1" t="s">
        <v>149</v>
      </c>
      <c r="AD2" s="1" t="s">
        <v>149</v>
      </c>
      <c r="AE2" s="1" t="s">
        <v>149</v>
      </c>
      <c r="AF2" s="1" t="s">
        <v>149</v>
      </c>
      <c r="AG2" s="1" t="s">
        <v>149</v>
      </c>
    </row>
    <row r="3" spans="1:33" s="234" customFormat="1" ht="11.25" x14ac:dyDescent="0.2">
      <c r="A3" s="239" t="s">
        <v>150</v>
      </c>
      <c r="B3" s="240" t="s">
        <v>151</v>
      </c>
      <c r="C3" s="241" t="s">
        <v>152</v>
      </c>
      <c r="D3" s="1" t="s">
        <v>45</v>
      </c>
      <c r="E3" s="1" t="s">
        <v>46</v>
      </c>
      <c r="F3" s="1" t="s">
        <v>118</v>
      </c>
      <c r="G3" s="308" t="s">
        <v>159</v>
      </c>
      <c r="H3" s="312" t="s">
        <v>163</v>
      </c>
      <c r="I3" s="235" t="s">
        <v>45</v>
      </c>
      <c r="J3" s="1" t="s">
        <v>46</v>
      </c>
      <c r="K3" s="1" t="s">
        <v>118</v>
      </c>
      <c r="L3" s="308" t="s">
        <v>159</v>
      </c>
      <c r="M3" s="312" t="s">
        <v>163</v>
      </c>
      <c r="N3" s="235" t="s">
        <v>45</v>
      </c>
      <c r="O3" s="1" t="s">
        <v>46</v>
      </c>
      <c r="P3" s="1" t="s">
        <v>118</v>
      </c>
      <c r="Q3" s="308" t="s">
        <v>159</v>
      </c>
      <c r="R3" s="312" t="s">
        <v>163</v>
      </c>
      <c r="S3" s="235" t="s">
        <v>45</v>
      </c>
      <c r="T3" s="1" t="s">
        <v>46</v>
      </c>
      <c r="U3" s="1" t="s">
        <v>118</v>
      </c>
      <c r="V3" s="308" t="s">
        <v>159</v>
      </c>
      <c r="W3" s="312" t="s">
        <v>163</v>
      </c>
      <c r="X3" s="235" t="s">
        <v>45</v>
      </c>
      <c r="Y3" s="1" t="s">
        <v>46</v>
      </c>
      <c r="Z3" s="1" t="s">
        <v>118</v>
      </c>
      <c r="AA3" s="308" t="s">
        <v>159</v>
      </c>
      <c r="AB3" s="312" t="s">
        <v>163</v>
      </c>
      <c r="AC3" s="235" t="s">
        <v>45</v>
      </c>
      <c r="AD3" s="1" t="s">
        <v>46</v>
      </c>
      <c r="AE3" s="1" t="s">
        <v>118</v>
      </c>
      <c r="AF3" s="308" t="s">
        <v>159</v>
      </c>
      <c r="AG3" s="312" t="s">
        <v>163</v>
      </c>
    </row>
    <row r="4" spans="1:33" customFormat="1" x14ac:dyDescent="0.25">
      <c r="A4" s="3" t="s">
        <v>49</v>
      </c>
      <c r="B4" s="288">
        <v>45192</v>
      </c>
      <c r="C4" s="3" t="s">
        <v>168</v>
      </c>
      <c r="D4" s="224">
        <v>325</v>
      </c>
      <c r="E4" s="224">
        <v>2</v>
      </c>
      <c r="F4" s="224">
        <v>5</v>
      </c>
      <c r="G4" s="309">
        <v>0</v>
      </c>
      <c r="H4" s="313">
        <v>1372</v>
      </c>
      <c r="I4" s="310">
        <v>163</v>
      </c>
      <c r="J4" s="224">
        <v>0</v>
      </c>
      <c r="K4" s="224">
        <v>0</v>
      </c>
      <c r="L4" s="309">
        <v>0</v>
      </c>
      <c r="M4" s="313">
        <v>677</v>
      </c>
      <c r="N4" s="310">
        <v>114</v>
      </c>
      <c r="O4" s="224">
        <v>1</v>
      </c>
      <c r="P4" s="225">
        <v>0</v>
      </c>
      <c r="Q4" s="309">
        <v>0</v>
      </c>
      <c r="R4" s="313">
        <v>120</v>
      </c>
      <c r="S4" s="310">
        <v>0</v>
      </c>
      <c r="T4" s="224">
        <v>0</v>
      </c>
      <c r="U4" s="224">
        <v>0</v>
      </c>
      <c r="V4" s="309">
        <v>0</v>
      </c>
      <c r="W4" s="313">
        <v>521</v>
      </c>
      <c r="X4" s="310">
        <v>48</v>
      </c>
      <c r="Y4" s="224">
        <v>1</v>
      </c>
      <c r="Z4" s="224">
        <v>5</v>
      </c>
      <c r="AA4" s="309">
        <v>0</v>
      </c>
      <c r="AB4" s="313">
        <v>54</v>
      </c>
      <c r="AC4" s="310">
        <v>0</v>
      </c>
      <c r="AD4" s="224">
        <v>0</v>
      </c>
      <c r="AE4" s="224">
        <v>0</v>
      </c>
      <c r="AF4" s="309">
        <v>0</v>
      </c>
      <c r="AG4" s="313">
        <v>0</v>
      </c>
    </row>
    <row r="5" spans="1:33" customFormat="1" x14ac:dyDescent="0.25">
      <c r="A5" s="3" t="s">
        <v>49</v>
      </c>
      <c r="B5" s="288">
        <v>45192</v>
      </c>
      <c r="C5" s="3" t="s">
        <v>170</v>
      </c>
      <c r="D5" s="224">
        <v>4485</v>
      </c>
      <c r="E5" s="224">
        <v>26</v>
      </c>
      <c r="F5" s="224">
        <v>64</v>
      </c>
      <c r="G5" s="309">
        <v>0</v>
      </c>
      <c r="H5" s="313">
        <v>18917</v>
      </c>
      <c r="I5" s="310">
        <v>2243</v>
      </c>
      <c r="J5" s="224">
        <v>0</v>
      </c>
      <c r="K5" s="224">
        <v>0</v>
      </c>
      <c r="L5" s="309">
        <v>0</v>
      </c>
      <c r="M5" s="313">
        <v>9330</v>
      </c>
      <c r="N5" s="310">
        <v>1570</v>
      </c>
      <c r="O5" s="224">
        <v>18</v>
      </c>
      <c r="P5" s="225">
        <v>0</v>
      </c>
      <c r="Q5" s="309">
        <v>0</v>
      </c>
      <c r="R5" s="313">
        <v>1662</v>
      </c>
      <c r="S5" s="310">
        <v>0</v>
      </c>
      <c r="T5" s="224">
        <v>0</v>
      </c>
      <c r="U5" s="224">
        <v>0</v>
      </c>
      <c r="V5" s="309">
        <v>0</v>
      </c>
      <c r="W5" s="313">
        <v>7181</v>
      </c>
      <c r="X5" s="310">
        <v>672</v>
      </c>
      <c r="Y5" s="224">
        <v>8</v>
      </c>
      <c r="Z5" s="224">
        <v>64</v>
      </c>
      <c r="AA5" s="309">
        <v>0</v>
      </c>
      <c r="AB5" s="313">
        <v>744</v>
      </c>
      <c r="AC5" s="310">
        <v>0</v>
      </c>
      <c r="AD5" s="224">
        <v>0</v>
      </c>
      <c r="AE5" s="224">
        <v>0</v>
      </c>
      <c r="AF5" s="309">
        <v>0</v>
      </c>
      <c r="AG5" s="313">
        <v>0</v>
      </c>
    </row>
    <row r="6" spans="1:33" customFormat="1" x14ac:dyDescent="0.25">
      <c r="A6" s="3" t="s">
        <v>49</v>
      </c>
      <c r="B6" s="288">
        <v>45192</v>
      </c>
      <c r="C6" s="3" t="s">
        <v>171</v>
      </c>
      <c r="D6" s="224">
        <v>33544</v>
      </c>
      <c r="E6" s="224">
        <v>198</v>
      </c>
      <c r="F6" s="224">
        <v>481</v>
      </c>
      <c r="G6" s="309">
        <v>0</v>
      </c>
      <c r="H6" s="313">
        <v>141475</v>
      </c>
      <c r="I6" s="310">
        <v>16772</v>
      </c>
      <c r="J6" s="224">
        <v>0</v>
      </c>
      <c r="K6" s="224">
        <v>0</v>
      </c>
      <c r="L6" s="309">
        <v>0</v>
      </c>
      <c r="M6" s="313">
        <v>69769</v>
      </c>
      <c r="N6" s="310">
        <v>11740</v>
      </c>
      <c r="O6" s="224">
        <v>139</v>
      </c>
      <c r="P6" s="225">
        <v>0</v>
      </c>
      <c r="Q6" s="309">
        <v>0</v>
      </c>
      <c r="R6" s="313">
        <v>12430</v>
      </c>
      <c r="S6" s="310">
        <v>0</v>
      </c>
      <c r="T6" s="224">
        <v>0</v>
      </c>
      <c r="U6" s="224">
        <v>0</v>
      </c>
      <c r="V6" s="309">
        <v>0</v>
      </c>
      <c r="W6" s="313">
        <v>53704</v>
      </c>
      <c r="X6" s="310">
        <v>5032</v>
      </c>
      <c r="Y6" s="224">
        <v>59</v>
      </c>
      <c r="Z6" s="224">
        <v>481</v>
      </c>
      <c r="AA6" s="309">
        <v>0</v>
      </c>
      <c r="AB6" s="313">
        <v>5572</v>
      </c>
      <c r="AC6" s="310">
        <v>0</v>
      </c>
      <c r="AD6" s="224">
        <v>0</v>
      </c>
      <c r="AE6" s="224">
        <v>0</v>
      </c>
      <c r="AF6" s="309">
        <v>0</v>
      </c>
      <c r="AG6" s="313">
        <v>0</v>
      </c>
    </row>
    <row r="7" spans="1:33" customFormat="1" x14ac:dyDescent="0.25">
      <c r="A7" s="3" t="s">
        <v>49</v>
      </c>
      <c r="B7" s="288">
        <v>45192</v>
      </c>
      <c r="C7" s="3" t="s">
        <v>172</v>
      </c>
      <c r="D7" s="224">
        <v>50698</v>
      </c>
      <c r="E7" s="224">
        <v>299</v>
      </c>
      <c r="F7" s="224">
        <v>727</v>
      </c>
      <c r="G7" s="309">
        <v>0</v>
      </c>
      <c r="H7" s="313">
        <v>213827</v>
      </c>
      <c r="I7" s="310">
        <v>25349</v>
      </c>
      <c r="J7" s="224">
        <v>0</v>
      </c>
      <c r="K7" s="224">
        <v>0</v>
      </c>
      <c r="L7" s="309">
        <v>0</v>
      </c>
      <c r="M7" s="313">
        <v>105448</v>
      </c>
      <c r="N7" s="310">
        <v>17744</v>
      </c>
      <c r="O7" s="224">
        <v>209</v>
      </c>
      <c r="P7" s="225">
        <v>0</v>
      </c>
      <c r="Q7" s="309">
        <v>0</v>
      </c>
      <c r="R7" s="313">
        <v>18787</v>
      </c>
      <c r="S7" s="310">
        <v>0</v>
      </c>
      <c r="T7" s="224">
        <v>0</v>
      </c>
      <c r="U7" s="224">
        <v>0</v>
      </c>
      <c r="V7" s="309">
        <v>0</v>
      </c>
      <c r="W7" s="313">
        <v>81170</v>
      </c>
      <c r="X7" s="310">
        <v>7605</v>
      </c>
      <c r="Y7" s="224">
        <v>90</v>
      </c>
      <c r="Z7" s="224">
        <v>727</v>
      </c>
      <c r="AA7" s="309">
        <v>0</v>
      </c>
      <c r="AB7" s="313">
        <v>8422</v>
      </c>
      <c r="AC7" s="310">
        <v>0</v>
      </c>
      <c r="AD7" s="224">
        <v>0</v>
      </c>
      <c r="AE7" s="224">
        <v>0</v>
      </c>
      <c r="AF7" s="309">
        <v>0</v>
      </c>
      <c r="AG7" s="313">
        <v>0</v>
      </c>
    </row>
    <row r="8" spans="1:33" customFormat="1" x14ac:dyDescent="0.25">
      <c r="A8" s="3" t="s">
        <v>49</v>
      </c>
      <c r="B8" s="288">
        <v>45192</v>
      </c>
      <c r="C8" s="3" t="s">
        <v>164</v>
      </c>
      <c r="D8" s="224">
        <v>39511</v>
      </c>
      <c r="E8" s="224">
        <v>233</v>
      </c>
      <c r="F8" s="224">
        <v>567</v>
      </c>
      <c r="G8" s="309">
        <v>0</v>
      </c>
      <c r="H8" s="313">
        <v>166643</v>
      </c>
      <c r="I8" s="310">
        <v>19756</v>
      </c>
      <c r="J8" s="224">
        <v>0</v>
      </c>
      <c r="K8" s="224">
        <v>0</v>
      </c>
      <c r="L8" s="309">
        <v>0</v>
      </c>
      <c r="M8" s="313">
        <v>82181</v>
      </c>
      <c r="N8" s="310">
        <v>13829</v>
      </c>
      <c r="O8" s="224">
        <v>163</v>
      </c>
      <c r="P8" s="225">
        <v>0</v>
      </c>
      <c r="Q8" s="309">
        <v>0</v>
      </c>
      <c r="R8" s="313">
        <v>14641</v>
      </c>
      <c r="S8" s="310">
        <v>0</v>
      </c>
      <c r="T8" s="224">
        <v>0</v>
      </c>
      <c r="U8" s="224">
        <v>0</v>
      </c>
      <c r="V8" s="309">
        <v>0</v>
      </c>
      <c r="W8" s="313">
        <v>63258</v>
      </c>
      <c r="X8" s="310">
        <v>5926</v>
      </c>
      <c r="Y8" s="224">
        <v>70</v>
      </c>
      <c r="Z8" s="224">
        <v>567</v>
      </c>
      <c r="AA8" s="309">
        <v>0</v>
      </c>
      <c r="AB8" s="313">
        <v>6563</v>
      </c>
      <c r="AC8" s="310">
        <v>0</v>
      </c>
      <c r="AD8" s="224">
        <v>0</v>
      </c>
      <c r="AE8" s="224">
        <v>0</v>
      </c>
      <c r="AF8" s="309">
        <v>0</v>
      </c>
      <c r="AG8" s="313">
        <v>0</v>
      </c>
    </row>
    <row r="9" spans="1:33" customFormat="1" x14ac:dyDescent="0.25">
      <c r="A9" s="3" t="s">
        <v>49</v>
      </c>
      <c r="B9" s="288">
        <v>45192</v>
      </c>
      <c r="C9" s="3" t="s">
        <v>165</v>
      </c>
      <c r="D9" s="224">
        <v>17014</v>
      </c>
      <c r="E9" s="224">
        <v>100</v>
      </c>
      <c r="F9" s="224">
        <v>244</v>
      </c>
      <c r="G9" s="309">
        <v>0</v>
      </c>
      <c r="H9" s="313">
        <v>71760</v>
      </c>
      <c r="I9" s="310">
        <v>8507</v>
      </c>
      <c r="J9" s="224">
        <v>0</v>
      </c>
      <c r="K9" s="224">
        <v>0</v>
      </c>
      <c r="L9" s="309">
        <v>0</v>
      </c>
      <c r="M9" s="313">
        <v>35389</v>
      </c>
      <c r="N9" s="310">
        <v>5955</v>
      </c>
      <c r="O9" s="224">
        <v>70</v>
      </c>
      <c r="P9" s="225">
        <v>0</v>
      </c>
      <c r="Q9" s="309">
        <v>0</v>
      </c>
      <c r="R9" s="313">
        <v>6304</v>
      </c>
      <c r="S9" s="310">
        <v>0</v>
      </c>
      <c r="T9" s="224">
        <v>0</v>
      </c>
      <c r="U9" s="224">
        <v>0</v>
      </c>
      <c r="V9" s="309">
        <v>0</v>
      </c>
      <c r="W9" s="313">
        <v>27241</v>
      </c>
      <c r="X9" s="310">
        <v>2552</v>
      </c>
      <c r="Y9" s="224">
        <v>30</v>
      </c>
      <c r="Z9" s="224">
        <v>244</v>
      </c>
      <c r="AA9" s="309">
        <v>0</v>
      </c>
      <c r="AB9" s="313">
        <v>2826</v>
      </c>
      <c r="AC9" s="310">
        <v>0</v>
      </c>
      <c r="AD9" s="224">
        <v>0</v>
      </c>
      <c r="AE9" s="224">
        <v>0</v>
      </c>
      <c r="AF9" s="309">
        <v>0</v>
      </c>
      <c r="AG9" s="313">
        <v>0</v>
      </c>
    </row>
    <row r="10" spans="1:33" customFormat="1" x14ac:dyDescent="0.25">
      <c r="A10" s="3" t="s">
        <v>59</v>
      </c>
      <c r="B10" s="288">
        <v>45192</v>
      </c>
      <c r="C10" s="3" t="s">
        <v>169</v>
      </c>
      <c r="D10" s="224">
        <v>15728</v>
      </c>
      <c r="E10" s="224">
        <v>93</v>
      </c>
      <c r="F10" s="224">
        <v>226</v>
      </c>
      <c r="G10" s="309">
        <v>0</v>
      </c>
      <c r="H10" s="313">
        <v>66333</v>
      </c>
      <c r="I10" s="310">
        <v>7864</v>
      </c>
      <c r="J10" s="224">
        <v>0</v>
      </c>
      <c r="K10" s="224">
        <v>0</v>
      </c>
      <c r="L10" s="309">
        <v>0</v>
      </c>
      <c r="M10" s="313">
        <v>32712</v>
      </c>
      <c r="N10" s="310">
        <v>5505</v>
      </c>
      <c r="O10" s="224">
        <v>65</v>
      </c>
      <c r="P10" s="225">
        <v>0</v>
      </c>
      <c r="Q10" s="309">
        <v>0</v>
      </c>
      <c r="R10" s="313">
        <v>5829</v>
      </c>
      <c r="S10" s="310">
        <v>0</v>
      </c>
      <c r="T10" s="224">
        <v>0</v>
      </c>
      <c r="U10" s="224">
        <v>0</v>
      </c>
      <c r="V10" s="309">
        <v>0</v>
      </c>
      <c r="W10" s="313">
        <v>25179</v>
      </c>
      <c r="X10" s="310">
        <v>2359</v>
      </c>
      <c r="Y10" s="224">
        <v>28</v>
      </c>
      <c r="Z10" s="224">
        <v>226</v>
      </c>
      <c r="AA10" s="309">
        <v>0</v>
      </c>
      <c r="AB10" s="313">
        <v>2613</v>
      </c>
      <c r="AC10" s="310">
        <v>0</v>
      </c>
      <c r="AD10" s="224">
        <v>0</v>
      </c>
      <c r="AE10" s="224">
        <v>0</v>
      </c>
      <c r="AF10" s="309">
        <v>0</v>
      </c>
      <c r="AG10" s="313">
        <v>0</v>
      </c>
    </row>
    <row r="11" spans="1:33" customFormat="1" x14ac:dyDescent="0.25">
      <c r="A11" s="3" t="s">
        <v>59</v>
      </c>
      <c r="B11" s="288">
        <v>45192</v>
      </c>
      <c r="C11" s="3" t="s">
        <v>170</v>
      </c>
      <c r="D11" s="224">
        <v>44076</v>
      </c>
      <c r="E11" s="224">
        <v>260</v>
      </c>
      <c r="F11" s="224">
        <v>632</v>
      </c>
      <c r="G11" s="309">
        <v>0</v>
      </c>
      <c r="H11" s="313">
        <v>185895</v>
      </c>
      <c r="I11" s="310">
        <v>22038</v>
      </c>
      <c r="J11" s="224">
        <v>0</v>
      </c>
      <c r="K11" s="224">
        <v>0</v>
      </c>
      <c r="L11" s="309">
        <v>0</v>
      </c>
      <c r="M11" s="313">
        <v>91674</v>
      </c>
      <c r="N11" s="310">
        <v>15427</v>
      </c>
      <c r="O11" s="224">
        <v>182</v>
      </c>
      <c r="P11" s="225">
        <v>0</v>
      </c>
      <c r="Q11" s="309">
        <v>0</v>
      </c>
      <c r="R11" s="313">
        <v>16335</v>
      </c>
      <c r="S11" s="310">
        <v>0</v>
      </c>
      <c r="T11" s="224">
        <v>0</v>
      </c>
      <c r="U11" s="224">
        <v>0</v>
      </c>
      <c r="V11" s="309">
        <v>0</v>
      </c>
      <c r="W11" s="313">
        <v>70565</v>
      </c>
      <c r="X11" s="310">
        <v>6611</v>
      </c>
      <c r="Y11" s="224">
        <v>78</v>
      </c>
      <c r="Z11" s="224">
        <v>632</v>
      </c>
      <c r="AA11" s="309">
        <v>0</v>
      </c>
      <c r="AB11" s="313">
        <v>7321</v>
      </c>
      <c r="AC11" s="310">
        <v>0</v>
      </c>
      <c r="AD11" s="224">
        <v>0</v>
      </c>
      <c r="AE11" s="224">
        <v>0</v>
      </c>
      <c r="AF11" s="309">
        <v>0</v>
      </c>
      <c r="AG11" s="313">
        <v>0</v>
      </c>
    </row>
    <row r="12" spans="1:33" customFormat="1" x14ac:dyDescent="0.25">
      <c r="A12" s="3" t="s">
        <v>59</v>
      </c>
      <c r="B12" s="288">
        <v>45192</v>
      </c>
      <c r="C12" s="3" t="s">
        <v>171</v>
      </c>
      <c r="D12" s="224">
        <v>38697</v>
      </c>
      <c r="E12" s="224">
        <v>228</v>
      </c>
      <c r="F12" s="224">
        <v>555</v>
      </c>
      <c r="G12" s="309">
        <v>0</v>
      </c>
      <c r="H12" s="313">
        <v>163208</v>
      </c>
      <c r="I12" s="310">
        <v>19349</v>
      </c>
      <c r="J12" s="224">
        <v>0</v>
      </c>
      <c r="K12" s="224">
        <v>0</v>
      </c>
      <c r="L12" s="309">
        <v>0</v>
      </c>
      <c r="M12" s="313">
        <v>80486</v>
      </c>
      <c r="N12" s="310">
        <v>13544</v>
      </c>
      <c r="O12" s="224">
        <v>160</v>
      </c>
      <c r="P12" s="225">
        <v>0</v>
      </c>
      <c r="Q12" s="309">
        <v>0</v>
      </c>
      <c r="R12" s="313">
        <v>14341</v>
      </c>
      <c r="S12" s="310">
        <v>0</v>
      </c>
      <c r="T12" s="224">
        <v>0</v>
      </c>
      <c r="U12" s="224">
        <v>0</v>
      </c>
      <c r="V12" s="309">
        <v>0</v>
      </c>
      <c r="W12" s="313">
        <v>61954</v>
      </c>
      <c r="X12" s="310">
        <v>5804</v>
      </c>
      <c r="Y12" s="224">
        <v>68</v>
      </c>
      <c r="Z12" s="224">
        <v>555</v>
      </c>
      <c r="AA12" s="309">
        <v>0</v>
      </c>
      <c r="AB12" s="313">
        <v>6427</v>
      </c>
      <c r="AC12" s="310">
        <v>0</v>
      </c>
      <c r="AD12" s="224">
        <v>0</v>
      </c>
      <c r="AE12" s="224">
        <v>0</v>
      </c>
      <c r="AF12" s="309">
        <v>0</v>
      </c>
      <c r="AG12" s="313">
        <v>0</v>
      </c>
    </row>
    <row r="13" spans="1:33" customFormat="1" x14ac:dyDescent="0.25">
      <c r="A13" s="3" t="s">
        <v>59</v>
      </c>
      <c r="B13" s="288">
        <v>45192</v>
      </c>
      <c r="C13" s="3" t="s">
        <v>172</v>
      </c>
      <c r="D13" s="224">
        <v>55547</v>
      </c>
      <c r="E13" s="224">
        <v>328</v>
      </c>
      <c r="F13" s="224">
        <v>797</v>
      </c>
      <c r="G13" s="309">
        <v>0</v>
      </c>
      <c r="H13" s="313">
        <v>234275</v>
      </c>
      <c r="I13" s="310">
        <v>27774</v>
      </c>
      <c r="J13" s="224">
        <v>0</v>
      </c>
      <c r="K13" s="224">
        <v>0</v>
      </c>
      <c r="L13" s="309">
        <v>0</v>
      </c>
      <c r="M13" s="313">
        <v>115533</v>
      </c>
      <c r="N13" s="310">
        <v>19441</v>
      </c>
      <c r="O13" s="224">
        <v>230</v>
      </c>
      <c r="P13" s="225">
        <v>0</v>
      </c>
      <c r="Q13" s="309">
        <v>0</v>
      </c>
      <c r="R13" s="313">
        <v>20584</v>
      </c>
      <c r="S13" s="310">
        <v>0</v>
      </c>
      <c r="T13" s="224">
        <v>0</v>
      </c>
      <c r="U13" s="224">
        <v>0</v>
      </c>
      <c r="V13" s="309">
        <v>0</v>
      </c>
      <c r="W13" s="313">
        <v>88931</v>
      </c>
      <c r="X13" s="310">
        <v>8332</v>
      </c>
      <c r="Y13" s="224">
        <v>98</v>
      </c>
      <c r="Z13" s="224">
        <v>797</v>
      </c>
      <c r="AA13" s="309">
        <v>0</v>
      </c>
      <c r="AB13" s="313">
        <v>9227</v>
      </c>
      <c r="AC13" s="310">
        <v>0</v>
      </c>
      <c r="AD13" s="224">
        <v>0</v>
      </c>
      <c r="AE13" s="224">
        <v>0</v>
      </c>
      <c r="AF13" s="309">
        <v>0</v>
      </c>
      <c r="AG13" s="313">
        <v>0</v>
      </c>
    </row>
    <row r="14" spans="1:33" customFormat="1" x14ac:dyDescent="0.25">
      <c r="A14" s="3" t="s">
        <v>59</v>
      </c>
      <c r="B14" s="288">
        <v>45192</v>
      </c>
      <c r="C14" s="3" t="s">
        <v>164</v>
      </c>
      <c r="D14" s="224">
        <v>52401</v>
      </c>
      <c r="E14" s="224">
        <v>309</v>
      </c>
      <c r="F14" s="224">
        <v>751</v>
      </c>
      <c r="G14" s="309">
        <v>0</v>
      </c>
      <c r="H14" s="313">
        <v>221007</v>
      </c>
      <c r="I14" s="310">
        <v>26201</v>
      </c>
      <c r="J14" s="224">
        <v>0</v>
      </c>
      <c r="K14" s="224">
        <v>0</v>
      </c>
      <c r="L14" s="309">
        <v>0</v>
      </c>
      <c r="M14" s="313">
        <v>108990</v>
      </c>
      <c r="N14" s="310">
        <v>18340</v>
      </c>
      <c r="O14" s="224">
        <v>216</v>
      </c>
      <c r="P14" s="225">
        <v>0</v>
      </c>
      <c r="Q14" s="309">
        <v>0</v>
      </c>
      <c r="R14" s="313">
        <v>19418</v>
      </c>
      <c r="S14" s="310">
        <v>0</v>
      </c>
      <c r="T14" s="224">
        <v>0</v>
      </c>
      <c r="U14" s="224">
        <v>0</v>
      </c>
      <c r="V14" s="309">
        <v>0</v>
      </c>
      <c r="W14" s="313">
        <v>83895</v>
      </c>
      <c r="X14" s="310">
        <v>7860</v>
      </c>
      <c r="Y14" s="224">
        <v>93</v>
      </c>
      <c r="Z14" s="224">
        <v>751</v>
      </c>
      <c r="AA14" s="309">
        <v>0</v>
      </c>
      <c r="AB14" s="313">
        <v>8704</v>
      </c>
      <c r="AC14" s="310">
        <v>0</v>
      </c>
      <c r="AD14" s="224">
        <v>0</v>
      </c>
      <c r="AE14" s="224">
        <v>0</v>
      </c>
      <c r="AF14" s="309">
        <v>0</v>
      </c>
      <c r="AG14" s="313">
        <v>0</v>
      </c>
    </row>
    <row r="15" spans="1:33" customFormat="1" x14ac:dyDescent="0.25">
      <c r="A15" s="3" t="s">
        <v>59</v>
      </c>
      <c r="B15" s="288">
        <v>45222</v>
      </c>
      <c r="C15" s="3" t="s">
        <v>171</v>
      </c>
      <c r="D15" s="224">
        <v>62693</v>
      </c>
      <c r="E15" s="224">
        <v>370</v>
      </c>
      <c r="F15" s="224">
        <v>899</v>
      </c>
      <c r="G15" s="309">
        <v>0</v>
      </c>
      <c r="H15" s="313">
        <v>264417</v>
      </c>
      <c r="I15" s="310">
        <v>31347</v>
      </c>
      <c r="J15" s="224">
        <v>0</v>
      </c>
      <c r="K15" s="224">
        <v>0</v>
      </c>
      <c r="L15" s="309">
        <v>0</v>
      </c>
      <c r="M15" s="313">
        <v>130397</v>
      </c>
      <c r="N15" s="310">
        <v>21943</v>
      </c>
      <c r="O15" s="224">
        <v>259</v>
      </c>
      <c r="P15" s="225">
        <v>0</v>
      </c>
      <c r="Q15" s="309">
        <v>0</v>
      </c>
      <c r="R15" s="313">
        <v>23234</v>
      </c>
      <c r="S15" s="310">
        <v>0</v>
      </c>
      <c r="T15" s="224">
        <v>0</v>
      </c>
      <c r="U15" s="224">
        <v>0</v>
      </c>
      <c r="V15" s="309">
        <v>0</v>
      </c>
      <c r="W15" s="313">
        <v>100373</v>
      </c>
      <c r="X15" s="310">
        <v>9403</v>
      </c>
      <c r="Y15" s="224">
        <v>111</v>
      </c>
      <c r="Z15" s="224">
        <v>899</v>
      </c>
      <c r="AA15" s="309">
        <v>0</v>
      </c>
      <c r="AB15" s="313">
        <v>10413</v>
      </c>
      <c r="AC15" s="310">
        <v>0</v>
      </c>
      <c r="AD15" s="224">
        <v>0</v>
      </c>
      <c r="AE15" s="224">
        <v>0</v>
      </c>
      <c r="AF15" s="309">
        <v>0</v>
      </c>
      <c r="AG15" s="313">
        <v>0</v>
      </c>
    </row>
    <row r="16" spans="1:33" customFormat="1" x14ac:dyDescent="0.25">
      <c r="A16" s="3" t="s">
        <v>83</v>
      </c>
      <c r="B16" s="288">
        <v>45192</v>
      </c>
      <c r="C16" s="3" t="s">
        <v>172</v>
      </c>
      <c r="D16" s="224">
        <v>8962</v>
      </c>
      <c r="E16" s="224">
        <v>53</v>
      </c>
      <c r="F16" s="224">
        <v>129</v>
      </c>
      <c r="G16" s="309">
        <v>0</v>
      </c>
      <c r="H16" s="313">
        <v>37800</v>
      </c>
      <c r="I16" s="310">
        <v>4481</v>
      </c>
      <c r="J16" s="224">
        <v>0</v>
      </c>
      <c r="K16" s="224">
        <v>0</v>
      </c>
      <c r="L16" s="309">
        <v>0</v>
      </c>
      <c r="M16" s="313">
        <v>18641</v>
      </c>
      <c r="N16" s="310">
        <v>3137</v>
      </c>
      <c r="O16" s="224">
        <v>37</v>
      </c>
      <c r="P16" s="225">
        <v>0</v>
      </c>
      <c r="Q16" s="309">
        <v>0</v>
      </c>
      <c r="R16" s="313">
        <v>3321</v>
      </c>
      <c r="S16" s="310">
        <v>0</v>
      </c>
      <c r="T16" s="224">
        <v>0</v>
      </c>
      <c r="U16" s="224">
        <v>0</v>
      </c>
      <c r="V16" s="309">
        <v>0</v>
      </c>
      <c r="W16" s="313">
        <v>14349</v>
      </c>
      <c r="X16" s="310">
        <v>1344</v>
      </c>
      <c r="Y16" s="224">
        <v>16</v>
      </c>
      <c r="Z16" s="224">
        <v>129</v>
      </c>
      <c r="AA16" s="309">
        <v>0</v>
      </c>
      <c r="AB16" s="313">
        <v>1489</v>
      </c>
      <c r="AC16" s="310">
        <v>0</v>
      </c>
      <c r="AD16" s="224">
        <v>0</v>
      </c>
      <c r="AE16" s="224">
        <v>0</v>
      </c>
      <c r="AF16" s="309">
        <v>0</v>
      </c>
      <c r="AG16" s="313">
        <v>0</v>
      </c>
    </row>
    <row r="17" spans="1:33" customFormat="1" x14ac:dyDescent="0.25">
      <c r="A17" s="3" t="s">
        <v>83</v>
      </c>
      <c r="B17" s="288">
        <v>45192</v>
      </c>
      <c r="C17" s="3" t="s">
        <v>164</v>
      </c>
      <c r="D17" s="224">
        <v>23600</v>
      </c>
      <c r="E17" s="224">
        <v>139</v>
      </c>
      <c r="F17" s="224">
        <v>338</v>
      </c>
      <c r="G17" s="309">
        <v>0</v>
      </c>
      <c r="H17" s="313">
        <v>99535</v>
      </c>
      <c r="I17" s="310">
        <v>11800</v>
      </c>
      <c r="J17" s="224">
        <v>0</v>
      </c>
      <c r="K17" s="224">
        <v>0</v>
      </c>
      <c r="L17" s="309">
        <v>0</v>
      </c>
      <c r="M17" s="313">
        <v>49086</v>
      </c>
      <c r="N17" s="310">
        <v>8260</v>
      </c>
      <c r="O17" s="224">
        <v>97</v>
      </c>
      <c r="P17" s="225">
        <v>0</v>
      </c>
      <c r="Q17" s="309">
        <v>0</v>
      </c>
      <c r="R17" s="313">
        <v>8746</v>
      </c>
      <c r="S17" s="310">
        <v>0</v>
      </c>
      <c r="T17" s="224">
        <v>0</v>
      </c>
      <c r="U17" s="224">
        <v>0</v>
      </c>
      <c r="V17" s="309">
        <v>0</v>
      </c>
      <c r="W17" s="313">
        <v>37783</v>
      </c>
      <c r="X17" s="310">
        <v>3540</v>
      </c>
      <c r="Y17" s="224">
        <v>42</v>
      </c>
      <c r="Z17" s="224">
        <v>338</v>
      </c>
      <c r="AA17" s="309">
        <v>0</v>
      </c>
      <c r="AB17" s="313">
        <v>3920</v>
      </c>
      <c r="AC17" s="310">
        <v>0</v>
      </c>
      <c r="AD17" s="224">
        <v>0</v>
      </c>
      <c r="AE17" s="224">
        <v>0</v>
      </c>
      <c r="AF17" s="309">
        <v>0</v>
      </c>
      <c r="AG17" s="313">
        <v>0</v>
      </c>
    </row>
    <row r="18" spans="1:33" customFormat="1" x14ac:dyDescent="0.25">
      <c r="A18" s="3" t="s">
        <v>83</v>
      </c>
      <c r="B18" s="288">
        <v>45192</v>
      </c>
      <c r="C18" s="3" t="s">
        <v>165</v>
      </c>
      <c r="D18" s="224">
        <v>23362</v>
      </c>
      <c r="E18" s="224">
        <v>138</v>
      </c>
      <c r="F18" s="224">
        <v>335</v>
      </c>
      <c r="G18" s="309">
        <v>0</v>
      </c>
      <c r="H18" s="313">
        <v>98533</v>
      </c>
      <c r="I18" s="310">
        <v>11681</v>
      </c>
      <c r="J18" s="224">
        <v>0</v>
      </c>
      <c r="K18" s="224">
        <v>0</v>
      </c>
      <c r="L18" s="309">
        <v>0</v>
      </c>
      <c r="M18" s="313">
        <v>48591</v>
      </c>
      <c r="N18" s="310">
        <v>8177</v>
      </c>
      <c r="O18" s="224">
        <v>97</v>
      </c>
      <c r="P18" s="225">
        <v>0</v>
      </c>
      <c r="Q18" s="309">
        <v>0</v>
      </c>
      <c r="R18" s="313">
        <v>8659</v>
      </c>
      <c r="S18" s="310">
        <v>0</v>
      </c>
      <c r="T18" s="224">
        <v>0</v>
      </c>
      <c r="U18" s="224">
        <v>0</v>
      </c>
      <c r="V18" s="309">
        <v>0</v>
      </c>
      <c r="W18" s="313">
        <v>37403</v>
      </c>
      <c r="X18" s="310">
        <v>3504</v>
      </c>
      <c r="Y18" s="224">
        <v>41</v>
      </c>
      <c r="Z18" s="224">
        <v>335</v>
      </c>
      <c r="AA18" s="309">
        <v>0</v>
      </c>
      <c r="AB18" s="313">
        <v>3880</v>
      </c>
      <c r="AC18" s="310">
        <v>0</v>
      </c>
      <c r="AD18" s="224">
        <v>0</v>
      </c>
      <c r="AE18" s="224">
        <v>0</v>
      </c>
      <c r="AF18" s="309">
        <v>0</v>
      </c>
      <c r="AG18" s="313">
        <v>0</v>
      </c>
    </row>
    <row r="19" spans="1:33" customFormat="1" x14ac:dyDescent="0.25">
      <c r="A19" s="3" t="s">
        <v>83</v>
      </c>
      <c r="B19" s="288">
        <v>45192</v>
      </c>
      <c r="C19" s="3" t="s">
        <v>166</v>
      </c>
      <c r="D19" s="224">
        <v>50734</v>
      </c>
      <c r="E19" s="224">
        <v>300</v>
      </c>
      <c r="F19" s="224">
        <v>728</v>
      </c>
      <c r="G19" s="309">
        <v>0</v>
      </c>
      <c r="H19" s="313">
        <v>213978</v>
      </c>
      <c r="I19" s="310">
        <v>25367</v>
      </c>
      <c r="J19" s="224">
        <v>0</v>
      </c>
      <c r="K19" s="224">
        <v>0</v>
      </c>
      <c r="L19" s="309">
        <v>0</v>
      </c>
      <c r="M19" s="313">
        <v>105523</v>
      </c>
      <c r="N19" s="310">
        <v>17757</v>
      </c>
      <c r="O19" s="224">
        <v>210</v>
      </c>
      <c r="P19" s="225">
        <v>0</v>
      </c>
      <c r="Q19" s="309">
        <v>0</v>
      </c>
      <c r="R19" s="313">
        <v>18801</v>
      </c>
      <c r="S19" s="310">
        <v>0</v>
      </c>
      <c r="T19" s="224">
        <v>0</v>
      </c>
      <c r="U19" s="224">
        <v>0</v>
      </c>
      <c r="V19" s="309">
        <v>0</v>
      </c>
      <c r="W19" s="313">
        <v>81226</v>
      </c>
      <c r="X19" s="310">
        <v>7610</v>
      </c>
      <c r="Y19" s="224">
        <v>90</v>
      </c>
      <c r="Z19" s="224">
        <v>728</v>
      </c>
      <c r="AA19" s="309">
        <v>0</v>
      </c>
      <c r="AB19" s="313">
        <v>8428</v>
      </c>
      <c r="AC19" s="310">
        <v>0</v>
      </c>
      <c r="AD19" s="224">
        <v>0</v>
      </c>
      <c r="AE19" s="224">
        <v>0</v>
      </c>
      <c r="AF19" s="309">
        <v>0</v>
      </c>
      <c r="AG19" s="313">
        <v>0</v>
      </c>
    </row>
    <row r="20" spans="1:33" customFormat="1" x14ac:dyDescent="0.25">
      <c r="A20" s="3" t="s">
        <v>87</v>
      </c>
      <c r="B20" s="288">
        <v>45222</v>
      </c>
      <c r="C20" s="3" t="s">
        <v>171</v>
      </c>
      <c r="D20" s="224">
        <v>8493</v>
      </c>
      <c r="E20" s="224">
        <v>50</v>
      </c>
      <c r="F20" s="224">
        <v>122</v>
      </c>
      <c r="G20" s="309">
        <v>0</v>
      </c>
      <c r="H20" s="313">
        <v>35821</v>
      </c>
      <c r="I20" s="310">
        <v>4247</v>
      </c>
      <c r="J20" s="224">
        <v>0</v>
      </c>
      <c r="K20" s="224">
        <v>0</v>
      </c>
      <c r="L20" s="309">
        <v>0</v>
      </c>
      <c r="M20" s="313">
        <v>17665</v>
      </c>
      <c r="N20" s="310">
        <v>2973</v>
      </c>
      <c r="O20" s="224">
        <v>35</v>
      </c>
      <c r="P20" s="225">
        <v>0</v>
      </c>
      <c r="Q20" s="309">
        <v>0</v>
      </c>
      <c r="R20" s="313">
        <v>3148</v>
      </c>
      <c r="S20" s="310">
        <v>0</v>
      </c>
      <c r="T20" s="224">
        <v>0</v>
      </c>
      <c r="U20" s="224">
        <v>0</v>
      </c>
      <c r="V20" s="309">
        <v>0</v>
      </c>
      <c r="W20" s="313">
        <v>13598</v>
      </c>
      <c r="X20" s="310">
        <v>1273</v>
      </c>
      <c r="Y20" s="224">
        <v>15</v>
      </c>
      <c r="Z20" s="224">
        <v>122</v>
      </c>
      <c r="AA20" s="309">
        <v>0</v>
      </c>
      <c r="AB20" s="313">
        <v>1410</v>
      </c>
      <c r="AC20" s="310">
        <v>0</v>
      </c>
      <c r="AD20" s="224">
        <v>0</v>
      </c>
      <c r="AE20" s="224">
        <v>0</v>
      </c>
      <c r="AF20" s="309">
        <v>0</v>
      </c>
      <c r="AG20" s="313">
        <v>0</v>
      </c>
    </row>
    <row r="21" spans="1:33" customFormat="1" x14ac:dyDescent="0.25">
      <c r="A21" s="3" t="s">
        <v>87</v>
      </c>
      <c r="B21" s="288">
        <v>45222</v>
      </c>
      <c r="C21" s="3" t="s">
        <v>172</v>
      </c>
      <c r="D21" s="224">
        <v>72501</v>
      </c>
      <c r="E21" s="224">
        <v>428</v>
      </c>
      <c r="F21" s="224">
        <v>1040</v>
      </c>
      <c r="G21" s="309">
        <v>0</v>
      </c>
      <c r="H21" s="313">
        <v>305784</v>
      </c>
      <c r="I21" s="310">
        <v>36251</v>
      </c>
      <c r="J21" s="224">
        <v>0</v>
      </c>
      <c r="K21" s="224">
        <v>0</v>
      </c>
      <c r="L21" s="309">
        <v>0</v>
      </c>
      <c r="M21" s="313">
        <v>150797</v>
      </c>
      <c r="N21" s="310">
        <v>25375</v>
      </c>
      <c r="O21" s="224">
        <v>300</v>
      </c>
      <c r="P21" s="225">
        <v>0</v>
      </c>
      <c r="Q21" s="309">
        <v>0</v>
      </c>
      <c r="R21" s="313">
        <v>26868</v>
      </c>
      <c r="S21" s="310">
        <v>0</v>
      </c>
      <c r="T21" s="224">
        <v>0</v>
      </c>
      <c r="U21" s="224">
        <v>0</v>
      </c>
      <c r="V21" s="309">
        <v>0</v>
      </c>
      <c r="W21" s="313">
        <v>116076</v>
      </c>
      <c r="X21" s="310">
        <v>10875</v>
      </c>
      <c r="Y21" s="224">
        <v>128</v>
      </c>
      <c r="Z21" s="224">
        <v>1040</v>
      </c>
      <c r="AA21" s="309">
        <v>0</v>
      </c>
      <c r="AB21" s="313">
        <v>12043</v>
      </c>
      <c r="AC21" s="310">
        <v>0</v>
      </c>
      <c r="AD21" s="224">
        <v>0</v>
      </c>
      <c r="AE21" s="224">
        <v>0</v>
      </c>
      <c r="AF21" s="309">
        <v>0</v>
      </c>
      <c r="AG21" s="313">
        <v>0</v>
      </c>
    </row>
    <row r="22" spans="1:33" customFormat="1" x14ac:dyDescent="0.25">
      <c r="A22" s="3" t="s">
        <v>90</v>
      </c>
      <c r="B22" s="288">
        <v>45192</v>
      </c>
      <c r="C22" s="3" t="s">
        <v>167</v>
      </c>
      <c r="D22" s="224">
        <v>3150</v>
      </c>
      <c r="E22" s="224">
        <v>19</v>
      </c>
      <c r="F22" s="224">
        <v>45</v>
      </c>
      <c r="G22" s="309">
        <v>0</v>
      </c>
      <c r="H22" s="313">
        <v>13285</v>
      </c>
      <c r="I22" s="310">
        <v>1575</v>
      </c>
      <c r="J22" s="224">
        <v>0</v>
      </c>
      <c r="K22" s="224">
        <v>0</v>
      </c>
      <c r="L22" s="309">
        <v>0</v>
      </c>
      <c r="M22" s="313">
        <v>6550</v>
      </c>
      <c r="N22" s="310">
        <v>1103</v>
      </c>
      <c r="O22" s="224">
        <v>13</v>
      </c>
      <c r="P22" s="225">
        <v>0</v>
      </c>
      <c r="Q22" s="309">
        <v>0</v>
      </c>
      <c r="R22" s="313">
        <v>1169</v>
      </c>
      <c r="S22" s="310">
        <v>0</v>
      </c>
      <c r="T22" s="224">
        <v>0</v>
      </c>
      <c r="U22" s="224">
        <v>0</v>
      </c>
      <c r="V22" s="309">
        <v>0</v>
      </c>
      <c r="W22" s="313">
        <v>5043</v>
      </c>
      <c r="X22" s="310">
        <v>472</v>
      </c>
      <c r="Y22" s="224">
        <v>6</v>
      </c>
      <c r="Z22" s="224">
        <v>45</v>
      </c>
      <c r="AA22" s="309">
        <v>0</v>
      </c>
      <c r="AB22" s="313">
        <v>523</v>
      </c>
      <c r="AC22" s="310">
        <v>0</v>
      </c>
      <c r="AD22" s="224">
        <v>0</v>
      </c>
      <c r="AE22" s="224">
        <v>0</v>
      </c>
      <c r="AF22" s="309">
        <v>0</v>
      </c>
      <c r="AG22" s="313">
        <v>0</v>
      </c>
    </row>
    <row r="23" spans="1:33" customFormat="1" x14ac:dyDescent="0.25">
      <c r="A23" s="3" t="s">
        <v>90</v>
      </c>
      <c r="B23" s="288">
        <v>45192</v>
      </c>
      <c r="C23" s="3" t="s">
        <v>168</v>
      </c>
      <c r="D23" s="224">
        <v>3098</v>
      </c>
      <c r="E23" s="224">
        <v>18</v>
      </c>
      <c r="F23" s="224">
        <v>44</v>
      </c>
      <c r="G23" s="309">
        <v>0</v>
      </c>
      <c r="H23" s="313">
        <v>13067</v>
      </c>
      <c r="I23" s="310">
        <v>1549</v>
      </c>
      <c r="J23" s="224">
        <v>0</v>
      </c>
      <c r="K23" s="224">
        <v>0</v>
      </c>
      <c r="L23" s="309">
        <v>0</v>
      </c>
      <c r="M23" s="313">
        <v>6444</v>
      </c>
      <c r="N23" s="310">
        <v>1084</v>
      </c>
      <c r="O23" s="224">
        <v>13</v>
      </c>
      <c r="P23" s="225">
        <v>0</v>
      </c>
      <c r="Q23" s="309">
        <v>0</v>
      </c>
      <c r="R23" s="313">
        <v>1147</v>
      </c>
      <c r="S23" s="310">
        <v>0</v>
      </c>
      <c r="T23" s="224">
        <v>0</v>
      </c>
      <c r="U23" s="224">
        <v>0</v>
      </c>
      <c r="V23" s="309">
        <v>0</v>
      </c>
      <c r="W23" s="313">
        <v>4962</v>
      </c>
      <c r="X23" s="310">
        <v>465</v>
      </c>
      <c r="Y23" s="224">
        <v>5</v>
      </c>
      <c r="Z23" s="224">
        <v>44</v>
      </c>
      <c r="AA23" s="309">
        <v>0</v>
      </c>
      <c r="AB23" s="313">
        <v>514</v>
      </c>
      <c r="AC23" s="310">
        <v>0</v>
      </c>
      <c r="AD23" s="224">
        <v>0</v>
      </c>
      <c r="AE23" s="224">
        <v>0</v>
      </c>
      <c r="AF23" s="309">
        <v>0</v>
      </c>
      <c r="AG23" s="313">
        <v>0</v>
      </c>
    </row>
    <row r="24" spans="1:33" customFormat="1" x14ac:dyDescent="0.25">
      <c r="A24" s="3" t="s">
        <v>90</v>
      </c>
      <c r="B24" s="288">
        <v>45192</v>
      </c>
      <c r="C24" s="3" t="s">
        <v>169</v>
      </c>
      <c r="D24" s="224">
        <v>10445</v>
      </c>
      <c r="E24" s="224">
        <v>62</v>
      </c>
      <c r="F24" s="224">
        <v>150</v>
      </c>
      <c r="G24" s="309">
        <v>0</v>
      </c>
      <c r="H24" s="313">
        <v>44053</v>
      </c>
      <c r="I24" s="310">
        <v>5223</v>
      </c>
      <c r="J24" s="224">
        <v>0</v>
      </c>
      <c r="K24" s="224">
        <v>0</v>
      </c>
      <c r="L24" s="309">
        <v>0</v>
      </c>
      <c r="M24" s="313">
        <v>21725</v>
      </c>
      <c r="N24" s="310">
        <v>3656</v>
      </c>
      <c r="O24" s="224">
        <v>43</v>
      </c>
      <c r="P24" s="225">
        <v>0</v>
      </c>
      <c r="Q24" s="309">
        <v>0</v>
      </c>
      <c r="R24" s="313">
        <v>3870</v>
      </c>
      <c r="S24" s="310">
        <v>0</v>
      </c>
      <c r="T24" s="224">
        <v>0</v>
      </c>
      <c r="U24" s="224">
        <v>0</v>
      </c>
      <c r="V24" s="309">
        <v>0</v>
      </c>
      <c r="W24" s="313">
        <v>16723</v>
      </c>
      <c r="X24" s="310">
        <v>1566</v>
      </c>
      <c r="Y24" s="224">
        <v>19</v>
      </c>
      <c r="Z24" s="224">
        <v>150</v>
      </c>
      <c r="AA24" s="309">
        <v>0</v>
      </c>
      <c r="AB24" s="313">
        <v>1735</v>
      </c>
      <c r="AC24" s="310">
        <v>0</v>
      </c>
      <c r="AD24" s="224">
        <v>0</v>
      </c>
      <c r="AE24" s="224">
        <v>0</v>
      </c>
      <c r="AF24" s="309">
        <v>0</v>
      </c>
      <c r="AG24" s="313">
        <v>0</v>
      </c>
    </row>
    <row r="25" spans="1:33" customFormat="1" x14ac:dyDescent="0.25">
      <c r="A25" s="3" t="s">
        <v>97</v>
      </c>
      <c r="B25" s="288">
        <v>45222</v>
      </c>
      <c r="C25" s="3" t="s">
        <v>166</v>
      </c>
      <c r="D25" s="224">
        <v>7255</v>
      </c>
      <c r="E25" s="224">
        <v>43</v>
      </c>
      <c r="F25" s="224">
        <v>104</v>
      </c>
      <c r="G25" s="309">
        <v>0</v>
      </c>
      <c r="H25" s="313">
        <v>30599</v>
      </c>
      <c r="I25" s="310">
        <v>3628</v>
      </c>
      <c r="J25" s="224">
        <v>0</v>
      </c>
      <c r="K25" s="224">
        <v>0</v>
      </c>
      <c r="L25" s="309">
        <v>0</v>
      </c>
      <c r="M25" s="313">
        <v>15091</v>
      </c>
      <c r="N25" s="310">
        <v>2539</v>
      </c>
      <c r="O25" s="224">
        <v>30</v>
      </c>
      <c r="P25" s="225">
        <v>0</v>
      </c>
      <c r="Q25" s="309">
        <v>0</v>
      </c>
      <c r="R25" s="313">
        <v>2687</v>
      </c>
      <c r="S25" s="310">
        <v>0</v>
      </c>
      <c r="T25" s="224">
        <v>0</v>
      </c>
      <c r="U25" s="224">
        <v>0</v>
      </c>
      <c r="V25" s="309">
        <v>0</v>
      </c>
      <c r="W25" s="313">
        <v>11616</v>
      </c>
      <c r="X25" s="310">
        <v>1088</v>
      </c>
      <c r="Y25" s="224">
        <v>13</v>
      </c>
      <c r="Z25" s="224">
        <v>104</v>
      </c>
      <c r="AA25" s="309">
        <v>0</v>
      </c>
      <c r="AB25" s="313">
        <v>1205</v>
      </c>
      <c r="AC25" s="310">
        <v>0</v>
      </c>
      <c r="AD25" s="224">
        <v>0</v>
      </c>
      <c r="AE25" s="224">
        <v>0</v>
      </c>
      <c r="AF25" s="309">
        <v>0</v>
      </c>
      <c r="AG25" s="313">
        <v>0</v>
      </c>
    </row>
    <row r="26" spans="1:33" customFormat="1" x14ac:dyDescent="0.25">
      <c r="A26" s="3" t="s">
        <v>106</v>
      </c>
      <c r="B26" s="288">
        <v>45192</v>
      </c>
      <c r="C26" s="3" t="s">
        <v>167</v>
      </c>
      <c r="D26" s="224">
        <v>67</v>
      </c>
      <c r="E26" s="224">
        <v>0</v>
      </c>
      <c r="F26" s="224">
        <v>1</v>
      </c>
      <c r="G26" s="309">
        <v>0</v>
      </c>
      <c r="H26" s="313">
        <v>283</v>
      </c>
      <c r="I26" s="310">
        <v>34</v>
      </c>
      <c r="J26" s="224">
        <v>0</v>
      </c>
      <c r="K26" s="224">
        <v>0</v>
      </c>
      <c r="L26" s="309">
        <v>0</v>
      </c>
      <c r="M26" s="313">
        <v>140</v>
      </c>
      <c r="N26" s="310">
        <v>23</v>
      </c>
      <c r="O26" s="224">
        <v>0</v>
      </c>
      <c r="P26" s="225">
        <v>0</v>
      </c>
      <c r="Q26" s="309">
        <v>0</v>
      </c>
      <c r="R26" s="313">
        <v>24</v>
      </c>
      <c r="S26" s="310">
        <v>0</v>
      </c>
      <c r="T26" s="224">
        <v>0</v>
      </c>
      <c r="U26" s="224">
        <v>0</v>
      </c>
      <c r="V26" s="309">
        <v>0</v>
      </c>
      <c r="W26" s="313">
        <v>108</v>
      </c>
      <c r="X26" s="310">
        <v>10</v>
      </c>
      <c r="Y26" s="224">
        <v>0</v>
      </c>
      <c r="Z26" s="224">
        <v>1</v>
      </c>
      <c r="AA26" s="309">
        <v>0</v>
      </c>
      <c r="AB26" s="313">
        <v>11</v>
      </c>
      <c r="AC26" s="310">
        <v>0</v>
      </c>
      <c r="AD26" s="224">
        <v>0</v>
      </c>
      <c r="AE26" s="224">
        <v>0</v>
      </c>
      <c r="AF26" s="309">
        <v>0</v>
      </c>
      <c r="AG26" s="313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1A2E-5634-4020-AF9E-859180361D66}">
  <sheetPr>
    <tabColor theme="2" tint="-0.249977111117893"/>
  </sheetPr>
  <dimension ref="A1:AX8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.75" outlineLevelCol="1" x14ac:dyDescent="0.25"/>
  <cols>
    <col min="2" max="2" width="26.7109375" customWidth="1"/>
    <col min="3" max="14" width="13.7109375" style="220" customWidth="1" outlineLevel="1"/>
    <col min="15" max="15" width="13.7109375" style="220" customWidth="1"/>
    <col min="17" max="17" width="12.140625" bestFit="1" customWidth="1"/>
    <col min="18" max="18" width="12.140625" customWidth="1"/>
    <col min="19" max="19" width="12.140625" bestFit="1" customWidth="1"/>
    <col min="20" max="20" width="10.5703125" bestFit="1" customWidth="1"/>
    <col min="22" max="22" width="12.140625" bestFit="1" customWidth="1"/>
    <col min="23" max="23" width="12.140625" customWidth="1"/>
    <col min="24" max="24" width="11.7109375" customWidth="1"/>
    <col min="25" max="25" width="11.5703125" customWidth="1"/>
    <col min="26" max="26" width="13.7109375" customWidth="1"/>
    <col min="27" max="27" width="11.5703125" customWidth="1"/>
    <col min="29" max="29" width="12.7109375" bestFit="1" customWidth="1"/>
    <col min="30" max="30" width="12.140625" customWidth="1"/>
    <col min="31" max="31" width="12.140625" bestFit="1" customWidth="1"/>
    <col min="32" max="32" width="10.5703125" bestFit="1" customWidth="1"/>
    <col min="34" max="34" width="15.42578125" customWidth="1"/>
    <col min="35" max="35" width="14.28515625" customWidth="1"/>
    <col min="36" max="36" width="12.7109375" bestFit="1" customWidth="1"/>
    <col min="37" max="37" width="12.140625" customWidth="1"/>
    <col min="38" max="38" width="12.140625" bestFit="1" customWidth="1"/>
    <col min="39" max="39" width="10.28515625" bestFit="1" customWidth="1"/>
    <col min="40" max="40" width="8.42578125" customWidth="1"/>
    <col min="41" max="41" width="13.5703125" customWidth="1"/>
    <col min="42" max="42" width="11.5703125" customWidth="1"/>
    <col min="43" max="43" width="8" customWidth="1"/>
    <col min="44" max="44" width="12.7109375" bestFit="1" customWidth="1"/>
    <col min="45" max="45" width="12.140625" customWidth="1"/>
    <col min="46" max="46" width="13.28515625" customWidth="1"/>
    <col min="47" max="47" width="10.28515625" bestFit="1" customWidth="1"/>
    <col min="49" max="49" width="11.28515625" bestFit="1" customWidth="1"/>
  </cols>
  <sheetData>
    <row r="1" spans="1:50" ht="17.25" x14ac:dyDescent="0.3">
      <c r="B1" s="185" t="s">
        <v>180</v>
      </c>
      <c r="C1" s="185"/>
      <c r="D1" s="185"/>
      <c r="E1" s="363" t="s">
        <v>45</v>
      </c>
      <c r="F1" s="364"/>
      <c r="G1" s="185"/>
      <c r="H1" s="185"/>
      <c r="I1" s="185"/>
      <c r="J1" s="185"/>
      <c r="K1" s="185"/>
      <c r="L1" s="185"/>
      <c r="M1" s="185"/>
      <c r="N1" s="185"/>
      <c r="O1" s="185"/>
      <c r="P1" s="186"/>
      <c r="Q1" s="186" t="s">
        <v>181</v>
      </c>
      <c r="R1" s="186"/>
      <c r="S1" s="186" t="s">
        <v>181</v>
      </c>
      <c r="T1" s="186"/>
      <c r="U1" s="186"/>
      <c r="V1" s="186" t="s">
        <v>182</v>
      </c>
      <c r="W1" s="186"/>
      <c r="X1" s="186" t="s">
        <v>182</v>
      </c>
      <c r="Y1" s="186"/>
      <c r="Z1" s="186" t="s">
        <v>182</v>
      </c>
      <c r="AA1" s="186"/>
      <c r="AB1" s="186"/>
      <c r="AC1" s="186" t="s">
        <v>183</v>
      </c>
      <c r="AD1" s="186"/>
      <c r="AE1" s="186" t="s">
        <v>183</v>
      </c>
      <c r="AF1" s="186"/>
      <c r="AG1" s="186"/>
      <c r="AH1" s="186" t="s">
        <v>184</v>
      </c>
      <c r="AI1" s="186"/>
      <c r="AJ1" s="186" t="s">
        <v>184</v>
      </c>
      <c r="AK1" s="186"/>
      <c r="AL1" s="186" t="s">
        <v>184</v>
      </c>
      <c r="AM1" s="186"/>
      <c r="AN1" s="186"/>
      <c r="AO1" s="186" t="s">
        <v>185</v>
      </c>
      <c r="AP1" s="186"/>
      <c r="AQ1" s="186"/>
      <c r="AR1" s="186" t="s">
        <v>186</v>
      </c>
      <c r="AS1" s="186"/>
      <c r="AT1" s="186" t="s">
        <v>186</v>
      </c>
      <c r="AU1" s="186"/>
    </row>
    <row r="2" spans="1:50" ht="72.75" customHeight="1" x14ac:dyDescent="0.3">
      <c r="B2" s="187" t="s">
        <v>44</v>
      </c>
      <c r="C2" s="188" t="s">
        <v>153</v>
      </c>
      <c r="D2" s="188" t="s">
        <v>187</v>
      </c>
      <c r="E2" s="188" t="s">
        <v>188</v>
      </c>
      <c r="F2" s="188" t="s">
        <v>189</v>
      </c>
      <c r="G2" s="188" t="s">
        <v>154</v>
      </c>
      <c r="H2" s="188" t="s">
        <v>155</v>
      </c>
      <c r="I2" s="189" t="s">
        <v>190</v>
      </c>
      <c r="J2" s="188" t="s">
        <v>191</v>
      </c>
      <c r="K2" s="188" t="s">
        <v>156</v>
      </c>
      <c r="L2" s="188" t="s">
        <v>157</v>
      </c>
      <c r="M2" s="188" t="s">
        <v>158</v>
      </c>
      <c r="N2" s="188" t="s">
        <v>118</v>
      </c>
      <c r="O2" s="188" t="s">
        <v>134</v>
      </c>
      <c r="P2" s="186"/>
      <c r="Q2" s="365" t="s">
        <v>192</v>
      </c>
      <c r="R2" s="366"/>
      <c r="S2" s="365" t="s">
        <v>193</v>
      </c>
      <c r="T2" s="366"/>
      <c r="U2" s="186"/>
      <c r="V2" s="365" t="s">
        <v>194</v>
      </c>
      <c r="W2" s="366"/>
      <c r="X2" s="367" t="s">
        <v>195</v>
      </c>
      <c r="Y2" s="368"/>
      <c r="Z2" s="367" t="s">
        <v>196</v>
      </c>
      <c r="AA2" s="368"/>
      <c r="AB2" s="186"/>
      <c r="AC2" s="365" t="s">
        <v>192</v>
      </c>
      <c r="AD2" s="366"/>
      <c r="AE2" s="365" t="s">
        <v>193</v>
      </c>
      <c r="AF2" s="366"/>
      <c r="AG2" s="186"/>
      <c r="AH2" s="373" t="s">
        <v>197</v>
      </c>
      <c r="AI2" s="374"/>
      <c r="AJ2" s="373" t="s">
        <v>196</v>
      </c>
      <c r="AK2" s="374"/>
      <c r="AL2" s="373" t="s">
        <v>195</v>
      </c>
      <c r="AM2" s="374"/>
      <c r="AN2" s="135"/>
      <c r="AO2" s="375" t="s">
        <v>198</v>
      </c>
      <c r="AP2" s="376"/>
      <c r="AQ2" s="186"/>
      <c r="AR2" s="365" t="s">
        <v>199</v>
      </c>
      <c r="AS2" s="366"/>
      <c r="AT2" s="367" t="s">
        <v>200</v>
      </c>
      <c r="AU2" s="369"/>
      <c r="AW2" s="370" t="s">
        <v>201</v>
      </c>
      <c r="AX2" s="370"/>
    </row>
    <row r="3" spans="1:50" ht="17.25" x14ac:dyDescent="0.3">
      <c r="A3" s="190" t="s">
        <v>202</v>
      </c>
      <c r="B3" s="136" t="s">
        <v>49</v>
      </c>
      <c r="C3" s="191">
        <v>10276</v>
      </c>
      <c r="D3" s="191">
        <v>691</v>
      </c>
      <c r="E3" s="191">
        <v>109084</v>
      </c>
      <c r="F3" s="191">
        <v>25860</v>
      </c>
      <c r="G3" s="191">
        <v>2701</v>
      </c>
      <c r="H3" s="191">
        <v>415268</v>
      </c>
      <c r="I3" s="191">
        <v>17303</v>
      </c>
      <c r="J3" s="191">
        <v>66</v>
      </c>
      <c r="K3" s="191">
        <v>1127</v>
      </c>
      <c r="L3" s="191">
        <v>963</v>
      </c>
      <c r="M3" s="191">
        <v>0</v>
      </c>
      <c r="N3" s="191">
        <v>6110</v>
      </c>
      <c r="O3" s="191">
        <f>SUM(C3:N3)</f>
        <v>589449</v>
      </c>
      <c r="P3" s="186"/>
      <c r="Q3" s="137">
        <v>0</v>
      </c>
      <c r="R3" s="138">
        <f>ROUND(Q3/Q$61,4)</f>
        <v>0</v>
      </c>
      <c r="S3" s="137">
        <v>0</v>
      </c>
      <c r="T3" s="138">
        <f>ROUND(S3/S$61,4)</f>
        <v>0</v>
      </c>
      <c r="U3" s="186"/>
      <c r="V3" s="137">
        <f>SUMIF($A3,"CW",C3)+SUMIF($A3,"CW",D3)+SUMIF($A3,"CW",E3)+SUMIF($A3,"CW",F3)+SUMIF($A3,"CW",G3)+SUMIF($A3,"CW",H3)+SUMIF($A3,"CW",I3)+SUMIF($A3,"CW",J3)+SUMIF($A3,"CW",K3)+SUMIF($A3,"CW",L3)+SUMIF($A3,"CW",M3)+SUMIF($A3,"CW",N3)</f>
        <v>589449</v>
      </c>
      <c r="W3" s="138">
        <v>9.2600000000000002E-2</v>
      </c>
      <c r="X3" s="137">
        <f t="shared" ref="X3:X60" si="0">SUMIF($A3,"CW",E3)+SUMIF($A3,"CW",F3)</f>
        <v>134944</v>
      </c>
      <c r="Y3" s="138">
        <f>ROUND(X3/X$61,4)</f>
        <v>7.4800000000000005E-2</v>
      </c>
      <c r="Z3" s="137">
        <f t="shared" ref="Z3:Z60" si="1">SUMIF($A3,"CW",C3)+SUMIF($A3,"CW",E3)+SUMIF($A3,"CW",F3)+SUMIF($A3,"CW",K3)+SUMIF($A3,"CW",H3)+SUMIF($A3,"CW",I3)+SUMIF($A3,"CW",J3)+SUMIF($A3,"CW",N3)</f>
        <v>585094</v>
      </c>
      <c r="AA3" s="138">
        <f>ROUND(Z3/Z$61,4)</f>
        <v>7.7299999999999994E-2</v>
      </c>
      <c r="AB3" s="186"/>
      <c r="AC3" s="137">
        <f t="shared" ref="AC3:AC20" si="2">SUMIF($A3,"CA",C3)+SUMIF($A3,"CA",D3)+SUMIF($A3,"CA",E3)+SUMIF($A3,"CA",F3)+SUMIF($A3,"CA",G3)+SUMIF($A3,"CA",H3)+SUMIF($A3,"CA",I3)+SUMIF($A3,"CA",J3)+SUMIF($A3,"CA",K3)+SUMIF($A3,"CA",L3)+SUMIF($A3,"CA",M3)</f>
        <v>0</v>
      </c>
      <c r="AD3" s="138">
        <f>ROUND(AC3/AC$61,4)</f>
        <v>0</v>
      </c>
      <c r="AE3" s="137">
        <f t="shared" ref="AE3:AE10" si="3">SUMIF($A3,"CA",N3)</f>
        <v>0</v>
      </c>
      <c r="AF3" s="138">
        <f>ROUND(AE3/AE$61,4)</f>
        <v>0</v>
      </c>
      <c r="AG3" s="186"/>
      <c r="AH3" s="137">
        <f>SUMIF($A3,"CA",O3)</f>
        <v>0</v>
      </c>
      <c r="AI3" s="138">
        <f>ROUND(AH3/AH$61,4)</f>
        <v>0</v>
      </c>
      <c r="AJ3" s="137">
        <f t="shared" ref="AJ3:AJ60" si="4">SUMIF($A3,"CA",C3)+SUMIF($A3,"CA",E3)+SUMIF($A3,"CA",F3)+SUMIF($A3,"CA",H3)+SUMIF($A3,"CA",I3)+SUMIF($A3,"CA",J3)+SUMIF($A3,"CA",K3)+SUMIF($A3,"CA",N3)</f>
        <v>0</v>
      </c>
      <c r="AK3" s="138">
        <f>ROUND(AJ3/AJ$61,4)</f>
        <v>0</v>
      </c>
      <c r="AL3" s="137">
        <f t="shared" ref="AL3:AL60" si="5">SUMIF($A3,"CA",E3)+SUMIF($A3,"CA",F3)</f>
        <v>0</v>
      </c>
      <c r="AM3" s="138">
        <f>ROUND(AL3/AL$61,4)</f>
        <v>0</v>
      </c>
      <c r="AN3" s="139"/>
      <c r="AO3" s="137">
        <f>AR3</f>
        <v>589449</v>
      </c>
      <c r="AP3" s="138">
        <f>ROUND(AO3/AO$61,4)</f>
        <v>4.4900000000000002E-2</v>
      </c>
      <c r="AQ3" s="140"/>
      <c r="AR3" s="137">
        <f t="shared" ref="AR3:AR60" si="6">O3</f>
        <v>589449</v>
      </c>
      <c r="AS3" s="141">
        <f>ROUNDUP(AR3/AR$61,4)</f>
        <v>3.15E-2</v>
      </c>
      <c r="AT3" s="137">
        <f t="shared" ref="AT3:AT60" si="7">SUM(C3:M3)</f>
        <v>583339</v>
      </c>
      <c r="AU3" s="138">
        <f>ROUND(AT3/AT$61,4)</f>
        <v>3.1300000000000001E-2</v>
      </c>
      <c r="AW3" s="192">
        <v>589449</v>
      </c>
      <c r="AX3" s="192">
        <f t="shared" ref="AX3:AX60" si="8">AW3-O3</f>
        <v>0</v>
      </c>
    </row>
    <row r="4" spans="1:50" ht="17.25" x14ac:dyDescent="0.3">
      <c r="A4" s="190" t="s">
        <v>203</v>
      </c>
      <c r="B4" s="136" t="s">
        <v>50</v>
      </c>
      <c r="C4" s="191">
        <v>0</v>
      </c>
      <c r="D4" s="191">
        <v>0</v>
      </c>
      <c r="E4" s="191">
        <v>101</v>
      </c>
      <c r="F4" s="191">
        <v>9</v>
      </c>
      <c r="G4" s="191">
        <v>0</v>
      </c>
      <c r="H4" s="191">
        <v>284</v>
      </c>
      <c r="I4" s="191">
        <v>12</v>
      </c>
      <c r="J4" s="191">
        <v>0</v>
      </c>
      <c r="K4" s="191">
        <v>0</v>
      </c>
      <c r="L4" s="191">
        <v>0</v>
      </c>
      <c r="M4" s="191">
        <v>0</v>
      </c>
      <c r="N4" s="191">
        <v>0</v>
      </c>
      <c r="O4" s="191">
        <f t="shared" ref="O4:O60" si="9">SUM(C4:N4)</f>
        <v>406</v>
      </c>
      <c r="P4" s="186"/>
      <c r="Q4" s="137">
        <v>0</v>
      </c>
      <c r="R4" s="138">
        <f t="shared" ref="R4:R60" si="10">ROUND(Q4/Q$61,4)</f>
        <v>0</v>
      </c>
      <c r="S4" s="137">
        <v>0</v>
      </c>
      <c r="T4" s="138">
        <f t="shared" ref="T4:T60" si="11">ROUND(S4/S$61,4)</f>
        <v>0</v>
      </c>
      <c r="U4" s="186"/>
      <c r="V4" s="137">
        <f t="shared" ref="V4:V60" si="12">SUMIF($A4,"CW",C4)+SUMIF($A4,"CW",D4)+SUMIF($A4,"CW",E4)+SUMIF($A4,"CW",F4)+SUMIF($A4,"CW",G4)+SUMIF($A4,"CW",H4)+SUMIF($A4,"CW",I4)+SUMIF($A4,"CW",J4)+SUMIF($A4,"CW",K4)+SUMIF($A4,"CW",L4)+SUMIF($A4,"CW",M4)+SUMIF($A4,"CW",N4)</f>
        <v>0</v>
      </c>
      <c r="W4" s="138">
        <v>0</v>
      </c>
      <c r="X4" s="137">
        <f t="shared" si="0"/>
        <v>0</v>
      </c>
      <c r="Y4" s="138">
        <f t="shared" ref="Y4:Y60" si="13">ROUND(X4/X$61,4)</f>
        <v>0</v>
      </c>
      <c r="Z4" s="137">
        <f t="shared" si="1"/>
        <v>0</v>
      </c>
      <c r="AA4" s="138">
        <f t="shared" ref="AA4:AA60" si="14">ROUND(Z4/Z$61,4)</f>
        <v>0</v>
      </c>
      <c r="AB4" s="186"/>
      <c r="AC4" s="137">
        <f t="shared" si="2"/>
        <v>406</v>
      </c>
      <c r="AD4" s="138">
        <f t="shared" ref="AD4:AD60" si="15">ROUND(AC4/AC$61,4)</f>
        <v>1E-4</v>
      </c>
      <c r="AE4" s="137">
        <f t="shared" si="3"/>
        <v>0</v>
      </c>
      <c r="AF4" s="138">
        <f t="shared" ref="AF4:AF60" si="16">ROUND(AE4/AE$61,4)</f>
        <v>0</v>
      </c>
      <c r="AG4" s="186"/>
      <c r="AH4" s="137">
        <f t="shared" ref="AH4:AH60" si="17">SUMIF($A4,"CA",O4)</f>
        <v>406</v>
      </c>
      <c r="AI4" s="143">
        <f t="shared" ref="AI4:AI60" si="18">ROUND(AH4/AH$61,4)</f>
        <v>0</v>
      </c>
      <c r="AJ4" s="137">
        <f t="shared" si="4"/>
        <v>406</v>
      </c>
      <c r="AK4" s="138">
        <f t="shared" ref="AK4:AK60" si="19">ROUND(AJ4/AJ$61,4)</f>
        <v>0</v>
      </c>
      <c r="AL4" s="137">
        <f t="shared" si="5"/>
        <v>110</v>
      </c>
      <c r="AM4" s="138">
        <f>ROUND(AL4/AL$61,4)</f>
        <v>0</v>
      </c>
      <c r="AN4" s="139"/>
      <c r="AO4" s="137">
        <f t="shared" ref="AO4:AO60" si="20">AR4</f>
        <v>406</v>
      </c>
      <c r="AP4" s="138">
        <f t="shared" ref="AP4:AP60" si="21">ROUND(AO4/AO$61,4)</f>
        <v>0</v>
      </c>
      <c r="AQ4" s="140"/>
      <c r="AR4" s="137">
        <f t="shared" si="6"/>
        <v>406</v>
      </c>
      <c r="AS4" s="138">
        <f t="shared" ref="AS4:AS60" si="22">ROUND(AR4/AR$61,4)</f>
        <v>0</v>
      </c>
      <c r="AT4" s="137">
        <f t="shared" si="7"/>
        <v>406</v>
      </c>
      <c r="AU4" s="138">
        <f t="shared" ref="AU4:AU60" si="23">ROUND(AT4/AT$61,4)</f>
        <v>0</v>
      </c>
      <c r="AW4" s="192">
        <v>406</v>
      </c>
      <c r="AX4" s="192">
        <f t="shared" si="8"/>
        <v>0</v>
      </c>
    </row>
    <row r="5" spans="1:50" ht="17.25" x14ac:dyDescent="0.3">
      <c r="A5" s="190" t="s">
        <v>203</v>
      </c>
      <c r="B5" s="136" t="s">
        <v>51</v>
      </c>
      <c r="C5" s="191">
        <v>217</v>
      </c>
      <c r="D5" s="191">
        <v>35</v>
      </c>
      <c r="E5" s="191">
        <v>2206</v>
      </c>
      <c r="F5" s="191">
        <v>364</v>
      </c>
      <c r="G5" s="191">
        <v>1</v>
      </c>
      <c r="H5" s="191">
        <v>8162</v>
      </c>
      <c r="I5" s="191">
        <v>340</v>
      </c>
      <c r="J5" s="191">
        <v>0</v>
      </c>
      <c r="K5" s="191">
        <v>0</v>
      </c>
      <c r="L5" s="191">
        <v>13</v>
      </c>
      <c r="M5" s="191">
        <v>2</v>
      </c>
      <c r="N5" s="191">
        <v>2</v>
      </c>
      <c r="O5" s="191">
        <f t="shared" si="9"/>
        <v>11342</v>
      </c>
      <c r="P5" s="186"/>
      <c r="Q5" s="137">
        <v>0</v>
      </c>
      <c r="R5" s="138">
        <f t="shared" si="10"/>
        <v>0</v>
      </c>
      <c r="S5" s="137">
        <v>0</v>
      </c>
      <c r="T5" s="138">
        <f t="shared" si="11"/>
        <v>0</v>
      </c>
      <c r="U5" s="186"/>
      <c r="V5" s="137">
        <f t="shared" si="12"/>
        <v>0</v>
      </c>
      <c r="W5" s="138">
        <v>0</v>
      </c>
      <c r="X5" s="137">
        <f t="shared" si="0"/>
        <v>0</v>
      </c>
      <c r="Y5" s="138">
        <f t="shared" si="13"/>
        <v>0</v>
      </c>
      <c r="Z5" s="137">
        <f t="shared" si="1"/>
        <v>0</v>
      </c>
      <c r="AA5" s="138">
        <f t="shared" si="14"/>
        <v>0</v>
      </c>
      <c r="AB5" s="186"/>
      <c r="AC5" s="137">
        <f t="shared" si="2"/>
        <v>11340</v>
      </c>
      <c r="AD5" s="138">
        <f t="shared" si="15"/>
        <v>2.0999999999999999E-3</v>
      </c>
      <c r="AE5" s="137">
        <f t="shared" si="3"/>
        <v>2</v>
      </c>
      <c r="AF5" s="138">
        <f t="shared" si="16"/>
        <v>4.0000000000000002E-4</v>
      </c>
      <c r="AG5" s="186"/>
      <c r="AH5" s="137">
        <f t="shared" si="17"/>
        <v>11342</v>
      </c>
      <c r="AI5" s="138">
        <f t="shared" si="18"/>
        <v>1E-3</v>
      </c>
      <c r="AJ5" s="137">
        <f t="shared" si="4"/>
        <v>11291</v>
      </c>
      <c r="AK5" s="138">
        <f t="shared" si="19"/>
        <v>1E-3</v>
      </c>
      <c r="AL5" s="137">
        <f t="shared" si="5"/>
        <v>2570</v>
      </c>
      <c r="AM5" s="138">
        <f t="shared" ref="AM5:AM60" si="24">ROUND(AL5/AL$61,4)</f>
        <v>1E-3</v>
      </c>
      <c r="AN5" s="139"/>
      <c r="AO5" s="137">
        <f t="shared" si="20"/>
        <v>11342</v>
      </c>
      <c r="AP5" s="138">
        <f t="shared" si="21"/>
        <v>8.9999999999999998E-4</v>
      </c>
      <c r="AQ5" s="140"/>
      <c r="AR5" s="137">
        <f t="shared" si="6"/>
        <v>11342</v>
      </c>
      <c r="AS5" s="138">
        <f t="shared" si="22"/>
        <v>5.9999999999999995E-4</v>
      </c>
      <c r="AT5" s="137">
        <f t="shared" si="7"/>
        <v>11340</v>
      </c>
      <c r="AU5" s="138">
        <f t="shared" si="23"/>
        <v>5.9999999999999995E-4</v>
      </c>
      <c r="AW5" s="192">
        <v>11342</v>
      </c>
      <c r="AX5" s="192">
        <f t="shared" si="8"/>
        <v>0</v>
      </c>
    </row>
    <row r="6" spans="1:50" ht="17.25" x14ac:dyDescent="0.3">
      <c r="A6" s="190" t="s">
        <v>203</v>
      </c>
      <c r="B6" s="136" t="s">
        <v>52</v>
      </c>
      <c r="C6" s="191">
        <v>2802</v>
      </c>
      <c r="D6" s="191">
        <v>353</v>
      </c>
      <c r="E6" s="191">
        <v>21705</v>
      </c>
      <c r="F6" s="191">
        <v>6542</v>
      </c>
      <c r="G6" s="191">
        <v>60</v>
      </c>
      <c r="H6" s="191">
        <v>75911</v>
      </c>
      <c r="I6" s="191">
        <v>3163</v>
      </c>
      <c r="J6" s="191">
        <v>0</v>
      </c>
      <c r="K6" s="191">
        <v>3</v>
      </c>
      <c r="L6" s="191">
        <v>103</v>
      </c>
      <c r="M6" s="191">
        <v>47</v>
      </c>
      <c r="N6" s="191">
        <v>295</v>
      </c>
      <c r="O6" s="191">
        <f t="shared" si="9"/>
        <v>110984</v>
      </c>
      <c r="P6" s="186"/>
      <c r="Q6" s="137">
        <v>0</v>
      </c>
      <c r="R6" s="138">
        <f>ROUND(Q6/Q$61,4)</f>
        <v>0</v>
      </c>
      <c r="S6" s="137">
        <v>0</v>
      </c>
      <c r="T6" s="138">
        <f t="shared" si="11"/>
        <v>0</v>
      </c>
      <c r="U6" s="186"/>
      <c r="V6" s="137">
        <f t="shared" si="12"/>
        <v>0</v>
      </c>
      <c r="W6" s="138">
        <v>0</v>
      </c>
      <c r="X6" s="137">
        <f t="shared" si="0"/>
        <v>0</v>
      </c>
      <c r="Y6" s="138">
        <f t="shared" si="13"/>
        <v>0</v>
      </c>
      <c r="Z6" s="137">
        <f t="shared" si="1"/>
        <v>0</v>
      </c>
      <c r="AA6" s="138">
        <f t="shared" si="14"/>
        <v>0</v>
      </c>
      <c r="AB6" s="186"/>
      <c r="AC6" s="137">
        <f t="shared" si="2"/>
        <v>110689</v>
      </c>
      <c r="AD6" s="141">
        <f>ROUNDDOWN(AC6/AC$61,4)</f>
        <v>0.02</v>
      </c>
      <c r="AE6" s="137">
        <f t="shared" si="3"/>
        <v>295</v>
      </c>
      <c r="AF6" s="141">
        <f>ROUNDDOWN(AE6/AE$61,4)</f>
        <v>5.5500000000000001E-2</v>
      </c>
      <c r="AG6" s="186"/>
      <c r="AH6" s="137">
        <f t="shared" si="17"/>
        <v>110984</v>
      </c>
      <c r="AI6" s="138">
        <f t="shared" si="18"/>
        <v>0.01</v>
      </c>
      <c r="AJ6" s="137">
        <f t="shared" si="4"/>
        <v>110421</v>
      </c>
      <c r="AK6" s="138">
        <f t="shared" si="19"/>
        <v>0.01</v>
      </c>
      <c r="AL6" s="137">
        <f t="shared" si="5"/>
        <v>28247</v>
      </c>
      <c r="AM6" s="141">
        <f>ROUNDUP(AL6/AL$61,4)</f>
        <v>1.09E-2</v>
      </c>
      <c r="AN6" s="139"/>
      <c r="AO6" s="137">
        <f t="shared" si="20"/>
        <v>110984</v>
      </c>
      <c r="AP6" s="138">
        <f t="shared" si="21"/>
        <v>8.5000000000000006E-3</v>
      </c>
      <c r="AQ6" s="140"/>
      <c r="AR6" s="137">
        <f t="shared" si="6"/>
        <v>110984</v>
      </c>
      <c r="AS6" s="138">
        <f t="shared" si="22"/>
        <v>5.8999999999999999E-3</v>
      </c>
      <c r="AT6" s="137">
        <f t="shared" si="7"/>
        <v>110689</v>
      </c>
      <c r="AU6" s="138">
        <f t="shared" si="23"/>
        <v>5.8999999999999999E-3</v>
      </c>
      <c r="AW6" s="192">
        <v>110984</v>
      </c>
      <c r="AX6" s="192">
        <f t="shared" si="8"/>
        <v>0</v>
      </c>
    </row>
    <row r="7" spans="1:50" ht="17.25" x14ac:dyDescent="0.3">
      <c r="A7" s="190" t="s">
        <v>203</v>
      </c>
      <c r="B7" s="136" t="s">
        <v>54</v>
      </c>
      <c r="C7" s="191">
        <v>455</v>
      </c>
      <c r="D7" s="191">
        <v>46</v>
      </c>
      <c r="E7" s="191">
        <v>4154</v>
      </c>
      <c r="F7" s="191">
        <v>718</v>
      </c>
      <c r="G7" s="191">
        <v>3</v>
      </c>
      <c r="H7" s="191">
        <v>12288</v>
      </c>
      <c r="I7" s="191">
        <v>512</v>
      </c>
      <c r="J7" s="191">
        <v>0</v>
      </c>
      <c r="K7" s="191">
        <v>0</v>
      </c>
      <c r="L7" s="191">
        <v>7</v>
      </c>
      <c r="M7" s="191">
        <v>5</v>
      </c>
      <c r="N7" s="191">
        <v>3</v>
      </c>
      <c r="O7" s="191">
        <f t="shared" si="9"/>
        <v>18191</v>
      </c>
      <c r="P7" s="186"/>
      <c r="Q7" s="137">
        <v>0</v>
      </c>
      <c r="R7" s="138">
        <f t="shared" si="10"/>
        <v>0</v>
      </c>
      <c r="S7" s="137">
        <v>0</v>
      </c>
      <c r="T7" s="138">
        <f t="shared" si="11"/>
        <v>0</v>
      </c>
      <c r="U7" s="186"/>
      <c r="V7" s="137">
        <f t="shared" si="12"/>
        <v>0</v>
      </c>
      <c r="W7" s="138">
        <v>0</v>
      </c>
      <c r="X7" s="137">
        <f t="shared" si="0"/>
        <v>0</v>
      </c>
      <c r="Y7" s="138">
        <f t="shared" si="13"/>
        <v>0</v>
      </c>
      <c r="Z7" s="137">
        <f t="shared" si="1"/>
        <v>0</v>
      </c>
      <c r="AA7" s="138">
        <f t="shared" si="14"/>
        <v>0</v>
      </c>
      <c r="AB7" s="186"/>
      <c r="AC7" s="137">
        <f t="shared" si="2"/>
        <v>18188</v>
      </c>
      <c r="AD7" s="138">
        <f t="shared" si="15"/>
        <v>3.3E-3</v>
      </c>
      <c r="AE7" s="137">
        <f t="shared" si="3"/>
        <v>3</v>
      </c>
      <c r="AF7" s="138">
        <f t="shared" si="16"/>
        <v>5.9999999999999995E-4</v>
      </c>
      <c r="AG7" s="186"/>
      <c r="AH7" s="137">
        <f t="shared" si="17"/>
        <v>18191</v>
      </c>
      <c r="AI7" s="138">
        <f t="shared" si="18"/>
        <v>1.6000000000000001E-3</v>
      </c>
      <c r="AJ7" s="137">
        <f t="shared" si="4"/>
        <v>18130</v>
      </c>
      <c r="AK7" s="138">
        <f t="shared" si="19"/>
        <v>1.6000000000000001E-3</v>
      </c>
      <c r="AL7" s="137">
        <f t="shared" si="5"/>
        <v>4872</v>
      </c>
      <c r="AM7" s="138">
        <f t="shared" si="24"/>
        <v>1.9E-3</v>
      </c>
      <c r="AN7" s="139"/>
      <c r="AO7" s="137">
        <f t="shared" si="20"/>
        <v>18191</v>
      </c>
      <c r="AP7" s="138">
        <f t="shared" si="21"/>
        <v>1.4E-3</v>
      </c>
      <c r="AQ7" s="140"/>
      <c r="AR7" s="137">
        <f t="shared" si="6"/>
        <v>18191</v>
      </c>
      <c r="AS7" s="138">
        <f t="shared" si="22"/>
        <v>1E-3</v>
      </c>
      <c r="AT7" s="137">
        <f t="shared" si="7"/>
        <v>18188</v>
      </c>
      <c r="AU7" s="138">
        <f t="shared" si="23"/>
        <v>1E-3</v>
      </c>
      <c r="AW7" s="192">
        <v>18191</v>
      </c>
      <c r="AX7" s="192">
        <f t="shared" si="8"/>
        <v>0</v>
      </c>
    </row>
    <row r="8" spans="1:50" ht="17.25" x14ac:dyDescent="0.3">
      <c r="A8" s="190" t="s">
        <v>203</v>
      </c>
      <c r="B8" s="136" t="s">
        <v>55</v>
      </c>
      <c r="C8" s="191">
        <v>164</v>
      </c>
      <c r="D8" s="191">
        <v>45</v>
      </c>
      <c r="E8" s="191">
        <v>1644</v>
      </c>
      <c r="F8" s="191">
        <v>269</v>
      </c>
      <c r="G8" s="191">
        <v>12</v>
      </c>
      <c r="H8" s="191">
        <v>10048</v>
      </c>
      <c r="I8" s="191">
        <v>419</v>
      </c>
      <c r="J8" s="191">
        <v>0</v>
      </c>
      <c r="K8" s="191">
        <v>4</v>
      </c>
      <c r="L8" s="191">
        <v>5</v>
      </c>
      <c r="M8" s="191">
        <v>46</v>
      </c>
      <c r="N8" s="191">
        <v>3</v>
      </c>
      <c r="O8" s="191">
        <f t="shared" si="9"/>
        <v>12659</v>
      </c>
      <c r="P8" s="186"/>
      <c r="Q8" s="137">
        <v>0</v>
      </c>
      <c r="R8" s="142">
        <f>ROUND(Q8/Q$61,4)</f>
        <v>0</v>
      </c>
      <c r="S8" s="137">
        <v>0</v>
      </c>
      <c r="T8" s="138">
        <f t="shared" si="11"/>
        <v>0</v>
      </c>
      <c r="U8" s="186"/>
      <c r="V8" s="137">
        <f t="shared" si="12"/>
        <v>0</v>
      </c>
      <c r="W8" s="142">
        <v>0</v>
      </c>
      <c r="X8" s="137">
        <f t="shared" si="0"/>
        <v>0</v>
      </c>
      <c r="Y8" s="138">
        <f t="shared" si="13"/>
        <v>0</v>
      </c>
      <c r="Z8" s="137">
        <f t="shared" si="1"/>
        <v>0</v>
      </c>
      <c r="AA8" s="138">
        <f t="shared" si="14"/>
        <v>0</v>
      </c>
      <c r="AB8" s="186"/>
      <c r="AC8" s="137">
        <f t="shared" si="2"/>
        <v>12656</v>
      </c>
      <c r="AD8" s="142">
        <f>ROUND(AC8/AC$61,4)</f>
        <v>2.3E-3</v>
      </c>
      <c r="AE8" s="137">
        <f t="shared" si="3"/>
        <v>3</v>
      </c>
      <c r="AF8" s="138">
        <f t="shared" si="16"/>
        <v>5.9999999999999995E-4</v>
      </c>
      <c r="AG8" s="186"/>
      <c r="AH8" s="137">
        <f t="shared" si="17"/>
        <v>12659</v>
      </c>
      <c r="AI8" s="138">
        <f t="shared" si="18"/>
        <v>1.1000000000000001E-3</v>
      </c>
      <c r="AJ8" s="137">
        <f t="shared" si="4"/>
        <v>12551</v>
      </c>
      <c r="AK8" s="138">
        <f t="shared" si="19"/>
        <v>1.1000000000000001E-3</v>
      </c>
      <c r="AL8" s="137">
        <f t="shared" si="5"/>
        <v>1913</v>
      </c>
      <c r="AM8" s="138">
        <f t="shared" si="24"/>
        <v>6.9999999999999999E-4</v>
      </c>
      <c r="AN8" s="139"/>
      <c r="AO8" s="137">
        <f t="shared" si="20"/>
        <v>12659</v>
      </c>
      <c r="AP8" s="138">
        <f t="shared" si="21"/>
        <v>1E-3</v>
      </c>
      <c r="AQ8" s="140"/>
      <c r="AR8" s="137">
        <f t="shared" si="6"/>
        <v>12659</v>
      </c>
      <c r="AS8" s="138">
        <f t="shared" si="22"/>
        <v>6.9999999999999999E-4</v>
      </c>
      <c r="AT8" s="137">
        <f t="shared" si="7"/>
        <v>12656</v>
      </c>
      <c r="AU8" s="138">
        <f t="shared" si="23"/>
        <v>6.9999999999999999E-4</v>
      </c>
      <c r="AW8" s="192">
        <v>12659</v>
      </c>
      <c r="AX8" s="192">
        <f t="shared" si="8"/>
        <v>0</v>
      </c>
    </row>
    <row r="9" spans="1:50" ht="17.25" x14ac:dyDescent="0.3">
      <c r="A9" s="190" t="s">
        <v>202</v>
      </c>
      <c r="B9" s="136" t="s">
        <v>56</v>
      </c>
      <c r="C9" s="191">
        <v>8590</v>
      </c>
      <c r="D9" s="191">
        <v>510</v>
      </c>
      <c r="E9" s="191">
        <v>62277</v>
      </c>
      <c r="F9" s="191">
        <v>15871</v>
      </c>
      <c r="G9" s="191">
        <v>823</v>
      </c>
      <c r="H9" s="191">
        <v>271133</v>
      </c>
      <c r="I9" s="191">
        <v>11297</v>
      </c>
      <c r="J9" s="191">
        <v>29</v>
      </c>
      <c r="K9" s="191">
        <v>382</v>
      </c>
      <c r="L9" s="191">
        <v>298</v>
      </c>
      <c r="M9" s="191">
        <v>0</v>
      </c>
      <c r="N9" s="191">
        <v>491</v>
      </c>
      <c r="O9" s="191">
        <f t="shared" si="9"/>
        <v>371701</v>
      </c>
      <c r="P9" s="186"/>
      <c r="Q9" s="137">
        <v>0</v>
      </c>
      <c r="R9" s="138">
        <f t="shared" si="10"/>
        <v>0</v>
      </c>
      <c r="S9" s="137">
        <v>0</v>
      </c>
      <c r="T9" s="138">
        <f t="shared" si="11"/>
        <v>0</v>
      </c>
      <c r="U9" s="186"/>
      <c r="V9" s="137">
        <f t="shared" si="12"/>
        <v>371701</v>
      </c>
      <c r="W9" s="138">
        <v>4.5999999999999999E-2</v>
      </c>
      <c r="X9" s="137">
        <f t="shared" si="0"/>
        <v>78148</v>
      </c>
      <c r="Y9" s="138">
        <f t="shared" si="13"/>
        <v>4.3299999999999998E-2</v>
      </c>
      <c r="Z9" s="137">
        <f t="shared" si="1"/>
        <v>370070</v>
      </c>
      <c r="AA9" s="138">
        <f t="shared" si="14"/>
        <v>4.8899999999999999E-2</v>
      </c>
      <c r="AB9" s="186"/>
      <c r="AC9" s="137">
        <f t="shared" si="2"/>
        <v>0</v>
      </c>
      <c r="AD9" s="138">
        <f t="shared" si="15"/>
        <v>0</v>
      </c>
      <c r="AE9" s="137">
        <f t="shared" si="3"/>
        <v>0</v>
      </c>
      <c r="AF9" s="138">
        <f t="shared" si="16"/>
        <v>0</v>
      </c>
      <c r="AG9" s="186"/>
      <c r="AH9" s="137">
        <f t="shared" si="17"/>
        <v>0</v>
      </c>
      <c r="AI9" s="138">
        <f t="shared" si="18"/>
        <v>0</v>
      </c>
      <c r="AJ9" s="137">
        <f t="shared" si="4"/>
        <v>0</v>
      </c>
      <c r="AK9" s="138">
        <f t="shared" si="19"/>
        <v>0</v>
      </c>
      <c r="AL9" s="137">
        <f t="shared" si="5"/>
        <v>0</v>
      </c>
      <c r="AM9" s="138">
        <f t="shared" si="24"/>
        <v>0</v>
      </c>
      <c r="AN9" s="139"/>
      <c r="AO9" s="137">
        <f t="shared" si="20"/>
        <v>371701</v>
      </c>
      <c r="AP9" s="138">
        <f>ROUND(AO9/AO$61,4)</f>
        <v>2.8299999999999999E-2</v>
      </c>
      <c r="AQ9" s="140"/>
      <c r="AR9" s="137">
        <f t="shared" si="6"/>
        <v>371701</v>
      </c>
      <c r="AS9" s="138">
        <f t="shared" si="22"/>
        <v>1.9800000000000002E-2</v>
      </c>
      <c r="AT9" s="137">
        <f t="shared" si="7"/>
        <v>371210</v>
      </c>
      <c r="AU9" s="138">
        <f>ROUND(AT9/AT$61,4)</f>
        <v>1.9900000000000001E-2</v>
      </c>
      <c r="AW9" s="192">
        <v>371701</v>
      </c>
      <c r="AX9" s="192">
        <f t="shared" si="8"/>
        <v>0</v>
      </c>
    </row>
    <row r="10" spans="1:50" ht="17.25" x14ac:dyDescent="0.3">
      <c r="A10" s="190" t="s">
        <v>203</v>
      </c>
      <c r="B10" s="136" t="s">
        <v>57</v>
      </c>
      <c r="C10" s="191">
        <v>798</v>
      </c>
      <c r="D10" s="191">
        <v>96</v>
      </c>
      <c r="E10" s="191">
        <v>4130</v>
      </c>
      <c r="F10" s="191">
        <v>1386</v>
      </c>
      <c r="G10" s="191">
        <v>3</v>
      </c>
      <c r="H10" s="191">
        <v>11684</v>
      </c>
      <c r="I10" s="191">
        <v>487</v>
      </c>
      <c r="J10" s="191">
        <v>0</v>
      </c>
      <c r="K10" s="191">
        <v>1</v>
      </c>
      <c r="L10" s="191">
        <v>24</v>
      </c>
      <c r="M10" s="191">
        <v>2</v>
      </c>
      <c r="N10" s="191">
        <v>7</v>
      </c>
      <c r="O10" s="191">
        <f t="shared" si="9"/>
        <v>18618</v>
      </c>
      <c r="P10" s="186"/>
      <c r="Q10" s="137">
        <v>0</v>
      </c>
      <c r="R10" s="138">
        <f t="shared" si="10"/>
        <v>0</v>
      </c>
      <c r="S10" s="137">
        <v>0</v>
      </c>
      <c r="T10" s="138">
        <f t="shared" si="11"/>
        <v>0</v>
      </c>
      <c r="U10" s="186"/>
      <c r="V10" s="137">
        <f t="shared" si="12"/>
        <v>0</v>
      </c>
      <c r="W10" s="138">
        <v>0</v>
      </c>
      <c r="X10" s="137">
        <f t="shared" si="0"/>
        <v>0</v>
      </c>
      <c r="Y10" s="138">
        <f t="shared" si="13"/>
        <v>0</v>
      </c>
      <c r="Z10" s="137">
        <f t="shared" si="1"/>
        <v>0</v>
      </c>
      <c r="AA10" s="138">
        <f t="shared" si="14"/>
        <v>0</v>
      </c>
      <c r="AB10" s="186"/>
      <c r="AC10" s="137">
        <f t="shared" si="2"/>
        <v>18611</v>
      </c>
      <c r="AD10" s="138">
        <f t="shared" si="15"/>
        <v>3.3999999999999998E-3</v>
      </c>
      <c r="AE10" s="137">
        <f t="shared" si="3"/>
        <v>7</v>
      </c>
      <c r="AF10" s="138">
        <f t="shared" si="16"/>
        <v>1.2999999999999999E-3</v>
      </c>
      <c r="AG10" s="186"/>
      <c r="AH10" s="137">
        <f t="shared" si="17"/>
        <v>18618</v>
      </c>
      <c r="AI10" s="138">
        <f t="shared" si="18"/>
        <v>1.6999999999999999E-3</v>
      </c>
      <c r="AJ10" s="137">
        <f t="shared" si="4"/>
        <v>18493</v>
      </c>
      <c r="AK10" s="138">
        <f t="shared" si="19"/>
        <v>1.6999999999999999E-3</v>
      </c>
      <c r="AL10" s="137">
        <f t="shared" si="5"/>
        <v>5516</v>
      </c>
      <c r="AM10" s="138">
        <f t="shared" si="24"/>
        <v>2.0999999999999999E-3</v>
      </c>
      <c r="AN10" s="139"/>
      <c r="AO10" s="137">
        <f t="shared" si="20"/>
        <v>18618</v>
      </c>
      <c r="AP10" s="138">
        <f t="shared" si="21"/>
        <v>1.4E-3</v>
      </c>
      <c r="AQ10" s="140"/>
      <c r="AR10" s="137">
        <f t="shared" si="6"/>
        <v>18618</v>
      </c>
      <c r="AS10" s="138">
        <f t="shared" si="22"/>
        <v>1E-3</v>
      </c>
      <c r="AT10" s="137">
        <f t="shared" si="7"/>
        <v>18611</v>
      </c>
      <c r="AU10" s="138">
        <f t="shared" si="23"/>
        <v>1E-3</v>
      </c>
      <c r="AW10" s="192">
        <v>18618</v>
      </c>
      <c r="AX10" s="192">
        <f t="shared" si="8"/>
        <v>0</v>
      </c>
    </row>
    <row r="11" spans="1:50" ht="17.25" x14ac:dyDescent="0.3">
      <c r="A11" s="190" t="s">
        <v>203</v>
      </c>
      <c r="B11" s="136" t="s">
        <v>58</v>
      </c>
      <c r="C11" s="191">
        <v>1164</v>
      </c>
      <c r="D11" s="191">
        <v>141</v>
      </c>
      <c r="E11" s="191">
        <v>9213</v>
      </c>
      <c r="F11" s="191">
        <v>1987</v>
      </c>
      <c r="G11" s="191">
        <v>25</v>
      </c>
      <c r="H11" s="191">
        <v>37983</v>
      </c>
      <c r="I11" s="191">
        <v>1583</v>
      </c>
      <c r="J11" s="191">
        <v>0</v>
      </c>
      <c r="K11" s="191">
        <v>4</v>
      </c>
      <c r="L11" s="191">
        <v>56</v>
      </c>
      <c r="M11" s="191">
        <v>23</v>
      </c>
      <c r="N11" s="191">
        <v>78</v>
      </c>
      <c r="O11" s="191">
        <f t="shared" si="9"/>
        <v>52257</v>
      </c>
      <c r="P11" s="186"/>
      <c r="Q11" s="137">
        <v>0</v>
      </c>
      <c r="R11" s="138">
        <f t="shared" si="10"/>
        <v>0</v>
      </c>
      <c r="S11" s="137">
        <v>0</v>
      </c>
      <c r="T11" s="138">
        <f t="shared" si="11"/>
        <v>0</v>
      </c>
      <c r="U11" s="186"/>
      <c r="V11" s="137">
        <f t="shared" si="12"/>
        <v>0</v>
      </c>
      <c r="W11" s="138">
        <v>0</v>
      </c>
      <c r="X11" s="137">
        <f t="shared" si="0"/>
        <v>0</v>
      </c>
      <c r="Y11" s="138">
        <f t="shared" si="13"/>
        <v>0</v>
      </c>
      <c r="Z11" s="137">
        <f t="shared" si="1"/>
        <v>0</v>
      </c>
      <c r="AA11" s="138">
        <f t="shared" si="14"/>
        <v>0</v>
      </c>
      <c r="AB11" s="186"/>
      <c r="AC11" s="137">
        <f t="shared" si="2"/>
        <v>52179</v>
      </c>
      <c r="AD11" s="138">
        <f t="shared" si="15"/>
        <v>9.4999999999999998E-3</v>
      </c>
      <c r="AE11" s="137">
        <v>0</v>
      </c>
      <c r="AF11" s="143">
        <f t="shared" si="16"/>
        <v>0</v>
      </c>
      <c r="AG11" s="186"/>
      <c r="AH11" s="137">
        <f t="shared" si="17"/>
        <v>52257</v>
      </c>
      <c r="AI11" s="138">
        <f t="shared" si="18"/>
        <v>4.7000000000000002E-3</v>
      </c>
      <c r="AJ11" s="137">
        <f t="shared" si="4"/>
        <v>52012</v>
      </c>
      <c r="AK11" s="138">
        <f t="shared" si="19"/>
        <v>4.7000000000000002E-3</v>
      </c>
      <c r="AL11" s="137">
        <f t="shared" si="5"/>
        <v>11200</v>
      </c>
      <c r="AM11" s="138">
        <f t="shared" si="24"/>
        <v>4.3E-3</v>
      </c>
      <c r="AN11" s="139"/>
      <c r="AO11" s="137">
        <f t="shared" si="20"/>
        <v>52257</v>
      </c>
      <c r="AP11" s="138">
        <f t="shared" si="21"/>
        <v>4.0000000000000001E-3</v>
      </c>
      <c r="AQ11" s="140"/>
      <c r="AR11" s="137">
        <f t="shared" si="6"/>
        <v>52257</v>
      </c>
      <c r="AS11" s="138">
        <f t="shared" si="22"/>
        <v>2.8E-3</v>
      </c>
      <c r="AT11" s="137">
        <f t="shared" si="7"/>
        <v>52179</v>
      </c>
      <c r="AU11" s="138">
        <f t="shared" si="23"/>
        <v>2.8E-3</v>
      </c>
      <c r="AW11" s="192">
        <v>52257</v>
      </c>
      <c r="AX11" s="192">
        <f t="shared" si="8"/>
        <v>0</v>
      </c>
    </row>
    <row r="12" spans="1:50" ht="17.25" x14ac:dyDescent="0.3">
      <c r="A12" s="190" t="s">
        <v>202</v>
      </c>
      <c r="B12" s="136" t="s">
        <v>59</v>
      </c>
      <c r="C12" s="191">
        <v>27417</v>
      </c>
      <c r="D12" s="191">
        <v>1594</v>
      </c>
      <c r="E12" s="191">
        <v>168560</v>
      </c>
      <c r="F12" s="191">
        <v>39655</v>
      </c>
      <c r="G12" s="191">
        <v>1051</v>
      </c>
      <c r="H12" s="191">
        <v>476507</v>
      </c>
      <c r="I12" s="191">
        <v>19854</v>
      </c>
      <c r="J12" s="191">
        <v>7</v>
      </c>
      <c r="K12" s="191">
        <v>89</v>
      </c>
      <c r="L12" s="191">
        <v>595</v>
      </c>
      <c r="M12" s="191">
        <v>0</v>
      </c>
      <c r="N12" s="191">
        <v>1353</v>
      </c>
      <c r="O12" s="191">
        <f t="shared" si="9"/>
        <v>736682</v>
      </c>
      <c r="P12" s="186"/>
      <c r="Q12" s="137">
        <v>0</v>
      </c>
      <c r="R12" s="138">
        <f t="shared" si="10"/>
        <v>0</v>
      </c>
      <c r="S12" s="137">
        <v>0</v>
      </c>
      <c r="T12" s="138">
        <f t="shared" si="11"/>
        <v>0</v>
      </c>
      <c r="U12" s="186"/>
      <c r="V12" s="137">
        <f t="shared" si="12"/>
        <v>736682</v>
      </c>
      <c r="W12" s="138">
        <v>8.8599999999999998E-2</v>
      </c>
      <c r="X12" s="137">
        <f t="shared" si="0"/>
        <v>208215</v>
      </c>
      <c r="Y12" s="138">
        <f t="shared" si="13"/>
        <v>0.11550000000000001</v>
      </c>
      <c r="Z12" s="137">
        <f t="shared" si="1"/>
        <v>733442</v>
      </c>
      <c r="AA12" s="138">
        <f t="shared" si="14"/>
        <v>9.69E-2</v>
      </c>
      <c r="AB12" s="186"/>
      <c r="AC12" s="137">
        <f t="shared" si="2"/>
        <v>0</v>
      </c>
      <c r="AD12" s="138">
        <f t="shared" si="15"/>
        <v>0</v>
      </c>
      <c r="AE12" s="137">
        <f t="shared" ref="AE12:AE20" si="25">SUMIF($A12,"CA",N12)</f>
        <v>0</v>
      </c>
      <c r="AF12" s="138">
        <f t="shared" si="16"/>
        <v>0</v>
      </c>
      <c r="AG12" s="186"/>
      <c r="AH12" s="137">
        <f t="shared" si="17"/>
        <v>0</v>
      </c>
      <c r="AI12" s="138">
        <f t="shared" si="18"/>
        <v>0</v>
      </c>
      <c r="AJ12" s="137">
        <f t="shared" si="4"/>
        <v>0</v>
      </c>
      <c r="AK12" s="138">
        <f t="shared" si="19"/>
        <v>0</v>
      </c>
      <c r="AL12" s="137">
        <f t="shared" si="5"/>
        <v>0</v>
      </c>
      <c r="AM12" s="138">
        <f t="shared" si="24"/>
        <v>0</v>
      </c>
      <c r="AN12" s="139"/>
      <c r="AO12" s="137">
        <f t="shared" si="20"/>
        <v>736682</v>
      </c>
      <c r="AP12" s="138">
        <f t="shared" si="21"/>
        <v>5.6099999999999997E-2</v>
      </c>
      <c r="AQ12" s="140"/>
      <c r="AR12" s="137">
        <f t="shared" si="6"/>
        <v>736682</v>
      </c>
      <c r="AS12" s="138">
        <f t="shared" si="22"/>
        <v>3.9300000000000002E-2</v>
      </c>
      <c r="AT12" s="137">
        <f t="shared" si="7"/>
        <v>735329</v>
      </c>
      <c r="AU12" s="141">
        <f>ROUNDUP(AT12/AT$61,4)</f>
        <v>3.9600000000000003E-2</v>
      </c>
      <c r="AW12" s="192">
        <v>736682</v>
      </c>
      <c r="AX12" s="192">
        <f t="shared" si="8"/>
        <v>0</v>
      </c>
    </row>
    <row r="13" spans="1:50" ht="17.25" x14ac:dyDescent="0.3">
      <c r="A13" s="190" t="s">
        <v>203</v>
      </c>
      <c r="B13" s="136" t="s">
        <v>60</v>
      </c>
      <c r="C13" s="191">
        <v>498</v>
      </c>
      <c r="D13" s="191">
        <v>48</v>
      </c>
      <c r="E13" s="191">
        <v>2463</v>
      </c>
      <c r="F13" s="191">
        <v>775</v>
      </c>
      <c r="G13" s="191">
        <v>5</v>
      </c>
      <c r="H13" s="191">
        <v>12586</v>
      </c>
      <c r="I13" s="191">
        <v>524</v>
      </c>
      <c r="J13" s="191">
        <v>0</v>
      </c>
      <c r="K13" s="191">
        <v>3</v>
      </c>
      <c r="L13" s="191">
        <v>5</v>
      </c>
      <c r="M13" s="191">
        <v>16</v>
      </c>
      <c r="N13" s="191">
        <v>28</v>
      </c>
      <c r="O13" s="191">
        <f t="shared" si="9"/>
        <v>16951</v>
      </c>
      <c r="P13" s="186"/>
      <c r="Q13" s="137">
        <v>0</v>
      </c>
      <c r="R13" s="138">
        <f t="shared" si="10"/>
        <v>0</v>
      </c>
      <c r="S13" s="137">
        <v>0</v>
      </c>
      <c r="T13" s="138">
        <f t="shared" si="11"/>
        <v>0</v>
      </c>
      <c r="U13" s="186"/>
      <c r="V13" s="137">
        <f t="shared" si="12"/>
        <v>0</v>
      </c>
      <c r="W13" s="138">
        <v>0</v>
      </c>
      <c r="X13" s="137">
        <f t="shared" si="0"/>
        <v>0</v>
      </c>
      <c r="Y13" s="138">
        <f t="shared" si="13"/>
        <v>0</v>
      </c>
      <c r="Z13" s="137">
        <f t="shared" si="1"/>
        <v>0</v>
      </c>
      <c r="AA13" s="138">
        <f t="shared" si="14"/>
        <v>0</v>
      </c>
      <c r="AB13" s="186"/>
      <c r="AC13" s="137">
        <f t="shared" si="2"/>
        <v>16923</v>
      </c>
      <c r="AD13" s="138">
        <f t="shared" si="15"/>
        <v>3.0999999999999999E-3</v>
      </c>
      <c r="AE13" s="137">
        <f t="shared" si="25"/>
        <v>28</v>
      </c>
      <c r="AF13" s="138">
        <f t="shared" si="16"/>
        <v>5.3E-3</v>
      </c>
      <c r="AG13" s="186"/>
      <c r="AH13" s="137">
        <f t="shared" si="17"/>
        <v>16951</v>
      </c>
      <c r="AI13" s="138">
        <f t="shared" si="18"/>
        <v>1.5E-3</v>
      </c>
      <c r="AJ13" s="137">
        <f t="shared" si="4"/>
        <v>16877</v>
      </c>
      <c r="AK13" s="138">
        <f t="shared" si="19"/>
        <v>1.5E-3</v>
      </c>
      <c r="AL13" s="137">
        <f t="shared" si="5"/>
        <v>3238</v>
      </c>
      <c r="AM13" s="138">
        <f t="shared" si="24"/>
        <v>1.1999999999999999E-3</v>
      </c>
      <c r="AN13" s="139"/>
      <c r="AO13" s="137">
        <f t="shared" si="20"/>
        <v>16951</v>
      </c>
      <c r="AP13" s="138">
        <f t="shared" si="21"/>
        <v>1.2999999999999999E-3</v>
      </c>
      <c r="AQ13" s="140"/>
      <c r="AR13" s="137">
        <f t="shared" si="6"/>
        <v>16951</v>
      </c>
      <c r="AS13" s="138">
        <f t="shared" si="22"/>
        <v>8.9999999999999998E-4</v>
      </c>
      <c r="AT13" s="137">
        <f t="shared" si="7"/>
        <v>16923</v>
      </c>
      <c r="AU13" s="138">
        <f t="shared" si="23"/>
        <v>8.9999999999999998E-4</v>
      </c>
      <c r="AW13" s="192">
        <v>16951</v>
      </c>
      <c r="AX13" s="192">
        <f t="shared" si="8"/>
        <v>0</v>
      </c>
    </row>
    <row r="14" spans="1:50" ht="17.25" x14ac:dyDescent="0.3">
      <c r="A14" s="190" t="s">
        <v>203</v>
      </c>
      <c r="B14" s="136" t="s">
        <v>61</v>
      </c>
      <c r="C14" s="191">
        <v>1852</v>
      </c>
      <c r="D14" s="191">
        <v>331</v>
      </c>
      <c r="E14" s="191">
        <v>17302</v>
      </c>
      <c r="F14" s="191">
        <v>4359</v>
      </c>
      <c r="G14" s="191">
        <v>31</v>
      </c>
      <c r="H14" s="191">
        <v>55895</v>
      </c>
      <c r="I14" s="191">
        <v>2329</v>
      </c>
      <c r="J14" s="191">
        <v>0</v>
      </c>
      <c r="K14" s="191">
        <v>3</v>
      </c>
      <c r="L14" s="191">
        <v>144</v>
      </c>
      <c r="M14" s="191">
        <v>29</v>
      </c>
      <c r="N14" s="191">
        <v>130</v>
      </c>
      <c r="O14" s="191">
        <f t="shared" si="9"/>
        <v>82405</v>
      </c>
      <c r="P14" s="186"/>
      <c r="Q14" s="137">
        <v>0</v>
      </c>
      <c r="R14" s="138">
        <f t="shared" si="10"/>
        <v>0</v>
      </c>
      <c r="S14" s="137">
        <v>0</v>
      </c>
      <c r="T14" s="138">
        <f>ROUND(S14/S$61,4)</f>
        <v>0</v>
      </c>
      <c r="U14" s="186"/>
      <c r="V14" s="137">
        <f t="shared" si="12"/>
        <v>0</v>
      </c>
      <c r="W14" s="138">
        <v>0</v>
      </c>
      <c r="X14" s="137">
        <f t="shared" si="0"/>
        <v>0</v>
      </c>
      <c r="Y14" s="138">
        <f t="shared" si="13"/>
        <v>0</v>
      </c>
      <c r="Z14" s="137">
        <f t="shared" si="1"/>
        <v>0</v>
      </c>
      <c r="AA14" s="138">
        <f t="shared" si="14"/>
        <v>0</v>
      </c>
      <c r="AB14" s="186"/>
      <c r="AC14" s="137">
        <f t="shared" si="2"/>
        <v>82275</v>
      </c>
      <c r="AD14" s="138">
        <f t="shared" si="15"/>
        <v>1.49E-2</v>
      </c>
      <c r="AE14" s="137">
        <f t="shared" si="25"/>
        <v>130</v>
      </c>
      <c r="AF14" s="141">
        <f>ROUNDDOWN(AE14/AE$61,4)</f>
        <v>2.4400000000000002E-2</v>
      </c>
      <c r="AG14" s="186"/>
      <c r="AH14" s="137">
        <f t="shared" si="17"/>
        <v>82405</v>
      </c>
      <c r="AI14" s="138">
        <f t="shared" si="18"/>
        <v>7.4000000000000003E-3</v>
      </c>
      <c r="AJ14" s="137">
        <f t="shared" si="4"/>
        <v>81870</v>
      </c>
      <c r="AK14" s="138">
        <f t="shared" si="19"/>
        <v>7.4000000000000003E-3</v>
      </c>
      <c r="AL14" s="137">
        <f t="shared" si="5"/>
        <v>21661</v>
      </c>
      <c r="AM14" s="138">
        <f t="shared" si="24"/>
        <v>8.3000000000000001E-3</v>
      </c>
      <c r="AN14" s="139"/>
      <c r="AO14" s="137">
        <f t="shared" si="20"/>
        <v>82405</v>
      </c>
      <c r="AP14" s="138">
        <f t="shared" si="21"/>
        <v>6.3E-3</v>
      </c>
      <c r="AQ14" s="140"/>
      <c r="AR14" s="137">
        <f t="shared" si="6"/>
        <v>82405</v>
      </c>
      <c r="AS14" s="138">
        <f t="shared" si="22"/>
        <v>4.4000000000000003E-3</v>
      </c>
      <c r="AT14" s="137">
        <f t="shared" si="7"/>
        <v>82275</v>
      </c>
      <c r="AU14" s="138">
        <f t="shared" si="23"/>
        <v>4.4000000000000003E-3</v>
      </c>
      <c r="AW14" s="192">
        <v>82405</v>
      </c>
      <c r="AX14" s="192">
        <f t="shared" si="8"/>
        <v>0</v>
      </c>
    </row>
    <row r="15" spans="1:50" ht="17.25" x14ac:dyDescent="0.3">
      <c r="A15" s="190" t="s">
        <v>203</v>
      </c>
      <c r="B15" s="136" t="s">
        <v>62</v>
      </c>
      <c r="C15" s="191">
        <v>5557</v>
      </c>
      <c r="D15" s="191">
        <v>214</v>
      </c>
      <c r="E15" s="191">
        <v>29972</v>
      </c>
      <c r="F15" s="191">
        <v>8189</v>
      </c>
      <c r="G15" s="191">
        <v>211</v>
      </c>
      <c r="H15" s="191">
        <v>92169</v>
      </c>
      <c r="I15" s="191">
        <v>3840</v>
      </c>
      <c r="J15" s="191">
        <v>0</v>
      </c>
      <c r="K15" s="191">
        <v>25</v>
      </c>
      <c r="L15" s="191">
        <v>167</v>
      </c>
      <c r="M15" s="191">
        <v>50</v>
      </c>
      <c r="N15" s="191">
        <v>49</v>
      </c>
      <c r="O15" s="191">
        <f t="shared" si="9"/>
        <v>140443</v>
      </c>
      <c r="P15" s="186"/>
      <c r="Q15" s="137">
        <v>0</v>
      </c>
      <c r="R15" s="138">
        <f>ROUND(Q15/Q$61,4)</f>
        <v>0</v>
      </c>
      <c r="S15" s="137">
        <v>0</v>
      </c>
      <c r="T15" s="138">
        <f t="shared" si="11"/>
        <v>0</v>
      </c>
      <c r="U15" s="186"/>
      <c r="V15" s="137">
        <f t="shared" si="12"/>
        <v>0</v>
      </c>
      <c r="W15" s="138">
        <v>0</v>
      </c>
      <c r="X15" s="137">
        <f t="shared" si="0"/>
        <v>0</v>
      </c>
      <c r="Y15" s="138">
        <f t="shared" si="13"/>
        <v>0</v>
      </c>
      <c r="Z15" s="137">
        <f t="shared" si="1"/>
        <v>0</v>
      </c>
      <c r="AA15" s="138">
        <f t="shared" si="14"/>
        <v>0</v>
      </c>
      <c r="AB15" s="186"/>
      <c r="AC15" s="137">
        <f t="shared" si="2"/>
        <v>140394</v>
      </c>
      <c r="AD15" s="138">
        <f>ROUND(AC15/AC$61,4)</f>
        <v>2.5499999999999998E-2</v>
      </c>
      <c r="AE15" s="137">
        <f t="shared" si="25"/>
        <v>49</v>
      </c>
      <c r="AF15" s="138">
        <f t="shared" si="16"/>
        <v>9.1999999999999998E-3</v>
      </c>
      <c r="AG15" s="186"/>
      <c r="AH15" s="137">
        <f t="shared" si="17"/>
        <v>140443</v>
      </c>
      <c r="AI15" s="141">
        <f>ROUNDUP(AH15/AH$61,4)</f>
        <v>1.2699999999999999E-2</v>
      </c>
      <c r="AJ15" s="137">
        <f t="shared" si="4"/>
        <v>139801</v>
      </c>
      <c r="AK15" s="138">
        <f t="shared" si="19"/>
        <v>1.26E-2</v>
      </c>
      <c r="AL15" s="137">
        <f t="shared" si="5"/>
        <v>38161</v>
      </c>
      <c r="AM15" s="138">
        <f t="shared" si="24"/>
        <v>1.46E-2</v>
      </c>
      <c r="AN15" s="139"/>
      <c r="AO15" s="137">
        <f t="shared" si="20"/>
        <v>140443</v>
      </c>
      <c r="AP15" s="138">
        <f t="shared" si="21"/>
        <v>1.0699999999999999E-2</v>
      </c>
      <c r="AQ15" s="140"/>
      <c r="AR15" s="137">
        <f t="shared" si="6"/>
        <v>140443</v>
      </c>
      <c r="AS15" s="138">
        <f t="shared" si="22"/>
        <v>7.4999999999999997E-3</v>
      </c>
      <c r="AT15" s="137">
        <f t="shared" si="7"/>
        <v>140394</v>
      </c>
      <c r="AU15" s="138">
        <f>ROUND(AT15/AT$61,4)</f>
        <v>7.4999999999999997E-3</v>
      </c>
      <c r="AW15" s="192">
        <v>140443</v>
      </c>
      <c r="AX15" s="192">
        <f t="shared" si="8"/>
        <v>0</v>
      </c>
    </row>
    <row r="16" spans="1:50" ht="17.25" x14ac:dyDescent="0.3">
      <c r="A16" s="190" t="s">
        <v>203</v>
      </c>
      <c r="B16" s="136" t="s">
        <v>63</v>
      </c>
      <c r="C16" s="191">
        <v>106</v>
      </c>
      <c r="D16" s="191">
        <v>15</v>
      </c>
      <c r="E16" s="191">
        <v>1677</v>
      </c>
      <c r="F16" s="191">
        <v>241</v>
      </c>
      <c r="G16" s="191">
        <v>4</v>
      </c>
      <c r="H16" s="191">
        <v>5699</v>
      </c>
      <c r="I16" s="191">
        <v>237</v>
      </c>
      <c r="J16" s="191">
        <v>0</v>
      </c>
      <c r="K16" s="191">
        <v>1</v>
      </c>
      <c r="L16" s="191">
        <v>6</v>
      </c>
      <c r="M16" s="191">
        <v>2</v>
      </c>
      <c r="N16" s="191">
        <v>18</v>
      </c>
      <c r="O16" s="191">
        <f t="shared" si="9"/>
        <v>8006</v>
      </c>
      <c r="P16" s="186"/>
      <c r="Q16" s="137">
        <v>0</v>
      </c>
      <c r="R16" s="138">
        <f t="shared" si="10"/>
        <v>0</v>
      </c>
      <c r="S16" s="137">
        <v>0</v>
      </c>
      <c r="T16" s="138">
        <f t="shared" si="11"/>
        <v>0</v>
      </c>
      <c r="U16" s="186"/>
      <c r="V16" s="137">
        <f t="shared" si="12"/>
        <v>0</v>
      </c>
      <c r="W16" s="138">
        <v>0</v>
      </c>
      <c r="X16" s="137">
        <f t="shared" si="0"/>
        <v>0</v>
      </c>
      <c r="Y16" s="138">
        <f t="shared" si="13"/>
        <v>0</v>
      </c>
      <c r="Z16" s="137">
        <f t="shared" si="1"/>
        <v>0</v>
      </c>
      <c r="AA16" s="138">
        <f t="shared" si="14"/>
        <v>0</v>
      </c>
      <c r="AB16" s="186"/>
      <c r="AC16" s="137">
        <f t="shared" si="2"/>
        <v>7988</v>
      </c>
      <c r="AD16" s="138">
        <f t="shared" si="15"/>
        <v>1.4E-3</v>
      </c>
      <c r="AE16" s="137">
        <f t="shared" si="25"/>
        <v>18</v>
      </c>
      <c r="AF16" s="138">
        <f t="shared" si="16"/>
        <v>3.3999999999999998E-3</v>
      </c>
      <c r="AG16" s="186"/>
      <c r="AH16" s="137">
        <f t="shared" si="17"/>
        <v>8006</v>
      </c>
      <c r="AI16" s="138">
        <f t="shared" si="18"/>
        <v>6.9999999999999999E-4</v>
      </c>
      <c r="AJ16" s="137">
        <f t="shared" si="4"/>
        <v>7979</v>
      </c>
      <c r="AK16" s="138">
        <f t="shared" si="19"/>
        <v>6.9999999999999999E-4</v>
      </c>
      <c r="AL16" s="137">
        <f t="shared" si="5"/>
        <v>1918</v>
      </c>
      <c r="AM16" s="138">
        <f t="shared" si="24"/>
        <v>6.9999999999999999E-4</v>
      </c>
      <c r="AN16" s="139"/>
      <c r="AO16" s="137">
        <f t="shared" si="20"/>
        <v>8006</v>
      </c>
      <c r="AP16" s="138">
        <f t="shared" si="21"/>
        <v>5.9999999999999995E-4</v>
      </c>
      <c r="AQ16" s="140"/>
      <c r="AR16" s="137">
        <f t="shared" si="6"/>
        <v>8006</v>
      </c>
      <c r="AS16" s="138">
        <f t="shared" si="22"/>
        <v>4.0000000000000002E-4</v>
      </c>
      <c r="AT16" s="137">
        <f t="shared" si="7"/>
        <v>7988</v>
      </c>
      <c r="AU16" s="138">
        <f t="shared" si="23"/>
        <v>4.0000000000000002E-4</v>
      </c>
      <c r="AW16" s="192">
        <v>8006</v>
      </c>
      <c r="AX16" s="192">
        <f t="shared" si="8"/>
        <v>0</v>
      </c>
    </row>
    <row r="17" spans="1:50" ht="17.25" x14ac:dyDescent="0.3">
      <c r="A17" s="190" t="s">
        <v>203</v>
      </c>
      <c r="B17" s="136" t="s">
        <v>64</v>
      </c>
      <c r="C17" s="191">
        <v>27125</v>
      </c>
      <c r="D17" s="191">
        <v>1161</v>
      </c>
      <c r="E17" s="191">
        <v>121704</v>
      </c>
      <c r="F17" s="191">
        <v>36479</v>
      </c>
      <c r="G17" s="191">
        <v>751</v>
      </c>
      <c r="H17" s="191">
        <v>424123</v>
      </c>
      <c r="I17" s="191">
        <v>17672</v>
      </c>
      <c r="J17" s="191">
        <v>0</v>
      </c>
      <c r="K17" s="191">
        <v>45</v>
      </c>
      <c r="L17" s="191">
        <v>491</v>
      </c>
      <c r="M17" s="191">
        <v>0</v>
      </c>
      <c r="N17" s="191">
        <v>1051</v>
      </c>
      <c r="O17" s="191">
        <f t="shared" si="9"/>
        <v>630602</v>
      </c>
      <c r="P17" s="186"/>
      <c r="Q17" s="137">
        <v>0</v>
      </c>
      <c r="R17" s="142">
        <f>ROUND(Q17/Q$61,4)</f>
        <v>0</v>
      </c>
      <c r="S17" s="137">
        <v>0</v>
      </c>
      <c r="T17" s="138">
        <f t="shared" si="11"/>
        <v>0</v>
      </c>
      <c r="U17" s="186"/>
      <c r="V17" s="137">
        <f t="shared" si="12"/>
        <v>0</v>
      </c>
      <c r="W17" s="138">
        <v>0</v>
      </c>
      <c r="X17" s="137">
        <f t="shared" si="0"/>
        <v>0</v>
      </c>
      <c r="Y17" s="138">
        <f t="shared" si="13"/>
        <v>0</v>
      </c>
      <c r="Z17" s="137">
        <f t="shared" si="1"/>
        <v>0</v>
      </c>
      <c r="AA17" s="138">
        <f t="shared" si="14"/>
        <v>0</v>
      </c>
      <c r="AB17" s="186"/>
      <c r="AC17" s="137">
        <f t="shared" si="2"/>
        <v>629551</v>
      </c>
      <c r="AD17" s="142">
        <f>ROUND(AC17/AC$61,4)</f>
        <v>0.1142</v>
      </c>
      <c r="AE17" s="137">
        <f t="shared" si="25"/>
        <v>1051</v>
      </c>
      <c r="AF17" s="141">
        <f>ROUNDDOWN(AE17/AE$61,4)</f>
        <v>0.19800000000000001</v>
      </c>
      <c r="AG17" s="186"/>
      <c r="AH17" s="137">
        <f t="shared" si="17"/>
        <v>630602</v>
      </c>
      <c r="AI17" s="138">
        <f t="shared" si="18"/>
        <v>5.6599999999999998E-2</v>
      </c>
      <c r="AJ17" s="137">
        <f t="shared" si="4"/>
        <v>628199</v>
      </c>
      <c r="AK17" s="141">
        <f>ROUNDUP(AJ17/AJ$61,4)</f>
        <v>5.67E-2</v>
      </c>
      <c r="AL17" s="137">
        <f t="shared" si="5"/>
        <v>158183</v>
      </c>
      <c r="AM17" s="138">
        <f t="shared" si="24"/>
        <v>6.0699999999999997E-2</v>
      </c>
      <c r="AN17" s="139"/>
      <c r="AO17" s="137">
        <f t="shared" si="20"/>
        <v>630602</v>
      </c>
      <c r="AP17" s="138">
        <f t="shared" si="21"/>
        <v>4.8099999999999997E-2</v>
      </c>
      <c r="AQ17" s="140"/>
      <c r="AR17" s="137">
        <f t="shared" si="6"/>
        <v>630602</v>
      </c>
      <c r="AS17" s="141">
        <f>ROUNDUP(AR17/AR$61,4)</f>
        <v>3.3700000000000001E-2</v>
      </c>
      <c r="AT17" s="137">
        <f t="shared" si="7"/>
        <v>629551</v>
      </c>
      <c r="AU17" s="138">
        <f t="shared" si="23"/>
        <v>3.3799999999999997E-2</v>
      </c>
      <c r="AW17" s="192">
        <v>630602</v>
      </c>
      <c r="AX17" s="192">
        <f t="shared" si="8"/>
        <v>0</v>
      </c>
    </row>
    <row r="18" spans="1:50" ht="17.25" x14ac:dyDescent="0.3">
      <c r="A18" s="190" t="s">
        <v>203</v>
      </c>
      <c r="B18" s="136" t="s">
        <v>65</v>
      </c>
      <c r="C18" s="191">
        <v>4341</v>
      </c>
      <c r="D18" s="191">
        <v>241</v>
      </c>
      <c r="E18" s="191">
        <v>18522</v>
      </c>
      <c r="F18" s="191">
        <v>5314</v>
      </c>
      <c r="G18" s="191">
        <v>141</v>
      </c>
      <c r="H18" s="191">
        <v>59826</v>
      </c>
      <c r="I18" s="191">
        <v>2493</v>
      </c>
      <c r="J18" s="191">
        <v>0</v>
      </c>
      <c r="K18" s="191">
        <v>11</v>
      </c>
      <c r="L18" s="191">
        <v>179</v>
      </c>
      <c r="M18" s="191">
        <v>11</v>
      </c>
      <c r="N18" s="191">
        <v>29</v>
      </c>
      <c r="O18" s="191">
        <f t="shared" si="9"/>
        <v>91108</v>
      </c>
      <c r="P18" s="186"/>
      <c r="Q18" s="137">
        <v>0</v>
      </c>
      <c r="R18" s="138">
        <f t="shared" si="10"/>
        <v>0</v>
      </c>
      <c r="S18" s="137">
        <v>0</v>
      </c>
      <c r="T18" s="138">
        <f t="shared" si="11"/>
        <v>0</v>
      </c>
      <c r="U18" s="186"/>
      <c r="V18" s="137">
        <f t="shared" si="12"/>
        <v>0</v>
      </c>
      <c r="W18" s="138">
        <v>0</v>
      </c>
      <c r="X18" s="137">
        <f t="shared" si="0"/>
        <v>0</v>
      </c>
      <c r="Y18" s="138">
        <f t="shared" si="13"/>
        <v>0</v>
      </c>
      <c r="Z18" s="137">
        <f t="shared" si="1"/>
        <v>0</v>
      </c>
      <c r="AA18" s="138">
        <f t="shared" si="14"/>
        <v>0</v>
      </c>
      <c r="AB18" s="186"/>
      <c r="AC18" s="137">
        <f t="shared" si="2"/>
        <v>91079</v>
      </c>
      <c r="AD18" s="138">
        <f t="shared" si="15"/>
        <v>1.6500000000000001E-2</v>
      </c>
      <c r="AE18" s="137">
        <f t="shared" si="25"/>
        <v>29</v>
      </c>
      <c r="AF18" s="138">
        <f t="shared" si="16"/>
        <v>5.4999999999999997E-3</v>
      </c>
      <c r="AG18" s="186"/>
      <c r="AH18" s="137">
        <f t="shared" si="17"/>
        <v>91108</v>
      </c>
      <c r="AI18" s="138">
        <f t="shared" si="18"/>
        <v>8.2000000000000007E-3</v>
      </c>
      <c r="AJ18" s="137">
        <f t="shared" si="4"/>
        <v>90536</v>
      </c>
      <c r="AK18" s="138">
        <f t="shared" si="19"/>
        <v>8.2000000000000007E-3</v>
      </c>
      <c r="AL18" s="137">
        <f t="shared" si="5"/>
        <v>23836</v>
      </c>
      <c r="AM18" s="138">
        <f t="shared" si="24"/>
        <v>9.1000000000000004E-3</v>
      </c>
      <c r="AN18" s="139"/>
      <c r="AO18" s="137">
        <f t="shared" si="20"/>
        <v>91108</v>
      </c>
      <c r="AP18" s="138">
        <f t="shared" si="21"/>
        <v>6.8999999999999999E-3</v>
      </c>
      <c r="AQ18" s="140"/>
      <c r="AR18" s="137">
        <f t="shared" si="6"/>
        <v>91108</v>
      </c>
      <c r="AS18" s="138">
        <f t="shared" si="22"/>
        <v>4.8999999999999998E-3</v>
      </c>
      <c r="AT18" s="137">
        <f t="shared" si="7"/>
        <v>91079</v>
      </c>
      <c r="AU18" s="138">
        <f t="shared" si="23"/>
        <v>4.8999999999999998E-3</v>
      </c>
      <c r="AW18" s="192">
        <v>91108</v>
      </c>
      <c r="AX18" s="192">
        <f t="shared" si="8"/>
        <v>0</v>
      </c>
    </row>
    <row r="19" spans="1:50" ht="17.25" x14ac:dyDescent="0.3">
      <c r="A19" s="190" t="s">
        <v>203</v>
      </c>
      <c r="B19" s="136" t="s">
        <v>66</v>
      </c>
      <c r="C19" s="191">
        <v>1308</v>
      </c>
      <c r="D19" s="191">
        <v>101</v>
      </c>
      <c r="E19" s="191">
        <v>9730</v>
      </c>
      <c r="F19" s="191">
        <v>2765</v>
      </c>
      <c r="G19" s="191">
        <v>23</v>
      </c>
      <c r="H19" s="191">
        <v>32041</v>
      </c>
      <c r="I19" s="191">
        <v>1335</v>
      </c>
      <c r="J19" s="191">
        <v>0</v>
      </c>
      <c r="K19" s="191">
        <v>2</v>
      </c>
      <c r="L19" s="191">
        <v>8</v>
      </c>
      <c r="M19" s="191">
        <v>19</v>
      </c>
      <c r="N19" s="191">
        <v>4</v>
      </c>
      <c r="O19" s="191">
        <f t="shared" si="9"/>
        <v>47336</v>
      </c>
      <c r="P19" s="186"/>
      <c r="Q19" s="137">
        <v>0</v>
      </c>
      <c r="R19" s="138">
        <f t="shared" si="10"/>
        <v>0</v>
      </c>
      <c r="S19" s="137">
        <v>0</v>
      </c>
      <c r="T19" s="138">
        <f t="shared" si="11"/>
        <v>0</v>
      </c>
      <c r="U19" s="186"/>
      <c r="V19" s="137">
        <f t="shared" si="12"/>
        <v>0</v>
      </c>
      <c r="W19" s="138">
        <v>0</v>
      </c>
      <c r="X19" s="137">
        <f t="shared" si="0"/>
        <v>0</v>
      </c>
      <c r="Y19" s="138">
        <f t="shared" si="13"/>
        <v>0</v>
      </c>
      <c r="Z19" s="137">
        <f t="shared" si="1"/>
        <v>0</v>
      </c>
      <c r="AA19" s="138">
        <f t="shared" si="14"/>
        <v>0</v>
      </c>
      <c r="AB19" s="186"/>
      <c r="AC19" s="137">
        <f t="shared" si="2"/>
        <v>47332</v>
      </c>
      <c r="AD19" s="138">
        <f t="shared" si="15"/>
        <v>8.6E-3</v>
      </c>
      <c r="AE19" s="137">
        <f t="shared" si="25"/>
        <v>4</v>
      </c>
      <c r="AF19" s="138">
        <f t="shared" si="16"/>
        <v>8.0000000000000004E-4</v>
      </c>
      <c r="AG19" s="186"/>
      <c r="AH19" s="137">
        <f t="shared" si="17"/>
        <v>47336</v>
      </c>
      <c r="AI19" s="138">
        <f t="shared" si="18"/>
        <v>4.1999999999999997E-3</v>
      </c>
      <c r="AJ19" s="137">
        <f t="shared" si="4"/>
        <v>47185</v>
      </c>
      <c r="AK19" s="138">
        <f t="shared" si="19"/>
        <v>4.3E-3</v>
      </c>
      <c r="AL19" s="137">
        <f t="shared" si="5"/>
        <v>12495</v>
      </c>
      <c r="AM19" s="138">
        <f t="shared" si="24"/>
        <v>4.7999999999999996E-3</v>
      </c>
      <c r="AN19" s="139"/>
      <c r="AO19" s="137">
        <f t="shared" si="20"/>
        <v>47336</v>
      </c>
      <c r="AP19" s="138">
        <f t="shared" si="21"/>
        <v>3.5999999999999999E-3</v>
      </c>
      <c r="AQ19" s="140"/>
      <c r="AR19" s="137">
        <f t="shared" si="6"/>
        <v>47336</v>
      </c>
      <c r="AS19" s="138">
        <f t="shared" si="22"/>
        <v>2.5000000000000001E-3</v>
      </c>
      <c r="AT19" s="137">
        <f t="shared" si="7"/>
        <v>47332</v>
      </c>
      <c r="AU19" s="138">
        <f t="shared" si="23"/>
        <v>2.5000000000000001E-3</v>
      </c>
      <c r="AW19" s="192">
        <v>47336</v>
      </c>
      <c r="AX19" s="192">
        <f t="shared" si="8"/>
        <v>0</v>
      </c>
    </row>
    <row r="20" spans="1:50" ht="17.25" x14ac:dyDescent="0.3">
      <c r="A20" s="190" t="s">
        <v>203</v>
      </c>
      <c r="B20" s="136" t="s">
        <v>67</v>
      </c>
      <c r="C20" s="191">
        <v>588</v>
      </c>
      <c r="D20" s="191">
        <v>44</v>
      </c>
      <c r="E20" s="191">
        <v>2354</v>
      </c>
      <c r="F20" s="191">
        <v>828</v>
      </c>
      <c r="G20" s="191">
        <v>3</v>
      </c>
      <c r="H20" s="191">
        <v>7985</v>
      </c>
      <c r="I20" s="191">
        <v>333</v>
      </c>
      <c r="J20" s="191">
        <v>0</v>
      </c>
      <c r="K20" s="191">
        <v>0</v>
      </c>
      <c r="L20" s="191">
        <v>24</v>
      </c>
      <c r="M20" s="191">
        <v>0</v>
      </c>
      <c r="N20" s="191">
        <v>35</v>
      </c>
      <c r="O20" s="191">
        <f t="shared" si="9"/>
        <v>12194</v>
      </c>
      <c r="P20" s="186"/>
      <c r="Q20" s="137">
        <v>0</v>
      </c>
      <c r="R20" s="138">
        <f t="shared" si="10"/>
        <v>0</v>
      </c>
      <c r="S20" s="137">
        <v>0</v>
      </c>
      <c r="T20" s="138">
        <f t="shared" si="11"/>
        <v>0</v>
      </c>
      <c r="U20" s="186"/>
      <c r="V20" s="137">
        <f t="shared" si="12"/>
        <v>0</v>
      </c>
      <c r="W20" s="138">
        <v>0</v>
      </c>
      <c r="X20" s="137">
        <f t="shared" si="0"/>
        <v>0</v>
      </c>
      <c r="Y20" s="138">
        <f t="shared" si="13"/>
        <v>0</v>
      </c>
      <c r="Z20" s="137">
        <f t="shared" si="1"/>
        <v>0</v>
      </c>
      <c r="AA20" s="138">
        <f t="shared" si="14"/>
        <v>0</v>
      </c>
      <c r="AB20" s="186"/>
      <c r="AC20" s="137">
        <f t="shared" si="2"/>
        <v>12159</v>
      </c>
      <c r="AD20" s="138">
        <f t="shared" si="15"/>
        <v>2.2000000000000001E-3</v>
      </c>
      <c r="AE20" s="137">
        <f t="shared" si="25"/>
        <v>35</v>
      </c>
      <c r="AF20" s="138">
        <f t="shared" si="16"/>
        <v>6.6E-3</v>
      </c>
      <c r="AG20" s="186"/>
      <c r="AH20" s="137">
        <f t="shared" si="17"/>
        <v>12194</v>
      </c>
      <c r="AI20" s="138">
        <f t="shared" si="18"/>
        <v>1.1000000000000001E-3</v>
      </c>
      <c r="AJ20" s="137">
        <f t="shared" si="4"/>
        <v>12123</v>
      </c>
      <c r="AK20" s="138">
        <f t="shared" si="19"/>
        <v>1.1000000000000001E-3</v>
      </c>
      <c r="AL20" s="137">
        <f t="shared" si="5"/>
        <v>3182</v>
      </c>
      <c r="AM20" s="138">
        <f t="shared" si="24"/>
        <v>1.1999999999999999E-3</v>
      </c>
      <c r="AN20" s="139"/>
      <c r="AO20" s="137">
        <f t="shared" si="20"/>
        <v>12194</v>
      </c>
      <c r="AP20" s="138">
        <f t="shared" si="21"/>
        <v>8.9999999999999998E-4</v>
      </c>
      <c r="AQ20" s="140"/>
      <c r="AR20" s="137">
        <f t="shared" si="6"/>
        <v>12194</v>
      </c>
      <c r="AS20" s="138">
        <f t="shared" si="22"/>
        <v>6.9999999999999999E-4</v>
      </c>
      <c r="AT20" s="137">
        <f t="shared" si="7"/>
        <v>12159</v>
      </c>
      <c r="AU20" s="138">
        <f t="shared" si="23"/>
        <v>6.9999999999999999E-4</v>
      </c>
      <c r="AW20" s="192">
        <v>12194</v>
      </c>
      <c r="AX20" s="192">
        <f t="shared" si="8"/>
        <v>0</v>
      </c>
    </row>
    <row r="21" spans="1:50" ht="17.25" x14ac:dyDescent="0.3">
      <c r="A21" s="190" t="s">
        <v>203</v>
      </c>
      <c r="B21" s="136" t="s">
        <v>68</v>
      </c>
      <c r="C21" s="191">
        <v>172952</v>
      </c>
      <c r="D21" s="191">
        <v>11496</v>
      </c>
      <c r="E21" s="191">
        <v>944937</v>
      </c>
      <c r="F21" s="191">
        <v>381064</v>
      </c>
      <c r="G21" s="191">
        <v>12526</v>
      </c>
      <c r="H21" s="191">
        <v>3821128</v>
      </c>
      <c r="I21" s="191">
        <v>159214</v>
      </c>
      <c r="J21" s="191">
        <v>148</v>
      </c>
      <c r="K21" s="191">
        <v>7257</v>
      </c>
      <c r="L21" s="191">
        <v>12192</v>
      </c>
      <c r="M21" s="191">
        <v>0</v>
      </c>
      <c r="N21" s="191">
        <v>98529</v>
      </c>
      <c r="O21" s="191">
        <f t="shared" si="9"/>
        <v>5621443</v>
      </c>
      <c r="P21" s="186"/>
      <c r="Q21" s="137">
        <f>SUM(C21:M21)</f>
        <v>5522914</v>
      </c>
      <c r="R21" s="138">
        <f t="shared" si="10"/>
        <v>1</v>
      </c>
      <c r="S21" s="137">
        <f>N21</f>
        <v>98529</v>
      </c>
      <c r="T21" s="138">
        <f t="shared" si="11"/>
        <v>1</v>
      </c>
      <c r="U21" s="186"/>
      <c r="V21" s="137">
        <f t="shared" si="12"/>
        <v>0</v>
      </c>
      <c r="W21" s="138">
        <v>0</v>
      </c>
      <c r="X21" s="137">
        <f t="shared" si="0"/>
        <v>0</v>
      </c>
      <c r="Y21" s="138">
        <f t="shared" si="13"/>
        <v>0</v>
      </c>
      <c r="Z21" s="137">
        <f t="shared" si="1"/>
        <v>0</v>
      </c>
      <c r="AA21" s="138">
        <f t="shared" si="14"/>
        <v>0</v>
      </c>
      <c r="AB21" s="186"/>
      <c r="AC21" s="137">
        <v>0</v>
      </c>
      <c r="AD21" s="138">
        <f t="shared" si="15"/>
        <v>0</v>
      </c>
      <c r="AE21" s="137">
        <v>0</v>
      </c>
      <c r="AF21" s="138">
        <f t="shared" si="16"/>
        <v>0</v>
      </c>
      <c r="AG21" s="186"/>
      <c r="AH21" s="137">
        <f t="shared" si="17"/>
        <v>5621443</v>
      </c>
      <c r="AI21" s="138">
        <f t="shared" si="18"/>
        <v>0.50460000000000005</v>
      </c>
      <c r="AJ21" s="137">
        <f t="shared" si="4"/>
        <v>5585229</v>
      </c>
      <c r="AK21" s="138">
        <f t="shared" si="19"/>
        <v>0.50409999999999999</v>
      </c>
      <c r="AL21" s="137">
        <f t="shared" si="5"/>
        <v>1326001</v>
      </c>
      <c r="AM21" s="138">
        <f t="shared" si="24"/>
        <v>0.50860000000000005</v>
      </c>
      <c r="AN21" s="139"/>
      <c r="AO21" s="137">
        <v>0</v>
      </c>
      <c r="AP21" s="138">
        <f t="shared" si="21"/>
        <v>0</v>
      </c>
      <c r="AQ21" s="140"/>
      <c r="AR21" s="137">
        <f t="shared" si="6"/>
        <v>5621443</v>
      </c>
      <c r="AS21" s="138">
        <f t="shared" si="22"/>
        <v>0.2999</v>
      </c>
      <c r="AT21" s="137">
        <f t="shared" si="7"/>
        <v>5522914</v>
      </c>
      <c r="AU21" s="138">
        <f t="shared" si="23"/>
        <v>0.29670000000000002</v>
      </c>
      <c r="AW21" s="192">
        <v>5621443</v>
      </c>
      <c r="AX21" s="192">
        <f t="shared" si="8"/>
        <v>0</v>
      </c>
    </row>
    <row r="22" spans="1:50" ht="17.25" x14ac:dyDescent="0.3">
      <c r="A22" s="190" t="s">
        <v>203</v>
      </c>
      <c r="B22" s="136" t="s">
        <v>69</v>
      </c>
      <c r="C22" s="191">
        <v>4698</v>
      </c>
      <c r="D22" s="191">
        <v>222</v>
      </c>
      <c r="E22" s="191">
        <v>22100</v>
      </c>
      <c r="F22" s="191">
        <v>5670</v>
      </c>
      <c r="G22" s="191">
        <v>136</v>
      </c>
      <c r="H22" s="191">
        <v>73088</v>
      </c>
      <c r="I22" s="191">
        <v>3045</v>
      </c>
      <c r="J22" s="191">
        <v>2</v>
      </c>
      <c r="K22" s="191">
        <v>2</v>
      </c>
      <c r="L22" s="191">
        <v>71</v>
      </c>
      <c r="M22" s="191">
        <v>10</v>
      </c>
      <c r="N22" s="191">
        <v>42</v>
      </c>
      <c r="O22" s="191">
        <f t="shared" si="9"/>
        <v>109086</v>
      </c>
      <c r="P22" s="186"/>
      <c r="Q22" s="137">
        <v>0</v>
      </c>
      <c r="R22" s="138">
        <f t="shared" si="10"/>
        <v>0</v>
      </c>
      <c r="S22" s="137">
        <v>0</v>
      </c>
      <c r="T22" s="138">
        <f t="shared" si="11"/>
        <v>0</v>
      </c>
      <c r="U22" s="186"/>
      <c r="V22" s="137">
        <f t="shared" si="12"/>
        <v>0</v>
      </c>
      <c r="W22" s="138">
        <v>0</v>
      </c>
      <c r="X22" s="137">
        <f t="shared" si="0"/>
        <v>0</v>
      </c>
      <c r="Y22" s="138">
        <f t="shared" si="13"/>
        <v>0</v>
      </c>
      <c r="Z22" s="137">
        <f t="shared" si="1"/>
        <v>0</v>
      </c>
      <c r="AA22" s="138">
        <f t="shared" si="14"/>
        <v>0</v>
      </c>
      <c r="AB22" s="186"/>
      <c r="AC22" s="137">
        <f t="shared" ref="AC22:AC60" si="26">SUMIF($A22,"CA",C22)+SUMIF($A22,"CA",D22)+SUMIF($A22,"CA",E22)+SUMIF($A22,"CA",F22)+SUMIF($A22,"CA",G22)+SUMIF($A22,"CA",H22)+SUMIF($A22,"CA",I22)+SUMIF($A22,"CA",J22)+SUMIF($A22,"CA",K22)+SUMIF($A22,"CA",L22)+SUMIF($A22,"CA",M22)</f>
        <v>109044</v>
      </c>
      <c r="AD22" s="138">
        <f t="shared" si="15"/>
        <v>1.9800000000000002E-2</v>
      </c>
      <c r="AE22" s="137">
        <f t="shared" ref="AE22:AE37" si="27">SUMIF($A22,"CA",N22)</f>
        <v>42</v>
      </c>
      <c r="AF22" s="138">
        <f t="shared" si="16"/>
        <v>7.9000000000000008E-3</v>
      </c>
      <c r="AG22" s="186"/>
      <c r="AH22" s="137">
        <f t="shared" si="17"/>
        <v>109086</v>
      </c>
      <c r="AI22" s="138">
        <f t="shared" si="18"/>
        <v>9.7999999999999997E-3</v>
      </c>
      <c r="AJ22" s="137">
        <f t="shared" si="4"/>
        <v>108647</v>
      </c>
      <c r="AK22" s="138">
        <f t="shared" si="19"/>
        <v>9.7999999999999997E-3</v>
      </c>
      <c r="AL22" s="137">
        <f t="shared" si="5"/>
        <v>27770</v>
      </c>
      <c r="AM22" s="141">
        <f>ROUNDUP(AL22/AL$61,4)</f>
        <v>1.0699999999999999E-2</v>
      </c>
      <c r="AN22" s="144"/>
      <c r="AO22" s="137">
        <f t="shared" si="20"/>
        <v>109086</v>
      </c>
      <c r="AP22" s="138">
        <f t="shared" si="21"/>
        <v>8.3000000000000001E-3</v>
      </c>
      <c r="AQ22" s="140"/>
      <c r="AR22" s="137">
        <f t="shared" si="6"/>
        <v>109086</v>
      </c>
      <c r="AS22" s="138">
        <f t="shared" si="22"/>
        <v>5.7999999999999996E-3</v>
      </c>
      <c r="AT22" s="137">
        <f t="shared" si="7"/>
        <v>109044</v>
      </c>
      <c r="AU22" s="138">
        <f t="shared" si="23"/>
        <v>5.8999999999999999E-3</v>
      </c>
      <c r="AW22" s="192">
        <v>109086</v>
      </c>
      <c r="AX22" s="192">
        <f t="shared" si="8"/>
        <v>0</v>
      </c>
    </row>
    <row r="23" spans="1:50" ht="17.25" x14ac:dyDescent="0.3">
      <c r="A23" s="190" t="s">
        <v>203</v>
      </c>
      <c r="B23" s="136" t="s">
        <v>70</v>
      </c>
      <c r="C23" s="191">
        <v>1174</v>
      </c>
      <c r="D23" s="191">
        <v>53</v>
      </c>
      <c r="E23" s="191">
        <v>10214</v>
      </c>
      <c r="F23" s="191">
        <v>2405</v>
      </c>
      <c r="G23" s="191">
        <v>293</v>
      </c>
      <c r="H23" s="191">
        <v>47399</v>
      </c>
      <c r="I23" s="191">
        <v>1975</v>
      </c>
      <c r="J23" s="191">
        <v>0</v>
      </c>
      <c r="K23" s="191">
        <v>43</v>
      </c>
      <c r="L23" s="191">
        <v>12</v>
      </c>
      <c r="M23" s="191">
        <v>77</v>
      </c>
      <c r="N23" s="191">
        <v>805</v>
      </c>
      <c r="O23" s="191">
        <f t="shared" si="9"/>
        <v>64450</v>
      </c>
      <c r="P23" s="186"/>
      <c r="Q23" s="137">
        <v>0</v>
      </c>
      <c r="R23" s="138">
        <f t="shared" si="10"/>
        <v>0</v>
      </c>
      <c r="S23" s="137">
        <v>0</v>
      </c>
      <c r="T23" s="138">
        <f t="shared" si="11"/>
        <v>0</v>
      </c>
      <c r="U23" s="186"/>
      <c r="V23" s="137">
        <f t="shared" si="12"/>
        <v>0</v>
      </c>
      <c r="W23" s="138">
        <v>0</v>
      </c>
      <c r="X23" s="137">
        <f t="shared" si="0"/>
        <v>0</v>
      </c>
      <c r="Y23" s="138">
        <f t="shared" si="13"/>
        <v>0</v>
      </c>
      <c r="Z23" s="137">
        <f t="shared" si="1"/>
        <v>0</v>
      </c>
      <c r="AA23" s="138">
        <f t="shared" si="14"/>
        <v>0</v>
      </c>
      <c r="AB23" s="186"/>
      <c r="AC23" s="137">
        <f t="shared" si="26"/>
        <v>63645</v>
      </c>
      <c r="AD23" s="138">
        <f t="shared" si="15"/>
        <v>1.15E-2</v>
      </c>
      <c r="AE23" s="137">
        <f t="shared" si="27"/>
        <v>805</v>
      </c>
      <c r="AF23" s="138">
        <f t="shared" si="16"/>
        <v>0.1517</v>
      </c>
      <c r="AG23" s="186"/>
      <c r="AH23" s="137">
        <f t="shared" si="17"/>
        <v>64450</v>
      </c>
      <c r="AI23" s="138">
        <f t="shared" si="18"/>
        <v>5.7999999999999996E-3</v>
      </c>
      <c r="AJ23" s="137">
        <f t="shared" si="4"/>
        <v>64015</v>
      </c>
      <c r="AK23" s="138">
        <f t="shared" si="19"/>
        <v>5.7999999999999996E-3</v>
      </c>
      <c r="AL23" s="137">
        <f t="shared" si="5"/>
        <v>12619</v>
      </c>
      <c r="AM23" s="138">
        <f t="shared" si="24"/>
        <v>4.7999999999999996E-3</v>
      </c>
      <c r="AN23" s="139"/>
      <c r="AO23" s="137">
        <f t="shared" si="20"/>
        <v>64450</v>
      </c>
      <c r="AP23" s="138">
        <f t="shared" si="21"/>
        <v>4.8999999999999998E-3</v>
      </c>
      <c r="AQ23" s="140"/>
      <c r="AR23" s="137">
        <f t="shared" si="6"/>
        <v>64450</v>
      </c>
      <c r="AS23" s="138">
        <f t="shared" si="22"/>
        <v>3.3999999999999998E-3</v>
      </c>
      <c r="AT23" s="137">
        <f t="shared" si="7"/>
        <v>63645</v>
      </c>
      <c r="AU23" s="138">
        <f t="shared" si="23"/>
        <v>3.3999999999999998E-3</v>
      </c>
      <c r="AW23" s="192">
        <v>64450</v>
      </c>
      <c r="AX23" s="192">
        <f t="shared" si="8"/>
        <v>0</v>
      </c>
    </row>
    <row r="24" spans="1:50" ht="17.25" x14ac:dyDescent="0.3">
      <c r="A24" s="190" t="s">
        <v>203</v>
      </c>
      <c r="B24" s="136" t="s">
        <v>71</v>
      </c>
      <c r="C24" s="191">
        <v>233</v>
      </c>
      <c r="D24" s="191">
        <v>22</v>
      </c>
      <c r="E24" s="191">
        <v>1993</v>
      </c>
      <c r="F24" s="191">
        <v>411</v>
      </c>
      <c r="G24" s="191">
        <v>3</v>
      </c>
      <c r="H24" s="191">
        <v>5276</v>
      </c>
      <c r="I24" s="191">
        <v>220</v>
      </c>
      <c r="J24" s="191">
        <v>0</v>
      </c>
      <c r="K24" s="191">
        <v>0</v>
      </c>
      <c r="L24" s="191">
        <v>13</v>
      </c>
      <c r="M24" s="191">
        <v>2</v>
      </c>
      <c r="N24" s="191">
        <v>28</v>
      </c>
      <c r="O24" s="191">
        <f t="shared" si="9"/>
        <v>8201</v>
      </c>
      <c r="P24" s="186"/>
      <c r="Q24" s="137">
        <v>0</v>
      </c>
      <c r="R24" s="142">
        <f>ROUND(Q24/Q$61,4)</f>
        <v>0</v>
      </c>
      <c r="S24" s="137">
        <v>0</v>
      </c>
      <c r="T24" s="138">
        <f t="shared" si="11"/>
        <v>0</v>
      </c>
      <c r="U24" s="186"/>
      <c r="V24" s="137">
        <f t="shared" si="12"/>
        <v>0</v>
      </c>
      <c r="W24" s="138">
        <v>0</v>
      </c>
      <c r="X24" s="137">
        <f t="shared" si="0"/>
        <v>0</v>
      </c>
      <c r="Y24" s="138">
        <f t="shared" si="13"/>
        <v>0</v>
      </c>
      <c r="Z24" s="137">
        <f t="shared" si="1"/>
        <v>0</v>
      </c>
      <c r="AA24" s="138">
        <f t="shared" si="14"/>
        <v>0</v>
      </c>
      <c r="AB24" s="186"/>
      <c r="AC24" s="137">
        <f t="shared" si="26"/>
        <v>8173</v>
      </c>
      <c r="AD24" s="142">
        <f>ROUND(AC24/AC$61,4)</f>
        <v>1.5E-3</v>
      </c>
      <c r="AE24" s="137">
        <f t="shared" si="27"/>
        <v>28</v>
      </c>
      <c r="AF24" s="138">
        <f t="shared" si="16"/>
        <v>5.3E-3</v>
      </c>
      <c r="AG24" s="186"/>
      <c r="AH24" s="137">
        <f t="shared" si="17"/>
        <v>8201</v>
      </c>
      <c r="AI24" s="138">
        <f t="shared" si="18"/>
        <v>6.9999999999999999E-4</v>
      </c>
      <c r="AJ24" s="137">
        <f t="shared" si="4"/>
        <v>8161</v>
      </c>
      <c r="AK24" s="138">
        <f t="shared" si="19"/>
        <v>6.9999999999999999E-4</v>
      </c>
      <c r="AL24" s="137">
        <f t="shared" si="5"/>
        <v>2404</v>
      </c>
      <c r="AM24" s="138">
        <f t="shared" si="24"/>
        <v>8.9999999999999998E-4</v>
      </c>
      <c r="AN24" s="139"/>
      <c r="AO24" s="137">
        <f t="shared" si="20"/>
        <v>8201</v>
      </c>
      <c r="AP24" s="138">
        <f t="shared" si="21"/>
        <v>5.9999999999999995E-4</v>
      </c>
      <c r="AQ24" s="140"/>
      <c r="AR24" s="137">
        <f t="shared" si="6"/>
        <v>8201</v>
      </c>
      <c r="AS24" s="138">
        <f t="shared" si="22"/>
        <v>4.0000000000000002E-4</v>
      </c>
      <c r="AT24" s="137">
        <f t="shared" si="7"/>
        <v>8173</v>
      </c>
      <c r="AU24" s="138">
        <f t="shared" si="23"/>
        <v>4.0000000000000002E-4</v>
      </c>
      <c r="AW24" s="192">
        <v>8201</v>
      </c>
      <c r="AX24" s="192">
        <f t="shared" si="8"/>
        <v>0</v>
      </c>
    </row>
    <row r="25" spans="1:50" ht="17.25" x14ac:dyDescent="0.3">
      <c r="A25" s="190" t="s">
        <v>203</v>
      </c>
      <c r="B25" s="136" t="s">
        <v>72</v>
      </c>
      <c r="C25" s="191">
        <v>996</v>
      </c>
      <c r="D25" s="191">
        <v>185</v>
      </c>
      <c r="E25" s="191">
        <v>10133</v>
      </c>
      <c r="F25" s="191">
        <v>1915</v>
      </c>
      <c r="G25" s="191">
        <v>42</v>
      </c>
      <c r="H25" s="191">
        <v>38821</v>
      </c>
      <c r="I25" s="191">
        <v>1618</v>
      </c>
      <c r="J25" s="191">
        <v>0</v>
      </c>
      <c r="K25" s="191">
        <v>4</v>
      </c>
      <c r="L25" s="191">
        <v>54</v>
      </c>
      <c r="M25" s="191">
        <v>12</v>
      </c>
      <c r="N25" s="191">
        <v>27</v>
      </c>
      <c r="O25" s="191">
        <f t="shared" si="9"/>
        <v>53807</v>
      </c>
      <c r="P25" s="186"/>
      <c r="Q25" s="137">
        <v>0</v>
      </c>
      <c r="R25" s="138">
        <f t="shared" si="10"/>
        <v>0</v>
      </c>
      <c r="S25" s="137">
        <v>0</v>
      </c>
      <c r="T25" s="138">
        <f t="shared" si="11"/>
        <v>0</v>
      </c>
      <c r="U25" s="186"/>
      <c r="V25" s="137">
        <f t="shared" si="12"/>
        <v>0</v>
      </c>
      <c r="W25" s="138">
        <v>0</v>
      </c>
      <c r="X25" s="137">
        <f t="shared" si="0"/>
        <v>0</v>
      </c>
      <c r="Y25" s="138">
        <f t="shared" si="13"/>
        <v>0</v>
      </c>
      <c r="Z25" s="137">
        <f t="shared" si="1"/>
        <v>0</v>
      </c>
      <c r="AA25" s="138">
        <f t="shared" si="14"/>
        <v>0</v>
      </c>
      <c r="AB25" s="186"/>
      <c r="AC25" s="137">
        <f t="shared" si="26"/>
        <v>53780</v>
      </c>
      <c r="AD25" s="138">
        <f t="shared" si="15"/>
        <v>9.7999999999999997E-3</v>
      </c>
      <c r="AE25" s="137">
        <f t="shared" si="27"/>
        <v>27</v>
      </c>
      <c r="AF25" s="138">
        <f t="shared" si="16"/>
        <v>5.1000000000000004E-3</v>
      </c>
      <c r="AG25" s="186"/>
      <c r="AH25" s="137">
        <f t="shared" si="17"/>
        <v>53807</v>
      </c>
      <c r="AI25" s="138">
        <f t="shared" si="18"/>
        <v>4.7999999999999996E-3</v>
      </c>
      <c r="AJ25" s="137">
        <f t="shared" si="4"/>
        <v>53514</v>
      </c>
      <c r="AK25" s="138">
        <f t="shared" si="19"/>
        <v>4.7999999999999996E-3</v>
      </c>
      <c r="AL25" s="137">
        <f t="shared" si="5"/>
        <v>12048</v>
      </c>
      <c r="AM25" s="138">
        <f>ROUND(AL25/AL$61,4)</f>
        <v>4.5999999999999999E-3</v>
      </c>
      <c r="AN25" s="144"/>
      <c r="AO25" s="137">
        <f t="shared" si="20"/>
        <v>53807</v>
      </c>
      <c r="AP25" s="138">
        <f t="shared" si="21"/>
        <v>4.1000000000000003E-3</v>
      </c>
      <c r="AQ25" s="140"/>
      <c r="AR25" s="137">
        <f t="shared" si="6"/>
        <v>53807</v>
      </c>
      <c r="AS25" s="138">
        <f t="shared" si="22"/>
        <v>2.8999999999999998E-3</v>
      </c>
      <c r="AT25" s="137">
        <f t="shared" si="7"/>
        <v>53780</v>
      </c>
      <c r="AU25" s="138">
        <f t="shared" si="23"/>
        <v>2.8999999999999998E-3</v>
      </c>
      <c r="AW25" s="192">
        <v>53807</v>
      </c>
      <c r="AX25" s="192">
        <f t="shared" si="8"/>
        <v>0</v>
      </c>
    </row>
    <row r="26" spans="1:50" ht="17.25" x14ac:dyDescent="0.3">
      <c r="A26" s="190" t="s">
        <v>203</v>
      </c>
      <c r="B26" s="136" t="s">
        <v>73</v>
      </c>
      <c r="C26" s="191">
        <v>8861</v>
      </c>
      <c r="D26" s="191">
        <v>393</v>
      </c>
      <c r="E26" s="191">
        <v>40519</v>
      </c>
      <c r="F26" s="191">
        <v>11316</v>
      </c>
      <c r="G26" s="191">
        <v>106</v>
      </c>
      <c r="H26" s="191">
        <v>135215</v>
      </c>
      <c r="I26" s="191">
        <v>5634</v>
      </c>
      <c r="J26" s="191">
        <v>1</v>
      </c>
      <c r="K26" s="191">
        <v>45</v>
      </c>
      <c r="L26" s="191">
        <v>205</v>
      </c>
      <c r="M26" s="191">
        <v>0</v>
      </c>
      <c r="N26" s="191">
        <v>85</v>
      </c>
      <c r="O26" s="191">
        <f t="shared" si="9"/>
        <v>202380</v>
      </c>
      <c r="P26" s="186"/>
      <c r="Q26" s="137">
        <v>0</v>
      </c>
      <c r="R26" s="138">
        <f>ROUND(Q26/Q$61,4)</f>
        <v>0</v>
      </c>
      <c r="S26" s="137">
        <v>0</v>
      </c>
      <c r="T26" s="138">
        <f t="shared" si="11"/>
        <v>0</v>
      </c>
      <c r="U26" s="186"/>
      <c r="V26" s="137">
        <f t="shared" si="12"/>
        <v>0</v>
      </c>
      <c r="W26" s="138">
        <v>0</v>
      </c>
      <c r="X26" s="137">
        <f t="shared" si="0"/>
        <v>0</v>
      </c>
      <c r="Y26" s="138">
        <f t="shared" si="13"/>
        <v>0</v>
      </c>
      <c r="Z26" s="137">
        <f t="shared" si="1"/>
        <v>0</v>
      </c>
      <c r="AA26" s="138">
        <f t="shared" si="14"/>
        <v>0</v>
      </c>
      <c r="AB26" s="186"/>
      <c r="AC26" s="137">
        <f t="shared" si="26"/>
        <v>202295</v>
      </c>
      <c r="AD26" s="138">
        <f>ROUND(AC26/AC$61,4)</f>
        <v>3.6700000000000003E-2</v>
      </c>
      <c r="AE26" s="137">
        <f t="shared" si="27"/>
        <v>85</v>
      </c>
      <c r="AF26" s="138">
        <f t="shared" si="16"/>
        <v>1.6E-2</v>
      </c>
      <c r="AG26" s="186"/>
      <c r="AH26" s="137">
        <f t="shared" si="17"/>
        <v>202380</v>
      </c>
      <c r="AI26" s="138">
        <f t="shared" si="18"/>
        <v>1.8200000000000001E-2</v>
      </c>
      <c r="AJ26" s="137">
        <f t="shared" si="4"/>
        <v>201676</v>
      </c>
      <c r="AK26" s="141">
        <f>ROUNDUP(AJ26/AJ$61,4)</f>
        <v>1.83E-2</v>
      </c>
      <c r="AL26" s="137">
        <f t="shared" si="5"/>
        <v>51835</v>
      </c>
      <c r="AM26" s="138">
        <f t="shared" si="24"/>
        <v>1.9900000000000001E-2</v>
      </c>
      <c r="AN26" s="139"/>
      <c r="AO26" s="137">
        <f t="shared" si="20"/>
        <v>202380</v>
      </c>
      <c r="AP26" s="138">
        <f t="shared" si="21"/>
        <v>1.54E-2</v>
      </c>
      <c r="AQ26" s="140"/>
      <c r="AR26" s="137">
        <f t="shared" si="6"/>
        <v>202380</v>
      </c>
      <c r="AS26" s="141">
        <f>ROUNDUP(AR26/AR$61,4)</f>
        <v>1.0799999999999999E-2</v>
      </c>
      <c r="AT26" s="137">
        <f t="shared" si="7"/>
        <v>202295</v>
      </c>
      <c r="AU26" s="138">
        <f t="shared" si="23"/>
        <v>1.09E-2</v>
      </c>
      <c r="AW26" s="192">
        <v>202380</v>
      </c>
      <c r="AX26" s="192">
        <f t="shared" si="8"/>
        <v>0</v>
      </c>
    </row>
    <row r="27" spans="1:50" ht="17.25" x14ac:dyDescent="0.3">
      <c r="A27" s="190" t="s">
        <v>203</v>
      </c>
      <c r="B27" s="136" t="s">
        <v>74</v>
      </c>
      <c r="C27" s="191">
        <v>199</v>
      </c>
      <c r="D27" s="191">
        <v>8</v>
      </c>
      <c r="E27" s="191">
        <v>1026</v>
      </c>
      <c r="F27" s="191">
        <v>330</v>
      </c>
      <c r="G27" s="191">
        <v>0</v>
      </c>
      <c r="H27" s="191">
        <v>3383</v>
      </c>
      <c r="I27" s="191">
        <v>141</v>
      </c>
      <c r="J27" s="191">
        <v>0</v>
      </c>
      <c r="K27" s="191">
        <v>0</v>
      </c>
      <c r="L27" s="191">
        <v>10</v>
      </c>
      <c r="M27" s="191">
        <v>0</v>
      </c>
      <c r="N27" s="191">
        <v>23</v>
      </c>
      <c r="O27" s="191">
        <f t="shared" si="9"/>
        <v>5120</v>
      </c>
      <c r="P27" s="186"/>
      <c r="Q27" s="137">
        <v>0</v>
      </c>
      <c r="R27" s="138">
        <f t="shared" si="10"/>
        <v>0</v>
      </c>
      <c r="S27" s="137">
        <v>0</v>
      </c>
      <c r="T27" s="138">
        <f t="shared" si="11"/>
        <v>0</v>
      </c>
      <c r="U27" s="186"/>
      <c r="V27" s="137">
        <f t="shared" si="12"/>
        <v>0</v>
      </c>
      <c r="W27" s="138">
        <v>0</v>
      </c>
      <c r="X27" s="137">
        <f t="shared" si="0"/>
        <v>0</v>
      </c>
      <c r="Y27" s="138">
        <f t="shared" si="13"/>
        <v>0</v>
      </c>
      <c r="Z27" s="137">
        <f t="shared" si="1"/>
        <v>0</v>
      </c>
      <c r="AA27" s="138">
        <f t="shared" si="14"/>
        <v>0</v>
      </c>
      <c r="AB27" s="186"/>
      <c r="AC27" s="137">
        <f t="shared" si="26"/>
        <v>5097</v>
      </c>
      <c r="AD27" s="138">
        <f t="shared" si="15"/>
        <v>8.9999999999999998E-4</v>
      </c>
      <c r="AE27" s="137">
        <f t="shared" si="27"/>
        <v>23</v>
      </c>
      <c r="AF27" s="138">
        <f t="shared" si="16"/>
        <v>4.3E-3</v>
      </c>
      <c r="AG27" s="186"/>
      <c r="AH27" s="137">
        <f t="shared" si="17"/>
        <v>5120</v>
      </c>
      <c r="AI27" s="138">
        <f t="shared" si="18"/>
        <v>5.0000000000000001E-4</v>
      </c>
      <c r="AJ27" s="137">
        <f t="shared" si="4"/>
        <v>5102</v>
      </c>
      <c r="AK27" s="138">
        <f t="shared" si="19"/>
        <v>5.0000000000000001E-4</v>
      </c>
      <c r="AL27" s="137">
        <f t="shared" si="5"/>
        <v>1356</v>
      </c>
      <c r="AM27" s="138">
        <f t="shared" si="24"/>
        <v>5.0000000000000001E-4</v>
      </c>
      <c r="AN27" s="139"/>
      <c r="AO27" s="137">
        <f t="shared" si="20"/>
        <v>5120</v>
      </c>
      <c r="AP27" s="138">
        <f t="shared" si="21"/>
        <v>4.0000000000000002E-4</v>
      </c>
      <c r="AQ27" s="140"/>
      <c r="AR27" s="137">
        <f t="shared" si="6"/>
        <v>5120</v>
      </c>
      <c r="AS27" s="138">
        <f t="shared" si="22"/>
        <v>2.9999999999999997E-4</v>
      </c>
      <c r="AT27" s="137">
        <f t="shared" si="7"/>
        <v>5097</v>
      </c>
      <c r="AU27" s="138">
        <f t="shared" si="23"/>
        <v>2.9999999999999997E-4</v>
      </c>
      <c r="AW27" s="192">
        <v>5120</v>
      </c>
      <c r="AX27" s="192">
        <f t="shared" si="8"/>
        <v>0</v>
      </c>
    </row>
    <row r="28" spans="1:50" ht="17.25" x14ac:dyDescent="0.3">
      <c r="A28" s="190" t="s">
        <v>203</v>
      </c>
      <c r="B28" s="136" t="s">
        <v>75</v>
      </c>
      <c r="C28" s="191">
        <v>35</v>
      </c>
      <c r="D28" s="191">
        <v>1</v>
      </c>
      <c r="E28" s="191">
        <v>743</v>
      </c>
      <c r="F28" s="191">
        <v>64</v>
      </c>
      <c r="G28" s="191">
        <v>4</v>
      </c>
      <c r="H28" s="191">
        <v>3362</v>
      </c>
      <c r="I28" s="191">
        <v>140</v>
      </c>
      <c r="J28" s="191">
        <v>0</v>
      </c>
      <c r="K28" s="191">
        <v>2</v>
      </c>
      <c r="L28" s="191">
        <v>1</v>
      </c>
      <c r="M28" s="191">
        <v>1</v>
      </c>
      <c r="N28" s="191">
        <v>0</v>
      </c>
      <c r="O28" s="191">
        <f t="shared" si="9"/>
        <v>4353</v>
      </c>
      <c r="P28" s="186"/>
      <c r="Q28" s="137">
        <v>0</v>
      </c>
      <c r="R28" s="138">
        <f t="shared" si="10"/>
        <v>0</v>
      </c>
      <c r="S28" s="137">
        <v>0</v>
      </c>
      <c r="T28" s="138">
        <f t="shared" si="11"/>
        <v>0</v>
      </c>
      <c r="U28" s="186"/>
      <c r="V28" s="137">
        <f t="shared" si="12"/>
        <v>0</v>
      </c>
      <c r="W28" s="138">
        <v>0</v>
      </c>
      <c r="X28" s="137">
        <f t="shared" si="0"/>
        <v>0</v>
      </c>
      <c r="Y28" s="138">
        <f t="shared" si="13"/>
        <v>0</v>
      </c>
      <c r="Z28" s="137">
        <f t="shared" si="1"/>
        <v>0</v>
      </c>
      <c r="AA28" s="138">
        <f t="shared" si="14"/>
        <v>0</v>
      </c>
      <c r="AB28" s="186"/>
      <c r="AC28" s="137">
        <f t="shared" si="26"/>
        <v>4353</v>
      </c>
      <c r="AD28" s="138">
        <f t="shared" si="15"/>
        <v>8.0000000000000004E-4</v>
      </c>
      <c r="AE28" s="137">
        <f t="shared" si="27"/>
        <v>0</v>
      </c>
      <c r="AF28" s="138">
        <f t="shared" si="16"/>
        <v>0</v>
      </c>
      <c r="AG28" s="186"/>
      <c r="AH28" s="137">
        <f t="shared" si="17"/>
        <v>4353</v>
      </c>
      <c r="AI28" s="138">
        <f t="shared" si="18"/>
        <v>4.0000000000000002E-4</v>
      </c>
      <c r="AJ28" s="137">
        <f t="shared" si="4"/>
        <v>4346</v>
      </c>
      <c r="AK28" s="138">
        <f t="shared" si="19"/>
        <v>4.0000000000000002E-4</v>
      </c>
      <c r="AL28" s="137">
        <f t="shared" si="5"/>
        <v>807</v>
      </c>
      <c r="AM28" s="138">
        <f t="shared" si="24"/>
        <v>2.9999999999999997E-4</v>
      </c>
      <c r="AN28" s="139"/>
      <c r="AO28" s="137">
        <f t="shared" si="20"/>
        <v>4353</v>
      </c>
      <c r="AP28" s="138">
        <f t="shared" si="21"/>
        <v>2.9999999999999997E-4</v>
      </c>
      <c r="AQ28" s="140"/>
      <c r="AR28" s="137">
        <f t="shared" si="6"/>
        <v>4353</v>
      </c>
      <c r="AS28" s="138">
        <f t="shared" si="22"/>
        <v>2.0000000000000001E-4</v>
      </c>
      <c r="AT28" s="137">
        <f t="shared" si="7"/>
        <v>4353</v>
      </c>
      <c r="AU28" s="138">
        <f t="shared" si="23"/>
        <v>2.0000000000000001E-4</v>
      </c>
      <c r="AW28" s="192">
        <v>4353</v>
      </c>
      <c r="AX28" s="192">
        <f t="shared" si="8"/>
        <v>0</v>
      </c>
    </row>
    <row r="29" spans="1:50" ht="17.25" x14ac:dyDescent="0.3">
      <c r="A29" s="190" t="s">
        <v>203</v>
      </c>
      <c r="B29" s="136" t="s">
        <v>76</v>
      </c>
      <c r="C29" s="191">
        <v>5381</v>
      </c>
      <c r="D29" s="191">
        <v>226</v>
      </c>
      <c r="E29" s="191">
        <v>34490</v>
      </c>
      <c r="F29" s="191">
        <v>6615</v>
      </c>
      <c r="G29" s="191">
        <v>191</v>
      </c>
      <c r="H29" s="191">
        <v>185993</v>
      </c>
      <c r="I29" s="191">
        <v>7750</v>
      </c>
      <c r="J29" s="191">
        <v>1</v>
      </c>
      <c r="K29" s="191">
        <v>29</v>
      </c>
      <c r="L29" s="191">
        <v>56</v>
      </c>
      <c r="M29" s="191">
        <v>0</v>
      </c>
      <c r="N29" s="191">
        <v>340</v>
      </c>
      <c r="O29" s="191">
        <f t="shared" si="9"/>
        <v>241072</v>
      </c>
      <c r="P29" s="186"/>
      <c r="Q29" s="137">
        <v>0</v>
      </c>
      <c r="R29" s="138">
        <f t="shared" si="10"/>
        <v>0</v>
      </c>
      <c r="S29" s="137">
        <v>0</v>
      </c>
      <c r="T29" s="138">
        <f t="shared" si="11"/>
        <v>0</v>
      </c>
      <c r="U29" s="186"/>
      <c r="V29" s="137">
        <f t="shared" si="12"/>
        <v>0</v>
      </c>
      <c r="W29" s="138">
        <v>0</v>
      </c>
      <c r="X29" s="137">
        <f t="shared" si="0"/>
        <v>0</v>
      </c>
      <c r="Y29" s="138">
        <f t="shared" si="13"/>
        <v>0</v>
      </c>
      <c r="Z29" s="137">
        <f t="shared" si="1"/>
        <v>0</v>
      </c>
      <c r="AA29" s="138">
        <f t="shared" si="14"/>
        <v>0</v>
      </c>
      <c r="AB29" s="186"/>
      <c r="AC29" s="137">
        <f t="shared" si="26"/>
        <v>240732</v>
      </c>
      <c r="AD29" s="138">
        <f t="shared" si="15"/>
        <v>4.3700000000000003E-2</v>
      </c>
      <c r="AE29" s="137">
        <f t="shared" si="27"/>
        <v>340</v>
      </c>
      <c r="AF29" s="138">
        <f>ROUND(AE29/AE$61,4)</f>
        <v>6.4100000000000004E-2</v>
      </c>
      <c r="AG29" s="186"/>
      <c r="AH29" s="137">
        <f t="shared" si="17"/>
        <v>241072</v>
      </c>
      <c r="AI29" s="141">
        <f>ROUNDUP(AH29/AH$61,4)</f>
        <v>2.1700000000000001E-2</v>
      </c>
      <c r="AJ29" s="137">
        <f t="shared" si="4"/>
        <v>240599</v>
      </c>
      <c r="AK29" s="138">
        <f t="shared" si="19"/>
        <v>2.1700000000000001E-2</v>
      </c>
      <c r="AL29" s="137">
        <f t="shared" si="5"/>
        <v>41105</v>
      </c>
      <c r="AM29" s="138">
        <f>ROUND(AL29/AL$61,4)</f>
        <v>1.5800000000000002E-2</v>
      </c>
      <c r="AN29" s="144"/>
      <c r="AO29" s="137">
        <f t="shared" si="20"/>
        <v>241072</v>
      </c>
      <c r="AP29" s="138">
        <f t="shared" si="21"/>
        <v>1.84E-2</v>
      </c>
      <c r="AQ29" s="140"/>
      <c r="AR29" s="137">
        <f t="shared" si="6"/>
        <v>241072</v>
      </c>
      <c r="AS29" s="138">
        <f t="shared" si="22"/>
        <v>1.29E-2</v>
      </c>
      <c r="AT29" s="137">
        <f t="shared" si="7"/>
        <v>240732</v>
      </c>
      <c r="AU29" s="138">
        <f>ROUND(AT29/AT$61,4)</f>
        <v>1.29E-2</v>
      </c>
      <c r="AW29" s="192">
        <v>241072</v>
      </c>
      <c r="AX29" s="192">
        <f t="shared" si="8"/>
        <v>0</v>
      </c>
    </row>
    <row r="30" spans="1:50" ht="17.25" x14ac:dyDescent="0.3">
      <c r="A30" s="190" t="s">
        <v>203</v>
      </c>
      <c r="B30" s="136" t="s">
        <v>77</v>
      </c>
      <c r="C30" s="191">
        <v>578</v>
      </c>
      <c r="D30" s="191">
        <v>69</v>
      </c>
      <c r="E30" s="191">
        <v>5889</v>
      </c>
      <c r="F30" s="191">
        <v>1202</v>
      </c>
      <c r="G30" s="191">
        <v>32</v>
      </c>
      <c r="H30" s="191">
        <v>32879</v>
      </c>
      <c r="I30" s="191">
        <v>1370</v>
      </c>
      <c r="J30" s="191">
        <v>0</v>
      </c>
      <c r="K30" s="191">
        <v>15</v>
      </c>
      <c r="L30" s="191">
        <v>10</v>
      </c>
      <c r="M30" s="191">
        <v>35</v>
      </c>
      <c r="N30" s="191">
        <v>10</v>
      </c>
      <c r="O30" s="191">
        <f t="shared" si="9"/>
        <v>42089</v>
      </c>
      <c r="P30" s="186"/>
      <c r="Q30" s="137">
        <v>0</v>
      </c>
      <c r="R30" s="138">
        <f t="shared" si="10"/>
        <v>0</v>
      </c>
      <c r="S30" s="137">
        <v>0</v>
      </c>
      <c r="T30" s="138">
        <f t="shared" si="11"/>
        <v>0</v>
      </c>
      <c r="U30" s="186"/>
      <c r="V30" s="137">
        <f t="shared" si="12"/>
        <v>0</v>
      </c>
      <c r="W30" s="138">
        <v>0</v>
      </c>
      <c r="X30" s="137">
        <f t="shared" si="0"/>
        <v>0</v>
      </c>
      <c r="Y30" s="138">
        <f t="shared" si="13"/>
        <v>0</v>
      </c>
      <c r="Z30" s="137">
        <f t="shared" si="1"/>
        <v>0</v>
      </c>
      <c r="AA30" s="138">
        <f t="shared" si="14"/>
        <v>0</v>
      </c>
      <c r="AB30" s="186"/>
      <c r="AC30" s="137">
        <f t="shared" si="26"/>
        <v>42079</v>
      </c>
      <c r="AD30" s="138">
        <f t="shared" si="15"/>
        <v>7.6E-3</v>
      </c>
      <c r="AE30" s="137">
        <f t="shared" si="27"/>
        <v>10</v>
      </c>
      <c r="AF30" s="138">
        <f t="shared" si="16"/>
        <v>1.9E-3</v>
      </c>
      <c r="AG30" s="186"/>
      <c r="AH30" s="137">
        <f t="shared" si="17"/>
        <v>42089</v>
      </c>
      <c r="AI30" s="138">
        <f t="shared" si="18"/>
        <v>3.8E-3</v>
      </c>
      <c r="AJ30" s="137">
        <f t="shared" si="4"/>
        <v>41943</v>
      </c>
      <c r="AK30" s="138">
        <f t="shared" si="19"/>
        <v>3.8E-3</v>
      </c>
      <c r="AL30" s="137">
        <f t="shared" si="5"/>
        <v>7091</v>
      </c>
      <c r="AM30" s="138">
        <f t="shared" si="24"/>
        <v>2.7000000000000001E-3</v>
      </c>
      <c r="AN30" s="139"/>
      <c r="AO30" s="137">
        <f t="shared" si="20"/>
        <v>42089</v>
      </c>
      <c r="AP30" s="138">
        <f t="shared" si="21"/>
        <v>3.2000000000000002E-3</v>
      </c>
      <c r="AQ30" s="140"/>
      <c r="AR30" s="137">
        <f t="shared" si="6"/>
        <v>42089</v>
      </c>
      <c r="AS30" s="138">
        <f t="shared" si="22"/>
        <v>2.2000000000000001E-3</v>
      </c>
      <c r="AT30" s="137">
        <f t="shared" si="7"/>
        <v>42079</v>
      </c>
      <c r="AU30" s="138">
        <f t="shared" si="23"/>
        <v>2.3E-3</v>
      </c>
      <c r="AW30" s="192">
        <v>42089</v>
      </c>
      <c r="AX30" s="192">
        <f t="shared" si="8"/>
        <v>0</v>
      </c>
    </row>
    <row r="31" spans="1:50" ht="17.25" x14ac:dyDescent="0.3">
      <c r="A31" s="190" t="s">
        <v>203</v>
      </c>
      <c r="B31" s="136" t="s">
        <v>78</v>
      </c>
      <c r="C31" s="191">
        <v>636</v>
      </c>
      <c r="D31" s="191">
        <v>59</v>
      </c>
      <c r="E31" s="191">
        <v>6595</v>
      </c>
      <c r="F31" s="191">
        <v>1335</v>
      </c>
      <c r="G31" s="191">
        <v>9</v>
      </c>
      <c r="H31" s="191">
        <v>25298</v>
      </c>
      <c r="I31" s="191">
        <v>1054</v>
      </c>
      <c r="J31" s="191">
        <v>0</v>
      </c>
      <c r="K31" s="191">
        <v>0</v>
      </c>
      <c r="L31" s="191">
        <v>23</v>
      </c>
      <c r="M31" s="191">
        <v>11</v>
      </c>
      <c r="N31" s="191">
        <v>48</v>
      </c>
      <c r="O31" s="191">
        <f t="shared" si="9"/>
        <v>35068</v>
      </c>
      <c r="P31" s="186"/>
      <c r="Q31" s="137">
        <v>0</v>
      </c>
      <c r="R31" s="138">
        <f t="shared" si="10"/>
        <v>0</v>
      </c>
      <c r="S31" s="137">
        <v>0</v>
      </c>
      <c r="T31" s="138">
        <f t="shared" si="11"/>
        <v>0</v>
      </c>
      <c r="U31" s="186"/>
      <c r="V31" s="137">
        <f t="shared" si="12"/>
        <v>0</v>
      </c>
      <c r="W31" s="138">
        <v>0</v>
      </c>
      <c r="X31" s="137">
        <f t="shared" si="0"/>
        <v>0</v>
      </c>
      <c r="Y31" s="138">
        <f t="shared" si="13"/>
        <v>0</v>
      </c>
      <c r="Z31" s="137">
        <f t="shared" si="1"/>
        <v>0</v>
      </c>
      <c r="AA31" s="138">
        <f t="shared" si="14"/>
        <v>0</v>
      </c>
      <c r="AB31" s="186"/>
      <c r="AC31" s="137">
        <f t="shared" si="26"/>
        <v>35020</v>
      </c>
      <c r="AD31" s="138">
        <f t="shared" si="15"/>
        <v>6.4000000000000003E-3</v>
      </c>
      <c r="AE31" s="137">
        <f t="shared" si="27"/>
        <v>48</v>
      </c>
      <c r="AF31" s="138">
        <f t="shared" si="16"/>
        <v>8.9999999999999993E-3</v>
      </c>
      <c r="AG31" s="186"/>
      <c r="AH31" s="137">
        <f t="shared" si="17"/>
        <v>35068</v>
      </c>
      <c r="AI31" s="138">
        <f t="shared" si="18"/>
        <v>3.0999999999999999E-3</v>
      </c>
      <c r="AJ31" s="137">
        <f t="shared" si="4"/>
        <v>34966</v>
      </c>
      <c r="AK31" s="138">
        <f t="shared" si="19"/>
        <v>3.2000000000000002E-3</v>
      </c>
      <c r="AL31" s="137">
        <f t="shared" si="5"/>
        <v>7930</v>
      </c>
      <c r="AM31" s="138">
        <f t="shared" si="24"/>
        <v>3.0000000000000001E-3</v>
      </c>
      <c r="AN31" s="139"/>
      <c r="AO31" s="137">
        <f t="shared" si="20"/>
        <v>35068</v>
      </c>
      <c r="AP31" s="138">
        <f t="shared" si="21"/>
        <v>2.7000000000000001E-3</v>
      </c>
      <c r="AQ31" s="140"/>
      <c r="AR31" s="137">
        <f t="shared" si="6"/>
        <v>35068</v>
      </c>
      <c r="AS31" s="138">
        <f t="shared" si="22"/>
        <v>1.9E-3</v>
      </c>
      <c r="AT31" s="137">
        <f t="shared" si="7"/>
        <v>35020</v>
      </c>
      <c r="AU31" s="138">
        <f t="shared" si="23"/>
        <v>1.9E-3</v>
      </c>
      <c r="AW31" s="192">
        <v>35068</v>
      </c>
      <c r="AX31" s="192">
        <f t="shared" si="8"/>
        <v>0</v>
      </c>
    </row>
    <row r="32" spans="1:50" ht="17.25" x14ac:dyDescent="0.3">
      <c r="A32" s="190" t="s">
        <v>202</v>
      </c>
      <c r="B32" s="136" t="s">
        <v>79</v>
      </c>
      <c r="C32" s="191">
        <v>23864</v>
      </c>
      <c r="D32" s="191">
        <v>1533</v>
      </c>
      <c r="E32" s="191">
        <v>192664</v>
      </c>
      <c r="F32" s="191">
        <v>45101</v>
      </c>
      <c r="G32" s="191">
        <v>2577</v>
      </c>
      <c r="H32" s="191">
        <v>871592</v>
      </c>
      <c r="I32" s="191">
        <v>36316</v>
      </c>
      <c r="J32" s="191">
        <v>34</v>
      </c>
      <c r="K32" s="191">
        <v>966</v>
      </c>
      <c r="L32" s="191">
        <v>415</v>
      </c>
      <c r="M32" s="191">
        <v>0</v>
      </c>
      <c r="N32" s="191">
        <v>2653</v>
      </c>
      <c r="O32" s="191">
        <f t="shared" si="9"/>
        <v>1177715</v>
      </c>
      <c r="P32" s="186"/>
      <c r="Q32" s="137">
        <v>0</v>
      </c>
      <c r="R32" s="138">
        <f t="shared" si="10"/>
        <v>0</v>
      </c>
      <c r="S32" s="137">
        <v>0</v>
      </c>
      <c r="T32" s="138">
        <f t="shared" si="11"/>
        <v>0</v>
      </c>
      <c r="U32" s="186"/>
      <c r="V32" s="137">
        <f t="shared" si="12"/>
        <v>1177715</v>
      </c>
      <c r="W32" s="138">
        <v>0.12620000000000001</v>
      </c>
      <c r="X32" s="137">
        <f t="shared" si="0"/>
        <v>237765</v>
      </c>
      <c r="Y32" s="141">
        <f>ROUNDDOWN(X32/X$61,4)</f>
        <v>0.1318</v>
      </c>
      <c r="Z32" s="137">
        <f t="shared" si="1"/>
        <v>1173190</v>
      </c>
      <c r="AA32" s="138">
        <f t="shared" si="14"/>
        <v>0.155</v>
      </c>
      <c r="AB32" s="186"/>
      <c r="AC32" s="137">
        <f t="shared" si="26"/>
        <v>0</v>
      </c>
      <c r="AD32" s="138">
        <f t="shared" si="15"/>
        <v>0</v>
      </c>
      <c r="AE32" s="137">
        <f t="shared" si="27"/>
        <v>0</v>
      </c>
      <c r="AF32" s="138">
        <f t="shared" si="16"/>
        <v>0</v>
      </c>
      <c r="AG32" s="186"/>
      <c r="AH32" s="137">
        <f t="shared" si="17"/>
        <v>0</v>
      </c>
      <c r="AI32" s="138">
        <f t="shared" si="18"/>
        <v>0</v>
      </c>
      <c r="AJ32" s="137">
        <f t="shared" si="4"/>
        <v>0</v>
      </c>
      <c r="AK32" s="138">
        <f t="shared" si="19"/>
        <v>0</v>
      </c>
      <c r="AL32" s="137">
        <f t="shared" si="5"/>
        <v>0</v>
      </c>
      <c r="AM32" s="138">
        <f t="shared" si="24"/>
        <v>0</v>
      </c>
      <c r="AN32" s="139"/>
      <c r="AO32" s="137">
        <f t="shared" si="20"/>
        <v>1177715</v>
      </c>
      <c r="AP32" s="138">
        <f t="shared" si="21"/>
        <v>8.9800000000000005E-2</v>
      </c>
      <c r="AQ32" s="140"/>
      <c r="AR32" s="137">
        <f t="shared" si="6"/>
        <v>1177715</v>
      </c>
      <c r="AS32" s="138">
        <f t="shared" si="22"/>
        <v>6.2799999999999995E-2</v>
      </c>
      <c r="AT32" s="137">
        <f t="shared" si="7"/>
        <v>1175062</v>
      </c>
      <c r="AU32" s="138">
        <f t="shared" si="23"/>
        <v>6.3100000000000003E-2</v>
      </c>
      <c r="AW32" s="192">
        <v>1177715</v>
      </c>
      <c r="AX32" s="192">
        <f t="shared" si="8"/>
        <v>0</v>
      </c>
    </row>
    <row r="33" spans="1:50" ht="17.25" x14ac:dyDescent="0.3">
      <c r="A33" s="190" t="s">
        <v>202</v>
      </c>
      <c r="B33" s="136" t="s">
        <v>80</v>
      </c>
      <c r="C33" s="191">
        <v>1372</v>
      </c>
      <c r="D33" s="191">
        <v>135</v>
      </c>
      <c r="E33" s="191">
        <v>12513</v>
      </c>
      <c r="F33" s="191">
        <v>2873</v>
      </c>
      <c r="G33" s="191">
        <v>136</v>
      </c>
      <c r="H33" s="191">
        <v>63198</v>
      </c>
      <c r="I33" s="191">
        <v>2633</v>
      </c>
      <c r="J33" s="191">
        <v>1</v>
      </c>
      <c r="K33" s="191">
        <v>39</v>
      </c>
      <c r="L33" s="191">
        <v>39</v>
      </c>
      <c r="M33" s="191">
        <v>0</v>
      </c>
      <c r="N33" s="191">
        <v>111</v>
      </c>
      <c r="O33" s="191">
        <f t="shared" si="9"/>
        <v>83050</v>
      </c>
      <c r="P33" s="186"/>
      <c r="Q33" s="137">
        <v>0</v>
      </c>
      <c r="R33" s="138">
        <f t="shared" si="10"/>
        <v>0</v>
      </c>
      <c r="S33" s="137">
        <v>0</v>
      </c>
      <c r="T33" s="138">
        <f t="shared" si="11"/>
        <v>0</v>
      </c>
      <c r="U33" s="186"/>
      <c r="V33" s="137">
        <f t="shared" si="12"/>
        <v>83050</v>
      </c>
      <c r="W33" s="138">
        <v>9.1000000000000004E-3</v>
      </c>
      <c r="X33" s="137">
        <f t="shared" si="0"/>
        <v>15386</v>
      </c>
      <c r="Y33" s="138">
        <f t="shared" si="13"/>
        <v>8.5000000000000006E-3</v>
      </c>
      <c r="Z33" s="137">
        <f t="shared" si="1"/>
        <v>82740</v>
      </c>
      <c r="AA33" s="138">
        <f t="shared" si="14"/>
        <v>1.09E-2</v>
      </c>
      <c r="AB33" s="186"/>
      <c r="AC33" s="137">
        <f t="shared" si="26"/>
        <v>0</v>
      </c>
      <c r="AD33" s="138">
        <f t="shared" si="15"/>
        <v>0</v>
      </c>
      <c r="AE33" s="137">
        <f t="shared" si="27"/>
        <v>0</v>
      </c>
      <c r="AF33" s="138">
        <f t="shared" si="16"/>
        <v>0</v>
      </c>
      <c r="AG33" s="186"/>
      <c r="AH33" s="137">
        <f t="shared" si="17"/>
        <v>0</v>
      </c>
      <c r="AI33" s="138">
        <f t="shared" si="18"/>
        <v>0</v>
      </c>
      <c r="AJ33" s="137">
        <f t="shared" si="4"/>
        <v>0</v>
      </c>
      <c r="AK33" s="138">
        <f t="shared" si="19"/>
        <v>0</v>
      </c>
      <c r="AL33" s="137">
        <f t="shared" si="5"/>
        <v>0</v>
      </c>
      <c r="AM33" s="138">
        <f t="shared" si="24"/>
        <v>0</v>
      </c>
      <c r="AN33" s="139"/>
      <c r="AO33" s="137">
        <f t="shared" si="20"/>
        <v>83050</v>
      </c>
      <c r="AP33" s="138">
        <f t="shared" si="21"/>
        <v>6.3E-3</v>
      </c>
      <c r="AQ33" s="140"/>
      <c r="AR33" s="137">
        <f t="shared" si="6"/>
        <v>83050</v>
      </c>
      <c r="AS33" s="138">
        <f t="shared" si="22"/>
        <v>4.4000000000000003E-3</v>
      </c>
      <c r="AT33" s="137">
        <f t="shared" si="7"/>
        <v>82939</v>
      </c>
      <c r="AU33" s="138">
        <f t="shared" si="23"/>
        <v>4.4999999999999997E-3</v>
      </c>
      <c r="AW33" s="192">
        <v>83050</v>
      </c>
      <c r="AX33" s="192">
        <f t="shared" si="8"/>
        <v>0</v>
      </c>
    </row>
    <row r="34" spans="1:50" ht="17.25" x14ac:dyDescent="0.3">
      <c r="A34" s="190" t="s">
        <v>203</v>
      </c>
      <c r="B34" s="136" t="s">
        <v>81</v>
      </c>
      <c r="C34" s="191">
        <v>185</v>
      </c>
      <c r="D34" s="191">
        <v>26</v>
      </c>
      <c r="E34" s="191">
        <v>1874</v>
      </c>
      <c r="F34" s="191">
        <v>359</v>
      </c>
      <c r="G34" s="191">
        <v>4</v>
      </c>
      <c r="H34" s="191">
        <v>6391</v>
      </c>
      <c r="I34" s="191">
        <v>266</v>
      </c>
      <c r="J34" s="191">
        <v>0</v>
      </c>
      <c r="K34" s="191">
        <v>0</v>
      </c>
      <c r="L34" s="191">
        <v>10</v>
      </c>
      <c r="M34" s="191">
        <v>4</v>
      </c>
      <c r="N34" s="191">
        <v>15</v>
      </c>
      <c r="O34" s="191">
        <f t="shared" si="9"/>
        <v>9134</v>
      </c>
      <c r="P34" s="186"/>
      <c r="Q34" s="137">
        <v>0</v>
      </c>
      <c r="R34" s="138">
        <f t="shared" si="10"/>
        <v>0</v>
      </c>
      <c r="S34" s="137">
        <v>0</v>
      </c>
      <c r="T34" s="138">
        <f t="shared" si="11"/>
        <v>0</v>
      </c>
      <c r="U34" s="186"/>
      <c r="V34" s="137">
        <f t="shared" si="12"/>
        <v>0</v>
      </c>
      <c r="W34" s="138">
        <v>0</v>
      </c>
      <c r="X34" s="137">
        <f t="shared" si="0"/>
        <v>0</v>
      </c>
      <c r="Y34" s="138">
        <f t="shared" si="13"/>
        <v>0</v>
      </c>
      <c r="Z34" s="137">
        <f t="shared" si="1"/>
        <v>0</v>
      </c>
      <c r="AA34" s="138">
        <f t="shared" si="14"/>
        <v>0</v>
      </c>
      <c r="AB34" s="186"/>
      <c r="AC34" s="137">
        <f t="shared" si="26"/>
        <v>9119</v>
      </c>
      <c r="AD34" s="138">
        <f t="shared" si="15"/>
        <v>1.6999999999999999E-3</v>
      </c>
      <c r="AE34" s="137">
        <f t="shared" si="27"/>
        <v>15</v>
      </c>
      <c r="AF34" s="138">
        <f t="shared" si="16"/>
        <v>2.8E-3</v>
      </c>
      <c r="AG34" s="186"/>
      <c r="AH34" s="137">
        <f t="shared" si="17"/>
        <v>9134</v>
      </c>
      <c r="AI34" s="138">
        <f t="shared" si="18"/>
        <v>8.0000000000000004E-4</v>
      </c>
      <c r="AJ34" s="137">
        <f t="shared" si="4"/>
        <v>9090</v>
      </c>
      <c r="AK34" s="138">
        <f t="shared" si="19"/>
        <v>8.0000000000000004E-4</v>
      </c>
      <c r="AL34" s="137">
        <f t="shared" si="5"/>
        <v>2233</v>
      </c>
      <c r="AM34" s="138">
        <f t="shared" si="24"/>
        <v>8.9999999999999998E-4</v>
      </c>
      <c r="AN34" s="139"/>
      <c r="AO34" s="137">
        <f t="shared" si="20"/>
        <v>9134</v>
      </c>
      <c r="AP34" s="138">
        <f t="shared" si="21"/>
        <v>6.9999999999999999E-4</v>
      </c>
      <c r="AQ34" s="140"/>
      <c r="AR34" s="137">
        <f t="shared" si="6"/>
        <v>9134</v>
      </c>
      <c r="AS34" s="138">
        <f t="shared" si="22"/>
        <v>5.0000000000000001E-4</v>
      </c>
      <c r="AT34" s="137">
        <f t="shared" si="7"/>
        <v>9119</v>
      </c>
      <c r="AU34" s="138">
        <f t="shared" si="23"/>
        <v>5.0000000000000001E-4</v>
      </c>
      <c r="AW34" s="192">
        <v>9134</v>
      </c>
      <c r="AX34" s="192">
        <f t="shared" si="8"/>
        <v>0</v>
      </c>
    </row>
    <row r="35" spans="1:50" ht="17.25" x14ac:dyDescent="0.3">
      <c r="A35" s="190" t="s">
        <v>203</v>
      </c>
      <c r="B35" s="136" t="s">
        <v>82</v>
      </c>
      <c r="C35" s="191">
        <v>29196</v>
      </c>
      <c r="D35" s="191">
        <v>2378</v>
      </c>
      <c r="E35" s="191">
        <v>199206</v>
      </c>
      <c r="F35" s="191">
        <v>44815</v>
      </c>
      <c r="G35" s="191">
        <v>719</v>
      </c>
      <c r="H35" s="191">
        <v>862566</v>
      </c>
      <c r="I35" s="191">
        <v>35940</v>
      </c>
      <c r="J35" s="191">
        <v>15</v>
      </c>
      <c r="K35" s="191">
        <v>612</v>
      </c>
      <c r="L35" s="191">
        <v>933</v>
      </c>
      <c r="M35" s="191">
        <v>0</v>
      </c>
      <c r="N35" s="191">
        <v>1522</v>
      </c>
      <c r="O35" s="191">
        <f t="shared" si="9"/>
        <v>1177902</v>
      </c>
      <c r="P35" s="186"/>
      <c r="Q35" s="137">
        <v>0</v>
      </c>
      <c r="R35" s="138">
        <f t="shared" si="10"/>
        <v>0</v>
      </c>
      <c r="S35" s="137">
        <v>0</v>
      </c>
      <c r="T35" s="138">
        <f t="shared" si="11"/>
        <v>0</v>
      </c>
      <c r="U35" s="186"/>
      <c r="V35" s="137">
        <f t="shared" si="12"/>
        <v>0</v>
      </c>
      <c r="W35" s="138">
        <v>0</v>
      </c>
      <c r="X35" s="137">
        <f t="shared" si="0"/>
        <v>0</v>
      </c>
      <c r="Y35" s="138">
        <f t="shared" si="13"/>
        <v>0</v>
      </c>
      <c r="Z35" s="137">
        <f t="shared" si="1"/>
        <v>0</v>
      </c>
      <c r="AA35" s="138">
        <f t="shared" si="14"/>
        <v>0</v>
      </c>
      <c r="AB35" s="186"/>
      <c r="AC35" s="137">
        <f t="shared" si="26"/>
        <v>1176380</v>
      </c>
      <c r="AD35" s="138">
        <f t="shared" si="15"/>
        <v>0.21340000000000001</v>
      </c>
      <c r="AE35" s="137">
        <f t="shared" si="27"/>
        <v>1522</v>
      </c>
      <c r="AF35" s="138">
        <f>ROUND(AE35/AE$61,4)</f>
        <v>0.28670000000000001</v>
      </c>
      <c r="AG35" s="186"/>
      <c r="AH35" s="137">
        <f t="shared" si="17"/>
        <v>1177902</v>
      </c>
      <c r="AI35" s="141">
        <f>ROUNDUP(AH35/AH$61,4)</f>
        <v>0.10580000000000001</v>
      </c>
      <c r="AJ35" s="137">
        <f t="shared" si="4"/>
        <v>1173872</v>
      </c>
      <c r="AK35" s="138">
        <f>ROUND(AJ35/AJ$61,4)</f>
        <v>0.10589999999999999</v>
      </c>
      <c r="AL35" s="137">
        <f t="shared" si="5"/>
        <v>244021</v>
      </c>
      <c r="AM35" s="138">
        <f t="shared" si="24"/>
        <v>9.3600000000000003E-2</v>
      </c>
      <c r="AN35" s="139"/>
      <c r="AO35" s="137">
        <f t="shared" si="20"/>
        <v>1177902</v>
      </c>
      <c r="AP35" s="138">
        <f t="shared" si="21"/>
        <v>8.9800000000000005E-2</v>
      </c>
      <c r="AQ35" s="140"/>
      <c r="AR35" s="137">
        <f t="shared" si="6"/>
        <v>1177902</v>
      </c>
      <c r="AS35" s="141">
        <f>ROUNDUP(AR35/AR$61,4)</f>
        <v>6.2899999999999998E-2</v>
      </c>
      <c r="AT35" s="137">
        <f t="shared" si="7"/>
        <v>1176380</v>
      </c>
      <c r="AU35" s="138">
        <f t="shared" si="23"/>
        <v>6.3200000000000006E-2</v>
      </c>
      <c r="AW35" s="192">
        <v>1177902</v>
      </c>
      <c r="AX35" s="192">
        <f t="shared" si="8"/>
        <v>0</v>
      </c>
    </row>
    <row r="36" spans="1:50" ht="17.25" x14ac:dyDescent="0.3">
      <c r="A36" s="190" t="s">
        <v>202</v>
      </c>
      <c r="B36" s="136" t="s">
        <v>83</v>
      </c>
      <c r="C36" s="191">
        <v>32539</v>
      </c>
      <c r="D36" s="191">
        <v>1251</v>
      </c>
      <c r="E36" s="191">
        <v>164564</v>
      </c>
      <c r="F36" s="191">
        <v>53843</v>
      </c>
      <c r="G36" s="191">
        <v>2087</v>
      </c>
      <c r="H36" s="191">
        <v>546788</v>
      </c>
      <c r="I36" s="191">
        <v>22783</v>
      </c>
      <c r="J36" s="191">
        <v>426</v>
      </c>
      <c r="K36" s="191">
        <v>950</v>
      </c>
      <c r="L36" s="191">
        <v>589</v>
      </c>
      <c r="M36" s="191">
        <v>0</v>
      </c>
      <c r="N36" s="191">
        <v>2867</v>
      </c>
      <c r="O36" s="191">
        <f t="shared" si="9"/>
        <v>828687</v>
      </c>
      <c r="P36" s="186"/>
      <c r="Q36" s="137">
        <v>0</v>
      </c>
      <c r="R36" s="138">
        <f t="shared" si="10"/>
        <v>0</v>
      </c>
      <c r="S36" s="137">
        <v>0</v>
      </c>
      <c r="T36" s="138">
        <f t="shared" si="11"/>
        <v>0</v>
      </c>
      <c r="U36" s="186"/>
      <c r="V36" s="137">
        <f t="shared" si="12"/>
        <v>828687</v>
      </c>
      <c r="W36" s="138">
        <v>0.1096</v>
      </c>
      <c r="X36" s="137">
        <f t="shared" si="0"/>
        <v>218407</v>
      </c>
      <c r="Y36" s="138">
        <f t="shared" si="13"/>
        <v>0.1211</v>
      </c>
      <c r="Z36" s="137">
        <f t="shared" si="1"/>
        <v>824760</v>
      </c>
      <c r="AA36" s="138">
        <f t="shared" si="14"/>
        <v>0.109</v>
      </c>
      <c r="AB36" s="186"/>
      <c r="AC36" s="137">
        <f t="shared" si="26"/>
        <v>0</v>
      </c>
      <c r="AD36" s="138">
        <f t="shared" si="15"/>
        <v>0</v>
      </c>
      <c r="AE36" s="137">
        <f t="shared" si="27"/>
        <v>0</v>
      </c>
      <c r="AF36" s="138">
        <f t="shared" si="16"/>
        <v>0</v>
      </c>
      <c r="AG36" s="186"/>
      <c r="AH36" s="137">
        <f t="shared" si="17"/>
        <v>0</v>
      </c>
      <c r="AI36" s="138">
        <f t="shared" si="18"/>
        <v>0</v>
      </c>
      <c r="AJ36" s="137">
        <f t="shared" si="4"/>
        <v>0</v>
      </c>
      <c r="AK36" s="138">
        <f t="shared" si="19"/>
        <v>0</v>
      </c>
      <c r="AL36" s="137">
        <f t="shared" si="5"/>
        <v>0</v>
      </c>
      <c r="AM36" s="138">
        <f t="shared" si="24"/>
        <v>0</v>
      </c>
      <c r="AN36" s="139"/>
      <c r="AO36" s="137">
        <f t="shared" si="20"/>
        <v>828687</v>
      </c>
      <c r="AP36" s="138">
        <f t="shared" si="21"/>
        <v>6.3200000000000006E-2</v>
      </c>
      <c r="AQ36" s="140"/>
      <c r="AR36" s="137">
        <f t="shared" si="6"/>
        <v>828687</v>
      </c>
      <c r="AS36" s="138">
        <f t="shared" si="22"/>
        <v>4.4200000000000003E-2</v>
      </c>
      <c r="AT36" s="137">
        <f t="shared" si="7"/>
        <v>825820</v>
      </c>
      <c r="AU36" s="138">
        <f t="shared" si="23"/>
        <v>4.4400000000000002E-2</v>
      </c>
      <c r="AW36" s="192">
        <v>828687</v>
      </c>
      <c r="AX36" s="192">
        <f t="shared" si="8"/>
        <v>0</v>
      </c>
    </row>
    <row r="37" spans="1:50" ht="17.25" x14ac:dyDescent="0.3">
      <c r="A37" s="190" t="s">
        <v>203</v>
      </c>
      <c r="B37" s="136" t="s">
        <v>84</v>
      </c>
      <c r="C37" s="191">
        <v>607</v>
      </c>
      <c r="D37" s="191">
        <v>23</v>
      </c>
      <c r="E37" s="191">
        <v>4444</v>
      </c>
      <c r="F37" s="191">
        <v>797</v>
      </c>
      <c r="G37" s="191">
        <v>27</v>
      </c>
      <c r="H37" s="191">
        <v>18111</v>
      </c>
      <c r="I37" s="191">
        <v>755</v>
      </c>
      <c r="J37" s="191">
        <v>0</v>
      </c>
      <c r="K37" s="191">
        <v>13</v>
      </c>
      <c r="L37" s="191">
        <v>12</v>
      </c>
      <c r="M37" s="191">
        <v>4</v>
      </c>
      <c r="N37" s="191">
        <v>63</v>
      </c>
      <c r="O37" s="191">
        <f t="shared" si="9"/>
        <v>24856</v>
      </c>
      <c r="P37" s="186"/>
      <c r="Q37" s="137">
        <v>0</v>
      </c>
      <c r="R37" s="138">
        <f t="shared" si="10"/>
        <v>0</v>
      </c>
      <c r="S37" s="137">
        <v>0</v>
      </c>
      <c r="T37" s="138">
        <f t="shared" si="11"/>
        <v>0</v>
      </c>
      <c r="U37" s="186"/>
      <c r="V37" s="137">
        <f t="shared" si="12"/>
        <v>0</v>
      </c>
      <c r="W37" s="138">
        <v>0</v>
      </c>
      <c r="X37" s="137">
        <f t="shared" si="0"/>
        <v>0</v>
      </c>
      <c r="Y37" s="138">
        <f t="shared" si="13"/>
        <v>0</v>
      </c>
      <c r="Z37" s="137">
        <f t="shared" si="1"/>
        <v>0</v>
      </c>
      <c r="AA37" s="138">
        <f t="shared" si="14"/>
        <v>0</v>
      </c>
      <c r="AB37" s="186"/>
      <c r="AC37" s="137">
        <f t="shared" si="26"/>
        <v>24793</v>
      </c>
      <c r="AD37" s="138">
        <f t="shared" si="15"/>
        <v>4.4999999999999997E-3</v>
      </c>
      <c r="AE37" s="137">
        <f t="shared" si="27"/>
        <v>63</v>
      </c>
      <c r="AF37" s="138">
        <f t="shared" si="16"/>
        <v>1.1900000000000001E-2</v>
      </c>
      <c r="AG37" s="186"/>
      <c r="AH37" s="137">
        <f t="shared" si="17"/>
        <v>24856</v>
      </c>
      <c r="AI37" s="138">
        <f t="shared" si="18"/>
        <v>2.2000000000000001E-3</v>
      </c>
      <c r="AJ37" s="137">
        <f t="shared" si="4"/>
        <v>24790</v>
      </c>
      <c r="AK37" s="138">
        <f t="shared" si="19"/>
        <v>2.2000000000000001E-3</v>
      </c>
      <c r="AL37" s="137">
        <f t="shared" si="5"/>
        <v>5241</v>
      </c>
      <c r="AM37" s="138">
        <f t="shared" si="24"/>
        <v>2E-3</v>
      </c>
      <c r="AN37" s="139"/>
      <c r="AO37" s="137">
        <f t="shared" si="20"/>
        <v>24856</v>
      </c>
      <c r="AP37" s="138">
        <f t="shared" si="21"/>
        <v>1.9E-3</v>
      </c>
      <c r="AQ37" s="140"/>
      <c r="AR37" s="137">
        <f t="shared" si="6"/>
        <v>24856</v>
      </c>
      <c r="AS37" s="138">
        <f t="shared" si="22"/>
        <v>1.2999999999999999E-3</v>
      </c>
      <c r="AT37" s="137">
        <f t="shared" si="7"/>
        <v>24793</v>
      </c>
      <c r="AU37" s="138">
        <f t="shared" si="23"/>
        <v>1.2999999999999999E-3</v>
      </c>
      <c r="AW37" s="192">
        <v>24856</v>
      </c>
      <c r="AX37" s="192">
        <f t="shared" si="8"/>
        <v>0</v>
      </c>
    </row>
    <row r="38" spans="1:50" ht="17.25" x14ac:dyDescent="0.3">
      <c r="A38" s="190" t="s">
        <v>203</v>
      </c>
      <c r="B38" s="136" t="s">
        <v>85</v>
      </c>
      <c r="C38" s="191">
        <v>44151</v>
      </c>
      <c r="D38" s="191">
        <v>4412</v>
      </c>
      <c r="E38" s="191">
        <v>241950</v>
      </c>
      <c r="F38" s="191">
        <v>65585</v>
      </c>
      <c r="G38" s="191">
        <v>883</v>
      </c>
      <c r="H38" s="191">
        <v>859641</v>
      </c>
      <c r="I38" s="191">
        <v>35818</v>
      </c>
      <c r="J38" s="191">
        <v>23</v>
      </c>
      <c r="K38" s="191">
        <v>309</v>
      </c>
      <c r="L38" s="191">
        <v>1920</v>
      </c>
      <c r="M38" s="191">
        <v>0</v>
      </c>
      <c r="N38" s="191">
        <v>72</v>
      </c>
      <c r="O38" s="191">
        <f t="shared" si="9"/>
        <v>1254764</v>
      </c>
      <c r="P38" s="186"/>
      <c r="Q38" s="137">
        <v>0</v>
      </c>
      <c r="R38" s="138">
        <f t="shared" si="10"/>
        <v>0</v>
      </c>
      <c r="S38" s="137">
        <v>0</v>
      </c>
      <c r="T38" s="138">
        <f>ROUND(S38/S$61,4)</f>
        <v>0</v>
      </c>
      <c r="U38" s="186"/>
      <c r="V38" s="137">
        <f t="shared" si="12"/>
        <v>0</v>
      </c>
      <c r="W38" s="138">
        <v>0</v>
      </c>
      <c r="X38" s="137">
        <f t="shared" si="0"/>
        <v>0</v>
      </c>
      <c r="Y38" s="138">
        <f t="shared" si="13"/>
        <v>0</v>
      </c>
      <c r="Z38" s="137">
        <f t="shared" si="1"/>
        <v>0</v>
      </c>
      <c r="AA38" s="138">
        <f t="shared" si="14"/>
        <v>0</v>
      </c>
      <c r="AB38" s="186"/>
      <c r="AC38" s="137">
        <f t="shared" si="26"/>
        <v>1254692</v>
      </c>
      <c r="AD38" s="138">
        <f t="shared" si="15"/>
        <v>0.2276</v>
      </c>
      <c r="AE38" s="137">
        <v>0</v>
      </c>
      <c r="AF38" s="143">
        <f>ROUND(AE38/AE$61,4)</f>
        <v>0</v>
      </c>
      <c r="AG38" s="186"/>
      <c r="AH38" s="137">
        <f t="shared" si="17"/>
        <v>1254764</v>
      </c>
      <c r="AI38" s="138">
        <f t="shared" si="18"/>
        <v>0.11260000000000001</v>
      </c>
      <c r="AJ38" s="137">
        <f t="shared" si="4"/>
        <v>1247549</v>
      </c>
      <c r="AK38" s="138">
        <f t="shared" si="19"/>
        <v>0.11260000000000001</v>
      </c>
      <c r="AL38" s="137">
        <f t="shared" si="5"/>
        <v>307535</v>
      </c>
      <c r="AM38" s="138">
        <f t="shared" si="24"/>
        <v>0.11799999999999999</v>
      </c>
      <c r="AN38" s="139"/>
      <c r="AO38" s="137">
        <f t="shared" si="20"/>
        <v>1254764</v>
      </c>
      <c r="AP38" s="138">
        <f t="shared" si="21"/>
        <v>9.5600000000000004E-2</v>
      </c>
      <c r="AQ38" s="140"/>
      <c r="AR38" s="137">
        <f t="shared" si="6"/>
        <v>1254764</v>
      </c>
      <c r="AS38" s="138">
        <f t="shared" si="22"/>
        <v>6.6900000000000001E-2</v>
      </c>
      <c r="AT38" s="137">
        <f t="shared" si="7"/>
        <v>1254692</v>
      </c>
      <c r="AU38" s="138">
        <f t="shared" si="23"/>
        <v>6.7400000000000002E-2</v>
      </c>
      <c r="AW38" s="192">
        <v>1254764</v>
      </c>
      <c r="AX38" s="192">
        <f t="shared" si="8"/>
        <v>0</v>
      </c>
    </row>
    <row r="39" spans="1:50" ht="17.25" x14ac:dyDescent="0.3">
      <c r="A39" s="190" t="s">
        <v>202</v>
      </c>
      <c r="B39" s="136" t="s">
        <v>86</v>
      </c>
      <c r="C39" s="191">
        <v>25673</v>
      </c>
      <c r="D39" s="191">
        <v>1389</v>
      </c>
      <c r="E39" s="191">
        <v>294569</v>
      </c>
      <c r="F39" s="191">
        <v>48990</v>
      </c>
      <c r="G39" s="191">
        <v>2701</v>
      </c>
      <c r="H39" s="191">
        <v>870504</v>
      </c>
      <c r="I39" s="191">
        <v>36271</v>
      </c>
      <c r="J39" s="191">
        <v>492</v>
      </c>
      <c r="K39" s="191">
        <v>425</v>
      </c>
      <c r="L39" s="191">
        <v>690</v>
      </c>
      <c r="M39" s="191">
        <v>0</v>
      </c>
      <c r="N39" s="191">
        <v>2861</v>
      </c>
      <c r="O39" s="191">
        <f t="shared" si="9"/>
        <v>1284565</v>
      </c>
      <c r="P39" s="186"/>
      <c r="Q39" s="137">
        <v>0</v>
      </c>
      <c r="R39" s="138">
        <f t="shared" si="10"/>
        <v>0</v>
      </c>
      <c r="S39" s="137">
        <v>0</v>
      </c>
      <c r="T39" s="138">
        <f t="shared" si="11"/>
        <v>0</v>
      </c>
      <c r="U39" s="186"/>
      <c r="V39" s="137">
        <f t="shared" si="12"/>
        <v>1284565</v>
      </c>
      <c r="W39" s="138">
        <v>0.16039999999999999</v>
      </c>
      <c r="X39" s="137">
        <f t="shared" si="0"/>
        <v>343559</v>
      </c>
      <c r="Y39" s="138">
        <f t="shared" si="13"/>
        <v>0.1905</v>
      </c>
      <c r="Z39" s="137">
        <f t="shared" si="1"/>
        <v>1279785</v>
      </c>
      <c r="AA39" s="141">
        <f>ROUNDDOWN(Z39/Z$61,4)</f>
        <v>0.16900000000000001</v>
      </c>
      <c r="AB39" s="186"/>
      <c r="AC39" s="137">
        <f t="shared" si="26"/>
        <v>0</v>
      </c>
      <c r="AD39" s="138">
        <f t="shared" si="15"/>
        <v>0</v>
      </c>
      <c r="AE39" s="137">
        <f t="shared" ref="AE39:AE60" si="28">SUMIF($A39,"CA",N39)</f>
        <v>0</v>
      </c>
      <c r="AF39" s="138">
        <f t="shared" si="16"/>
        <v>0</v>
      </c>
      <c r="AG39" s="186"/>
      <c r="AH39" s="137">
        <f t="shared" si="17"/>
        <v>0</v>
      </c>
      <c r="AI39" s="138">
        <f t="shared" si="18"/>
        <v>0</v>
      </c>
      <c r="AJ39" s="137">
        <f t="shared" si="4"/>
        <v>0</v>
      </c>
      <c r="AK39" s="138">
        <f t="shared" si="19"/>
        <v>0</v>
      </c>
      <c r="AL39" s="137">
        <f t="shared" si="5"/>
        <v>0</v>
      </c>
      <c r="AM39" s="138">
        <f t="shared" si="24"/>
        <v>0</v>
      </c>
      <c r="AN39" s="139"/>
      <c r="AO39" s="137">
        <f t="shared" si="20"/>
        <v>1284565</v>
      </c>
      <c r="AP39" s="138">
        <f t="shared" si="21"/>
        <v>9.7900000000000001E-2</v>
      </c>
      <c r="AQ39" s="140"/>
      <c r="AR39" s="137">
        <f t="shared" si="6"/>
        <v>1284565</v>
      </c>
      <c r="AS39" s="138">
        <f t="shared" si="22"/>
        <v>6.8500000000000005E-2</v>
      </c>
      <c r="AT39" s="137">
        <f t="shared" si="7"/>
        <v>1281704</v>
      </c>
      <c r="AU39" s="138">
        <f t="shared" si="23"/>
        <v>6.8900000000000003E-2</v>
      </c>
      <c r="AW39" s="192">
        <v>1284565</v>
      </c>
      <c r="AX39" s="192">
        <f t="shared" si="8"/>
        <v>0</v>
      </c>
    </row>
    <row r="40" spans="1:50" ht="17.25" x14ac:dyDescent="0.3">
      <c r="A40" s="190" t="s">
        <v>202</v>
      </c>
      <c r="B40" s="136" t="s">
        <v>87</v>
      </c>
      <c r="C40" s="191">
        <v>4072</v>
      </c>
      <c r="D40" s="191">
        <v>427</v>
      </c>
      <c r="E40" s="191">
        <v>77548</v>
      </c>
      <c r="F40" s="191">
        <v>4597</v>
      </c>
      <c r="G40" s="191">
        <v>1768</v>
      </c>
      <c r="H40" s="191">
        <v>211872</v>
      </c>
      <c r="I40" s="191">
        <v>8828</v>
      </c>
      <c r="J40" s="191">
        <v>19</v>
      </c>
      <c r="K40" s="191">
        <v>412</v>
      </c>
      <c r="L40" s="191">
        <v>385</v>
      </c>
      <c r="M40" s="191">
        <v>0</v>
      </c>
      <c r="N40" s="191">
        <v>4106</v>
      </c>
      <c r="O40" s="191">
        <f t="shared" si="9"/>
        <v>314034</v>
      </c>
      <c r="P40" s="186"/>
      <c r="Q40" s="137">
        <v>0</v>
      </c>
      <c r="R40" s="138">
        <f t="shared" si="10"/>
        <v>0</v>
      </c>
      <c r="S40" s="137">
        <v>0</v>
      </c>
      <c r="T40" s="138">
        <f t="shared" si="11"/>
        <v>0</v>
      </c>
      <c r="U40" s="186"/>
      <c r="V40" s="137">
        <f t="shared" si="12"/>
        <v>314034</v>
      </c>
      <c r="W40" s="138">
        <v>5.8299999999999998E-2</v>
      </c>
      <c r="X40" s="137">
        <f t="shared" si="0"/>
        <v>82145</v>
      </c>
      <c r="Y40" s="138">
        <f t="shared" si="13"/>
        <v>4.5600000000000002E-2</v>
      </c>
      <c r="Z40" s="137">
        <f t="shared" si="1"/>
        <v>311454</v>
      </c>
      <c r="AA40" s="138">
        <f t="shared" si="14"/>
        <v>4.1200000000000001E-2</v>
      </c>
      <c r="AB40" s="186"/>
      <c r="AC40" s="137">
        <f t="shared" si="26"/>
        <v>0</v>
      </c>
      <c r="AD40" s="138">
        <f t="shared" si="15"/>
        <v>0</v>
      </c>
      <c r="AE40" s="137">
        <f t="shared" si="28"/>
        <v>0</v>
      </c>
      <c r="AF40" s="138">
        <f t="shared" si="16"/>
        <v>0</v>
      </c>
      <c r="AG40" s="186"/>
      <c r="AH40" s="137">
        <f t="shared" si="17"/>
        <v>0</v>
      </c>
      <c r="AI40" s="138">
        <f t="shared" si="18"/>
        <v>0</v>
      </c>
      <c r="AJ40" s="137">
        <f t="shared" si="4"/>
        <v>0</v>
      </c>
      <c r="AK40" s="138">
        <f t="shared" si="19"/>
        <v>0</v>
      </c>
      <c r="AL40" s="137">
        <f t="shared" si="5"/>
        <v>0</v>
      </c>
      <c r="AM40" s="138">
        <f t="shared" si="24"/>
        <v>0</v>
      </c>
      <c r="AN40" s="139"/>
      <c r="AO40" s="137">
        <f t="shared" si="20"/>
        <v>314034</v>
      </c>
      <c r="AP40" s="138">
        <f t="shared" si="21"/>
        <v>2.3900000000000001E-2</v>
      </c>
      <c r="AQ40" s="140"/>
      <c r="AR40" s="137">
        <f t="shared" si="6"/>
        <v>314034</v>
      </c>
      <c r="AS40" s="138">
        <f t="shared" si="22"/>
        <v>1.6799999999999999E-2</v>
      </c>
      <c r="AT40" s="137">
        <f t="shared" si="7"/>
        <v>309928</v>
      </c>
      <c r="AU40" s="138">
        <f t="shared" si="23"/>
        <v>1.67E-2</v>
      </c>
      <c r="AW40" s="192">
        <v>314034</v>
      </c>
      <c r="AX40" s="192">
        <f t="shared" si="8"/>
        <v>0</v>
      </c>
    </row>
    <row r="41" spans="1:50" ht="17.25" x14ac:dyDescent="0.3">
      <c r="A41" s="190" t="s">
        <v>203</v>
      </c>
      <c r="B41" s="136" t="s">
        <v>88</v>
      </c>
      <c r="C41" s="191">
        <v>13219</v>
      </c>
      <c r="D41" s="191">
        <v>826</v>
      </c>
      <c r="E41" s="191">
        <v>74691</v>
      </c>
      <c r="F41" s="191">
        <v>21776</v>
      </c>
      <c r="G41" s="191">
        <v>530</v>
      </c>
      <c r="H41" s="191">
        <v>286413</v>
      </c>
      <c r="I41" s="191">
        <v>11934</v>
      </c>
      <c r="J41" s="191">
        <v>4</v>
      </c>
      <c r="K41" s="191">
        <v>102</v>
      </c>
      <c r="L41" s="191">
        <v>299</v>
      </c>
      <c r="M41" s="191">
        <v>0</v>
      </c>
      <c r="N41" s="191">
        <v>217</v>
      </c>
      <c r="O41" s="191">
        <f t="shared" si="9"/>
        <v>410011</v>
      </c>
      <c r="P41" s="186"/>
      <c r="Q41" s="137">
        <v>0</v>
      </c>
      <c r="R41" s="138">
        <f t="shared" si="10"/>
        <v>0</v>
      </c>
      <c r="S41" s="137">
        <v>0</v>
      </c>
      <c r="T41" s="138">
        <f t="shared" si="11"/>
        <v>0</v>
      </c>
      <c r="U41" s="186"/>
      <c r="V41" s="137">
        <f t="shared" si="12"/>
        <v>0</v>
      </c>
      <c r="W41" s="138">
        <v>0</v>
      </c>
      <c r="X41" s="137">
        <f t="shared" si="0"/>
        <v>0</v>
      </c>
      <c r="Y41" s="138">
        <f t="shared" si="13"/>
        <v>0</v>
      </c>
      <c r="Z41" s="137">
        <f t="shared" si="1"/>
        <v>0</v>
      </c>
      <c r="AA41" s="138">
        <f t="shared" si="14"/>
        <v>0</v>
      </c>
      <c r="AB41" s="186"/>
      <c r="AC41" s="137">
        <f t="shared" si="26"/>
        <v>409794</v>
      </c>
      <c r="AD41" s="138">
        <f t="shared" si="15"/>
        <v>7.4300000000000005E-2</v>
      </c>
      <c r="AE41" s="137">
        <f t="shared" si="28"/>
        <v>217</v>
      </c>
      <c r="AF41" s="138">
        <f t="shared" si="16"/>
        <v>4.0899999999999999E-2</v>
      </c>
      <c r="AG41" s="186"/>
      <c r="AH41" s="137">
        <f t="shared" si="17"/>
        <v>410011</v>
      </c>
      <c r="AI41" s="138">
        <f t="shared" si="18"/>
        <v>3.6799999999999999E-2</v>
      </c>
      <c r="AJ41" s="137">
        <f t="shared" si="4"/>
        <v>408356</v>
      </c>
      <c r="AK41" s="141">
        <f>ROUNDDOWN(AJ41/AJ$61,4)</f>
        <v>3.6799999999999999E-2</v>
      </c>
      <c r="AL41" s="137">
        <f t="shared" si="5"/>
        <v>96467</v>
      </c>
      <c r="AM41" s="138">
        <f>ROUNDUP(AL41/AL$61,4)</f>
        <v>3.7000000000000005E-2</v>
      </c>
      <c r="AN41" s="139"/>
      <c r="AO41" s="137">
        <f t="shared" si="20"/>
        <v>410011</v>
      </c>
      <c r="AP41" s="138">
        <f t="shared" si="21"/>
        <v>3.1199999999999999E-2</v>
      </c>
      <c r="AQ41" s="140"/>
      <c r="AR41" s="137">
        <f t="shared" si="6"/>
        <v>410011</v>
      </c>
      <c r="AS41" s="138">
        <f>ROUND(AR41/AR$61,4)</f>
        <v>2.1899999999999999E-2</v>
      </c>
      <c r="AT41" s="137">
        <f t="shared" si="7"/>
        <v>409794</v>
      </c>
      <c r="AU41" s="141">
        <f>ROUNDUP(AT41/AT$61,4)</f>
        <v>2.2099999999999998E-2</v>
      </c>
      <c r="AW41" s="192">
        <v>410011</v>
      </c>
      <c r="AX41" s="192">
        <f t="shared" si="8"/>
        <v>0</v>
      </c>
    </row>
    <row r="42" spans="1:50" ht="17.25" x14ac:dyDescent="0.3">
      <c r="A42" s="190" t="s">
        <v>202</v>
      </c>
      <c r="B42" s="136" t="s">
        <v>89</v>
      </c>
      <c r="C42" s="191">
        <v>1724</v>
      </c>
      <c r="D42" s="191">
        <v>179</v>
      </c>
      <c r="E42" s="191">
        <v>14338</v>
      </c>
      <c r="F42" s="191">
        <v>2894</v>
      </c>
      <c r="G42" s="191">
        <v>51</v>
      </c>
      <c r="H42" s="191">
        <v>59390</v>
      </c>
      <c r="I42" s="191">
        <v>2475</v>
      </c>
      <c r="J42" s="191">
        <v>0</v>
      </c>
      <c r="K42" s="191">
        <v>13</v>
      </c>
      <c r="L42" s="191">
        <v>65</v>
      </c>
      <c r="M42" s="191">
        <v>0</v>
      </c>
      <c r="N42" s="191">
        <v>315</v>
      </c>
      <c r="O42" s="191">
        <f t="shared" si="9"/>
        <v>81444</v>
      </c>
      <c r="P42" s="186"/>
      <c r="Q42" s="137">
        <v>0</v>
      </c>
      <c r="R42" s="138">
        <f t="shared" si="10"/>
        <v>0</v>
      </c>
      <c r="S42" s="137">
        <v>0</v>
      </c>
      <c r="T42" s="138">
        <f t="shared" si="11"/>
        <v>0</v>
      </c>
      <c r="U42" s="186"/>
      <c r="V42" s="137">
        <f t="shared" si="12"/>
        <v>81444</v>
      </c>
      <c r="W42" s="138">
        <v>1.34E-2</v>
      </c>
      <c r="X42" s="137">
        <f t="shared" si="0"/>
        <v>17232</v>
      </c>
      <c r="Y42" s="138">
        <f t="shared" si="13"/>
        <v>9.5999999999999992E-3</v>
      </c>
      <c r="Z42" s="137">
        <f t="shared" si="1"/>
        <v>81149</v>
      </c>
      <c r="AA42" s="138">
        <f t="shared" si="14"/>
        <v>1.0699999999999999E-2</v>
      </c>
      <c r="AB42" s="186"/>
      <c r="AC42" s="137">
        <f t="shared" si="26"/>
        <v>0</v>
      </c>
      <c r="AD42" s="138">
        <f t="shared" si="15"/>
        <v>0</v>
      </c>
      <c r="AE42" s="137">
        <f t="shared" si="28"/>
        <v>0</v>
      </c>
      <c r="AF42" s="138">
        <f t="shared" si="16"/>
        <v>0</v>
      </c>
      <c r="AG42" s="186"/>
      <c r="AH42" s="137">
        <f t="shared" si="17"/>
        <v>0</v>
      </c>
      <c r="AI42" s="138">
        <f t="shared" si="18"/>
        <v>0</v>
      </c>
      <c r="AJ42" s="137">
        <f t="shared" si="4"/>
        <v>0</v>
      </c>
      <c r="AK42" s="138">
        <f t="shared" si="19"/>
        <v>0</v>
      </c>
      <c r="AL42" s="137">
        <f t="shared" si="5"/>
        <v>0</v>
      </c>
      <c r="AM42" s="138">
        <f t="shared" si="24"/>
        <v>0</v>
      </c>
      <c r="AN42" s="139"/>
      <c r="AO42" s="137">
        <f t="shared" si="20"/>
        <v>81444</v>
      </c>
      <c r="AP42" s="138">
        <f t="shared" si="21"/>
        <v>6.1999999999999998E-3</v>
      </c>
      <c r="AQ42" s="140"/>
      <c r="AR42" s="137">
        <f t="shared" si="6"/>
        <v>81444</v>
      </c>
      <c r="AS42" s="138">
        <f t="shared" si="22"/>
        <v>4.3E-3</v>
      </c>
      <c r="AT42" s="137">
        <f t="shared" si="7"/>
        <v>81129</v>
      </c>
      <c r="AU42" s="138">
        <f t="shared" si="23"/>
        <v>4.4000000000000003E-3</v>
      </c>
      <c r="AW42" s="192">
        <v>81444</v>
      </c>
      <c r="AX42" s="192">
        <f t="shared" si="8"/>
        <v>0</v>
      </c>
    </row>
    <row r="43" spans="1:50" ht="17.25" x14ac:dyDescent="0.3">
      <c r="A43" s="190" t="s">
        <v>202</v>
      </c>
      <c r="B43" s="136" t="s">
        <v>90</v>
      </c>
      <c r="C43" s="191">
        <v>1244</v>
      </c>
      <c r="D43" s="191">
        <v>100</v>
      </c>
      <c r="E43" s="191">
        <v>24368</v>
      </c>
      <c r="F43" s="191">
        <v>3877</v>
      </c>
      <c r="G43" s="191">
        <v>491</v>
      </c>
      <c r="H43" s="191">
        <v>142606</v>
      </c>
      <c r="I43" s="191">
        <v>5942</v>
      </c>
      <c r="J43" s="191">
        <v>4</v>
      </c>
      <c r="K43" s="191">
        <v>387</v>
      </c>
      <c r="L43" s="191">
        <v>95</v>
      </c>
      <c r="M43" s="191">
        <v>0</v>
      </c>
      <c r="N43" s="191">
        <v>204</v>
      </c>
      <c r="O43" s="191">
        <f t="shared" si="9"/>
        <v>179318</v>
      </c>
      <c r="P43" s="186"/>
      <c r="Q43" s="137">
        <v>0</v>
      </c>
      <c r="R43" s="138">
        <f t="shared" si="10"/>
        <v>0</v>
      </c>
      <c r="S43" s="137">
        <v>0</v>
      </c>
      <c r="T43" s="138">
        <f t="shared" si="11"/>
        <v>0</v>
      </c>
      <c r="U43" s="186"/>
      <c r="V43" s="137">
        <f t="shared" si="12"/>
        <v>179318</v>
      </c>
      <c r="W43" s="138">
        <v>2.3599999999999999E-2</v>
      </c>
      <c r="X43" s="137">
        <f t="shared" si="0"/>
        <v>28245</v>
      </c>
      <c r="Y43" s="138">
        <f t="shared" si="13"/>
        <v>1.5699999999999999E-2</v>
      </c>
      <c r="Z43" s="137">
        <f t="shared" si="1"/>
        <v>178632</v>
      </c>
      <c r="AA43" s="138">
        <f>ROUND(Z43/Z$61,4)</f>
        <v>2.3599999999999999E-2</v>
      </c>
      <c r="AB43" s="186"/>
      <c r="AC43" s="137">
        <f t="shared" si="26"/>
        <v>0</v>
      </c>
      <c r="AD43" s="138">
        <f t="shared" si="15"/>
        <v>0</v>
      </c>
      <c r="AE43" s="137">
        <f t="shared" si="28"/>
        <v>0</v>
      </c>
      <c r="AF43" s="138">
        <f t="shared" si="16"/>
        <v>0</v>
      </c>
      <c r="AG43" s="186"/>
      <c r="AH43" s="137">
        <f t="shared" si="17"/>
        <v>0</v>
      </c>
      <c r="AI43" s="138">
        <f t="shared" si="18"/>
        <v>0</v>
      </c>
      <c r="AJ43" s="137">
        <f t="shared" si="4"/>
        <v>0</v>
      </c>
      <c r="AK43" s="138">
        <f t="shared" si="19"/>
        <v>0</v>
      </c>
      <c r="AL43" s="137">
        <f t="shared" si="5"/>
        <v>0</v>
      </c>
      <c r="AM43" s="138">
        <f t="shared" si="24"/>
        <v>0</v>
      </c>
      <c r="AN43" s="139"/>
      <c r="AO43" s="137">
        <f t="shared" si="20"/>
        <v>179318</v>
      </c>
      <c r="AP43" s="138">
        <f t="shared" si="21"/>
        <v>1.37E-2</v>
      </c>
      <c r="AQ43" s="140"/>
      <c r="AR43" s="137">
        <f t="shared" si="6"/>
        <v>179318</v>
      </c>
      <c r="AS43" s="138">
        <f t="shared" si="22"/>
        <v>9.5999999999999992E-3</v>
      </c>
      <c r="AT43" s="137">
        <f t="shared" si="7"/>
        <v>179114</v>
      </c>
      <c r="AU43" s="138">
        <f t="shared" si="23"/>
        <v>9.5999999999999992E-3</v>
      </c>
      <c r="AW43" s="192">
        <v>179318</v>
      </c>
      <c r="AX43" s="192">
        <f t="shared" si="8"/>
        <v>0</v>
      </c>
    </row>
    <row r="44" spans="1:50" ht="17.25" x14ac:dyDescent="0.3">
      <c r="A44" s="190" t="s">
        <v>202</v>
      </c>
      <c r="B44" s="136" t="s">
        <v>91</v>
      </c>
      <c r="C44" s="191">
        <v>5071</v>
      </c>
      <c r="D44" s="191">
        <v>305</v>
      </c>
      <c r="E44" s="191">
        <v>37151</v>
      </c>
      <c r="F44" s="191">
        <v>6971</v>
      </c>
      <c r="G44" s="191">
        <v>202</v>
      </c>
      <c r="H44" s="191">
        <v>150681</v>
      </c>
      <c r="I44" s="191">
        <v>6278</v>
      </c>
      <c r="J44" s="191">
        <v>1</v>
      </c>
      <c r="K44" s="191">
        <v>19</v>
      </c>
      <c r="L44" s="191">
        <v>92</v>
      </c>
      <c r="M44" s="191">
        <v>0</v>
      </c>
      <c r="N44" s="191">
        <v>226</v>
      </c>
      <c r="O44" s="191">
        <f t="shared" si="9"/>
        <v>206997</v>
      </c>
      <c r="P44" s="186"/>
      <c r="Q44" s="137">
        <v>0</v>
      </c>
      <c r="R44" s="138">
        <f t="shared" si="10"/>
        <v>0</v>
      </c>
      <c r="S44" s="137">
        <v>0</v>
      </c>
      <c r="T44" s="138">
        <f t="shared" si="11"/>
        <v>0</v>
      </c>
      <c r="U44" s="186"/>
      <c r="V44" s="137">
        <f t="shared" si="12"/>
        <v>206997</v>
      </c>
      <c r="W44" s="138">
        <v>2.4199999999999999E-2</v>
      </c>
      <c r="X44" s="137">
        <f t="shared" si="0"/>
        <v>44122</v>
      </c>
      <c r="Y44" s="138">
        <f t="shared" si="13"/>
        <v>2.4500000000000001E-2</v>
      </c>
      <c r="Z44" s="137">
        <f t="shared" si="1"/>
        <v>206398</v>
      </c>
      <c r="AA44" s="138">
        <f t="shared" si="14"/>
        <v>2.7300000000000001E-2</v>
      </c>
      <c r="AB44" s="186"/>
      <c r="AC44" s="137">
        <f t="shared" si="26"/>
        <v>0</v>
      </c>
      <c r="AD44" s="138">
        <f t="shared" si="15"/>
        <v>0</v>
      </c>
      <c r="AE44" s="137">
        <f t="shared" si="28"/>
        <v>0</v>
      </c>
      <c r="AF44" s="138">
        <f t="shared" si="16"/>
        <v>0</v>
      </c>
      <c r="AG44" s="186"/>
      <c r="AH44" s="137">
        <f t="shared" si="17"/>
        <v>0</v>
      </c>
      <c r="AI44" s="138">
        <f t="shared" si="18"/>
        <v>0</v>
      </c>
      <c r="AJ44" s="137">
        <f t="shared" si="4"/>
        <v>0</v>
      </c>
      <c r="AK44" s="138">
        <f t="shared" si="19"/>
        <v>0</v>
      </c>
      <c r="AL44" s="137">
        <f t="shared" si="5"/>
        <v>0</v>
      </c>
      <c r="AM44" s="138">
        <f t="shared" si="24"/>
        <v>0</v>
      </c>
      <c r="AN44" s="139"/>
      <c r="AO44" s="137">
        <f t="shared" si="20"/>
        <v>206997</v>
      </c>
      <c r="AP44" s="138">
        <f t="shared" si="21"/>
        <v>1.5800000000000002E-2</v>
      </c>
      <c r="AQ44" s="140"/>
      <c r="AR44" s="137">
        <f t="shared" si="6"/>
        <v>206997</v>
      </c>
      <c r="AS44" s="138">
        <f t="shared" si="22"/>
        <v>1.0999999999999999E-2</v>
      </c>
      <c r="AT44" s="137">
        <f t="shared" si="7"/>
        <v>206771</v>
      </c>
      <c r="AU44" s="138">
        <f>ROUND(AT44/AT$61,4)</f>
        <v>1.11E-2</v>
      </c>
      <c r="AW44" s="192">
        <v>206997</v>
      </c>
      <c r="AX44" s="192">
        <f t="shared" si="8"/>
        <v>0</v>
      </c>
    </row>
    <row r="45" spans="1:50" ht="17.25" x14ac:dyDescent="0.3">
      <c r="A45" s="190" t="s">
        <v>202</v>
      </c>
      <c r="B45" s="136" t="s">
        <v>92</v>
      </c>
      <c r="C45" s="191">
        <v>7704</v>
      </c>
      <c r="D45" s="191">
        <v>729</v>
      </c>
      <c r="E45" s="191">
        <v>77344</v>
      </c>
      <c r="F45" s="191">
        <v>23768</v>
      </c>
      <c r="G45" s="191">
        <v>1153</v>
      </c>
      <c r="H45" s="191">
        <v>397839</v>
      </c>
      <c r="I45" s="191">
        <v>16577</v>
      </c>
      <c r="J45" s="191">
        <v>17</v>
      </c>
      <c r="K45" s="191">
        <v>933</v>
      </c>
      <c r="L45" s="191">
        <v>308</v>
      </c>
      <c r="M45" s="191">
        <v>0</v>
      </c>
      <c r="N45" s="191">
        <v>3775</v>
      </c>
      <c r="O45" s="191">
        <f t="shared" si="9"/>
        <v>530147</v>
      </c>
      <c r="P45" s="186"/>
      <c r="Q45" s="137">
        <v>0</v>
      </c>
      <c r="R45" s="138">
        <f t="shared" si="10"/>
        <v>0</v>
      </c>
      <c r="S45" s="137">
        <v>0</v>
      </c>
      <c r="T45" s="138">
        <f t="shared" si="11"/>
        <v>0</v>
      </c>
      <c r="U45" s="186"/>
      <c r="V45" s="137">
        <f t="shared" si="12"/>
        <v>530147</v>
      </c>
      <c r="W45" s="138">
        <v>8.0600000000000005E-2</v>
      </c>
      <c r="X45" s="137">
        <f t="shared" si="0"/>
        <v>101112</v>
      </c>
      <c r="Y45" s="138">
        <f t="shared" si="13"/>
        <v>5.6099999999999997E-2</v>
      </c>
      <c r="Z45" s="137">
        <f t="shared" si="1"/>
        <v>527957</v>
      </c>
      <c r="AA45" s="138">
        <f t="shared" si="14"/>
        <v>6.9800000000000001E-2</v>
      </c>
      <c r="AB45" s="186"/>
      <c r="AC45" s="137">
        <f t="shared" si="26"/>
        <v>0</v>
      </c>
      <c r="AD45" s="138">
        <f t="shared" si="15"/>
        <v>0</v>
      </c>
      <c r="AE45" s="137">
        <f t="shared" si="28"/>
        <v>0</v>
      </c>
      <c r="AF45" s="138">
        <f t="shared" si="16"/>
        <v>0</v>
      </c>
      <c r="AG45" s="186"/>
      <c r="AH45" s="137">
        <f t="shared" si="17"/>
        <v>0</v>
      </c>
      <c r="AI45" s="138">
        <f t="shared" si="18"/>
        <v>0</v>
      </c>
      <c r="AJ45" s="137">
        <f t="shared" si="4"/>
        <v>0</v>
      </c>
      <c r="AK45" s="138">
        <f t="shared" si="19"/>
        <v>0</v>
      </c>
      <c r="AL45" s="137">
        <f t="shared" si="5"/>
        <v>0</v>
      </c>
      <c r="AM45" s="138">
        <f t="shared" si="24"/>
        <v>0</v>
      </c>
      <c r="AN45" s="139"/>
      <c r="AO45" s="137">
        <f t="shared" si="20"/>
        <v>530147</v>
      </c>
      <c r="AP45" s="138">
        <f t="shared" si="21"/>
        <v>4.0399999999999998E-2</v>
      </c>
      <c r="AQ45" s="140"/>
      <c r="AR45" s="137">
        <f t="shared" si="6"/>
        <v>530147</v>
      </c>
      <c r="AS45" s="138">
        <f t="shared" si="22"/>
        <v>2.8299999999999999E-2</v>
      </c>
      <c r="AT45" s="137">
        <f t="shared" si="7"/>
        <v>526372</v>
      </c>
      <c r="AU45" s="138">
        <f t="shared" si="23"/>
        <v>2.8299999999999999E-2</v>
      </c>
      <c r="AW45" s="192">
        <v>530147</v>
      </c>
      <c r="AX45" s="192">
        <f t="shared" si="8"/>
        <v>0</v>
      </c>
    </row>
    <row r="46" spans="1:50" ht="17.25" x14ac:dyDescent="0.3">
      <c r="A46" s="190" t="s">
        <v>202</v>
      </c>
      <c r="B46" s="136" t="s">
        <v>93</v>
      </c>
      <c r="C46" s="191">
        <v>2104</v>
      </c>
      <c r="D46" s="191">
        <v>86</v>
      </c>
      <c r="E46" s="191">
        <v>22941</v>
      </c>
      <c r="F46" s="191">
        <v>4006</v>
      </c>
      <c r="G46" s="191">
        <v>63</v>
      </c>
      <c r="H46" s="191">
        <v>75721</v>
      </c>
      <c r="I46" s="191">
        <v>3155</v>
      </c>
      <c r="J46" s="191">
        <v>2</v>
      </c>
      <c r="K46" s="191">
        <v>10</v>
      </c>
      <c r="L46" s="191">
        <v>43</v>
      </c>
      <c r="M46" s="191">
        <v>0</v>
      </c>
      <c r="N46" s="191">
        <v>266</v>
      </c>
      <c r="O46" s="191">
        <f t="shared" si="9"/>
        <v>108397</v>
      </c>
      <c r="P46" s="186"/>
      <c r="Q46" s="137">
        <v>0</v>
      </c>
      <c r="R46" s="138">
        <f t="shared" si="10"/>
        <v>0</v>
      </c>
      <c r="S46" s="137">
        <v>0</v>
      </c>
      <c r="T46" s="138">
        <f t="shared" si="11"/>
        <v>0</v>
      </c>
      <c r="U46" s="186"/>
      <c r="V46" s="137">
        <f t="shared" si="12"/>
        <v>108397</v>
      </c>
      <c r="W46" s="138">
        <v>1.3599999999999999E-2</v>
      </c>
      <c r="X46" s="137">
        <f t="shared" si="0"/>
        <v>26947</v>
      </c>
      <c r="Y46" s="138">
        <f t="shared" si="13"/>
        <v>1.49E-2</v>
      </c>
      <c r="Z46" s="137">
        <f t="shared" si="1"/>
        <v>108205</v>
      </c>
      <c r="AA46" s="138">
        <f t="shared" si="14"/>
        <v>1.43E-2</v>
      </c>
      <c r="AB46" s="186"/>
      <c r="AC46" s="137">
        <f t="shared" si="26"/>
        <v>0</v>
      </c>
      <c r="AD46" s="138">
        <f t="shared" si="15"/>
        <v>0</v>
      </c>
      <c r="AE46" s="137">
        <f t="shared" si="28"/>
        <v>0</v>
      </c>
      <c r="AF46" s="138">
        <f t="shared" si="16"/>
        <v>0</v>
      </c>
      <c r="AG46" s="186"/>
      <c r="AH46" s="137">
        <f t="shared" si="17"/>
        <v>0</v>
      </c>
      <c r="AI46" s="138">
        <f t="shared" si="18"/>
        <v>0</v>
      </c>
      <c r="AJ46" s="137">
        <f t="shared" si="4"/>
        <v>0</v>
      </c>
      <c r="AK46" s="138">
        <f t="shared" si="19"/>
        <v>0</v>
      </c>
      <c r="AL46" s="137">
        <f t="shared" si="5"/>
        <v>0</v>
      </c>
      <c r="AM46" s="138">
        <f t="shared" si="24"/>
        <v>0</v>
      </c>
      <c r="AN46" s="139"/>
      <c r="AO46" s="137">
        <f t="shared" si="20"/>
        <v>108397</v>
      </c>
      <c r="AP46" s="138">
        <f t="shared" si="21"/>
        <v>8.3000000000000001E-3</v>
      </c>
      <c r="AQ46" s="140"/>
      <c r="AR46" s="137">
        <f t="shared" si="6"/>
        <v>108397</v>
      </c>
      <c r="AS46" s="138">
        <f t="shared" si="22"/>
        <v>5.7999999999999996E-3</v>
      </c>
      <c r="AT46" s="137">
        <f t="shared" si="7"/>
        <v>108131</v>
      </c>
      <c r="AU46" s="138">
        <f t="shared" si="23"/>
        <v>5.7999999999999996E-3</v>
      </c>
      <c r="AW46" s="192">
        <v>108397</v>
      </c>
      <c r="AX46" s="192">
        <f t="shared" si="8"/>
        <v>0</v>
      </c>
    </row>
    <row r="47" spans="1:50" ht="17.25" x14ac:dyDescent="0.3">
      <c r="A47" s="190" t="s">
        <v>203</v>
      </c>
      <c r="B47" s="136" t="s">
        <v>94</v>
      </c>
      <c r="C47" s="191">
        <v>2527</v>
      </c>
      <c r="D47" s="191">
        <v>312</v>
      </c>
      <c r="E47" s="191">
        <v>18311</v>
      </c>
      <c r="F47" s="191">
        <v>5340</v>
      </c>
      <c r="G47" s="191">
        <v>33</v>
      </c>
      <c r="H47" s="191">
        <v>63208</v>
      </c>
      <c r="I47" s="191">
        <v>2634</v>
      </c>
      <c r="J47" s="191">
        <v>0</v>
      </c>
      <c r="K47" s="191">
        <v>2</v>
      </c>
      <c r="L47" s="191">
        <v>115</v>
      </c>
      <c r="M47" s="191">
        <v>45</v>
      </c>
      <c r="N47" s="191">
        <v>199</v>
      </c>
      <c r="O47" s="191">
        <f t="shared" si="9"/>
        <v>92726</v>
      </c>
      <c r="P47" s="186"/>
      <c r="Q47" s="137">
        <v>0</v>
      </c>
      <c r="R47" s="138">
        <f>ROUND(Q47/Q$61,4)</f>
        <v>0</v>
      </c>
      <c r="S47" s="137">
        <v>0</v>
      </c>
      <c r="T47" s="138">
        <f t="shared" si="11"/>
        <v>0</v>
      </c>
      <c r="U47" s="186"/>
      <c r="V47" s="137">
        <f t="shared" si="12"/>
        <v>0</v>
      </c>
      <c r="W47" s="138">
        <v>0</v>
      </c>
      <c r="X47" s="137">
        <f t="shared" si="0"/>
        <v>0</v>
      </c>
      <c r="Y47" s="138">
        <f t="shared" si="13"/>
        <v>0</v>
      </c>
      <c r="Z47" s="137">
        <f t="shared" si="1"/>
        <v>0</v>
      </c>
      <c r="AA47" s="138">
        <f t="shared" si="14"/>
        <v>0</v>
      </c>
      <c r="AB47" s="186"/>
      <c r="AC47" s="137">
        <f t="shared" si="26"/>
        <v>92527</v>
      </c>
      <c r="AD47" s="138">
        <f>ROUND(AC47/AC$61,4)</f>
        <v>1.6799999999999999E-2</v>
      </c>
      <c r="AE47" s="137">
        <f t="shared" si="28"/>
        <v>199</v>
      </c>
      <c r="AF47" s="138">
        <f>ROUND(AE47/AE$61,4)</f>
        <v>3.7499999999999999E-2</v>
      </c>
      <c r="AG47" s="186"/>
      <c r="AH47" s="137">
        <f t="shared" si="17"/>
        <v>92726</v>
      </c>
      <c r="AI47" s="138">
        <f t="shared" si="18"/>
        <v>8.3000000000000001E-3</v>
      </c>
      <c r="AJ47" s="137">
        <f t="shared" si="4"/>
        <v>92221</v>
      </c>
      <c r="AK47" s="138">
        <f t="shared" si="19"/>
        <v>8.3000000000000001E-3</v>
      </c>
      <c r="AL47" s="137">
        <f t="shared" si="5"/>
        <v>23651</v>
      </c>
      <c r="AM47" s="138">
        <f t="shared" si="24"/>
        <v>9.1000000000000004E-3</v>
      </c>
      <c r="AN47" s="139"/>
      <c r="AO47" s="137">
        <f t="shared" si="20"/>
        <v>92726</v>
      </c>
      <c r="AP47" s="138">
        <f t="shared" si="21"/>
        <v>7.1000000000000004E-3</v>
      </c>
      <c r="AQ47" s="140"/>
      <c r="AR47" s="137">
        <f t="shared" si="6"/>
        <v>92726</v>
      </c>
      <c r="AS47" s="138">
        <f t="shared" si="22"/>
        <v>4.8999999999999998E-3</v>
      </c>
      <c r="AT47" s="137">
        <f t="shared" si="7"/>
        <v>92527</v>
      </c>
      <c r="AU47" s="138">
        <f t="shared" si="23"/>
        <v>5.0000000000000001E-3</v>
      </c>
      <c r="AW47" s="192">
        <v>92726</v>
      </c>
      <c r="AX47" s="192">
        <f t="shared" si="8"/>
        <v>0</v>
      </c>
    </row>
    <row r="48" spans="1:50" ht="17.25" x14ac:dyDescent="0.3">
      <c r="A48" s="190" t="s">
        <v>203</v>
      </c>
      <c r="B48" s="136" t="s">
        <v>95</v>
      </c>
      <c r="C48" s="191">
        <v>30</v>
      </c>
      <c r="D48" s="191">
        <v>4</v>
      </c>
      <c r="E48" s="191">
        <v>209</v>
      </c>
      <c r="F48" s="191">
        <v>44</v>
      </c>
      <c r="G48" s="191">
        <v>0</v>
      </c>
      <c r="H48" s="191">
        <v>777</v>
      </c>
      <c r="I48" s="191">
        <v>32</v>
      </c>
      <c r="J48" s="191">
        <v>0</v>
      </c>
      <c r="K48" s="191">
        <v>0</v>
      </c>
      <c r="L48" s="191">
        <v>0</v>
      </c>
      <c r="M48" s="191">
        <v>0</v>
      </c>
      <c r="N48" s="191">
        <v>9</v>
      </c>
      <c r="O48" s="191">
        <f t="shared" si="9"/>
        <v>1105</v>
      </c>
      <c r="P48" s="186"/>
      <c r="Q48" s="137">
        <v>0</v>
      </c>
      <c r="R48" s="138">
        <f t="shared" si="10"/>
        <v>0</v>
      </c>
      <c r="S48" s="137">
        <v>0</v>
      </c>
      <c r="T48" s="138">
        <f t="shared" si="11"/>
        <v>0</v>
      </c>
      <c r="U48" s="186"/>
      <c r="V48" s="137">
        <f t="shared" si="12"/>
        <v>0</v>
      </c>
      <c r="W48" s="138">
        <v>0</v>
      </c>
      <c r="X48" s="137">
        <f t="shared" si="0"/>
        <v>0</v>
      </c>
      <c r="Y48" s="138">
        <f t="shared" si="13"/>
        <v>0</v>
      </c>
      <c r="Z48" s="137">
        <f t="shared" si="1"/>
        <v>0</v>
      </c>
      <c r="AA48" s="138">
        <f t="shared" si="14"/>
        <v>0</v>
      </c>
      <c r="AB48" s="186"/>
      <c r="AC48" s="137">
        <f t="shared" si="26"/>
        <v>1096</v>
      </c>
      <c r="AD48" s="138">
        <f t="shared" si="15"/>
        <v>2.0000000000000001E-4</v>
      </c>
      <c r="AE48" s="137">
        <f t="shared" si="28"/>
        <v>9</v>
      </c>
      <c r="AF48" s="138">
        <f t="shared" si="16"/>
        <v>1.6999999999999999E-3</v>
      </c>
      <c r="AG48" s="186"/>
      <c r="AH48" s="137">
        <f t="shared" si="17"/>
        <v>1105</v>
      </c>
      <c r="AI48" s="138">
        <f t="shared" si="18"/>
        <v>1E-4</v>
      </c>
      <c r="AJ48" s="137">
        <f t="shared" si="4"/>
        <v>1101</v>
      </c>
      <c r="AK48" s="138">
        <f t="shared" si="19"/>
        <v>1E-4</v>
      </c>
      <c r="AL48" s="137">
        <f t="shared" si="5"/>
        <v>253</v>
      </c>
      <c r="AM48" s="138">
        <f t="shared" si="24"/>
        <v>1E-4</v>
      </c>
      <c r="AN48" s="139"/>
      <c r="AO48" s="137">
        <f t="shared" si="20"/>
        <v>1105</v>
      </c>
      <c r="AP48" s="138">
        <f t="shared" si="21"/>
        <v>1E-4</v>
      </c>
      <c r="AQ48" s="140"/>
      <c r="AR48" s="137">
        <f t="shared" si="6"/>
        <v>1105</v>
      </c>
      <c r="AS48" s="138">
        <f t="shared" si="22"/>
        <v>1E-4</v>
      </c>
      <c r="AT48" s="137">
        <f t="shared" si="7"/>
        <v>1096</v>
      </c>
      <c r="AU48" s="138">
        <f t="shared" si="23"/>
        <v>1E-4</v>
      </c>
      <c r="AW48" s="192">
        <v>1105</v>
      </c>
      <c r="AX48" s="192">
        <f t="shared" si="8"/>
        <v>0</v>
      </c>
    </row>
    <row r="49" spans="1:50" ht="17.25" x14ac:dyDescent="0.3">
      <c r="A49" s="190" t="s">
        <v>203</v>
      </c>
      <c r="B49" s="136" t="s">
        <v>96</v>
      </c>
      <c r="C49" s="191">
        <v>756</v>
      </c>
      <c r="D49" s="191">
        <v>84</v>
      </c>
      <c r="E49" s="191">
        <v>5761</v>
      </c>
      <c r="F49" s="191">
        <v>1673</v>
      </c>
      <c r="G49" s="191">
        <v>7</v>
      </c>
      <c r="H49" s="191">
        <v>18286</v>
      </c>
      <c r="I49" s="191">
        <v>762</v>
      </c>
      <c r="J49" s="191">
        <v>0</v>
      </c>
      <c r="K49" s="191">
        <v>1</v>
      </c>
      <c r="L49" s="191">
        <v>33</v>
      </c>
      <c r="M49" s="191">
        <v>1</v>
      </c>
      <c r="N49" s="191">
        <v>29</v>
      </c>
      <c r="O49" s="191">
        <f t="shared" si="9"/>
        <v>27393</v>
      </c>
      <c r="P49" s="186"/>
      <c r="Q49" s="137">
        <v>0</v>
      </c>
      <c r="R49" s="138">
        <f t="shared" si="10"/>
        <v>0</v>
      </c>
      <c r="S49" s="137">
        <v>0</v>
      </c>
      <c r="T49" s="138">
        <f t="shared" si="11"/>
        <v>0</v>
      </c>
      <c r="U49" s="186"/>
      <c r="V49" s="137">
        <f t="shared" si="12"/>
        <v>0</v>
      </c>
      <c r="W49" s="138">
        <v>0</v>
      </c>
      <c r="X49" s="137">
        <f t="shared" si="0"/>
        <v>0</v>
      </c>
      <c r="Y49" s="138">
        <f t="shared" si="13"/>
        <v>0</v>
      </c>
      <c r="Z49" s="137">
        <f t="shared" si="1"/>
        <v>0</v>
      </c>
      <c r="AA49" s="138">
        <f t="shared" si="14"/>
        <v>0</v>
      </c>
      <c r="AB49" s="186"/>
      <c r="AC49" s="137">
        <f t="shared" si="26"/>
        <v>27364</v>
      </c>
      <c r="AD49" s="138">
        <f t="shared" si="15"/>
        <v>5.0000000000000001E-3</v>
      </c>
      <c r="AE49" s="137">
        <f t="shared" si="28"/>
        <v>29</v>
      </c>
      <c r="AF49" s="138">
        <f t="shared" si="16"/>
        <v>5.4999999999999997E-3</v>
      </c>
      <c r="AG49" s="186"/>
      <c r="AH49" s="137">
        <f t="shared" si="17"/>
        <v>27393</v>
      </c>
      <c r="AI49" s="138">
        <f t="shared" si="18"/>
        <v>2.5000000000000001E-3</v>
      </c>
      <c r="AJ49" s="137">
        <f t="shared" si="4"/>
        <v>27268</v>
      </c>
      <c r="AK49" s="138">
        <f t="shared" si="19"/>
        <v>2.5000000000000001E-3</v>
      </c>
      <c r="AL49" s="137">
        <f t="shared" si="5"/>
        <v>7434</v>
      </c>
      <c r="AM49" s="138">
        <f t="shared" si="24"/>
        <v>2.8999999999999998E-3</v>
      </c>
      <c r="AN49" s="139"/>
      <c r="AO49" s="137">
        <f t="shared" si="20"/>
        <v>27393</v>
      </c>
      <c r="AP49" s="138">
        <f t="shared" si="21"/>
        <v>2.0999999999999999E-3</v>
      </c>
      <c r="AQ49" s="140"/>
      <c r="AR49" s="137">
        <f t="shared" si="6"/>
        <v>27393</v>
      </c>
      <c r="AS49" s="138">
        <f t="shared" si="22"/>
        <v>1.5E-3</v>
      </c>
      <c r="AT49" s="137">
        <f t="shared" si="7"/>
        <v>27364</v>
      </c>
      <c r="AU49" s="138">
        <f t="shared" si="23"/>
        <v>1.5E-3</v>
      </c>
      <c r="AW49" s="192">
        <v>27393</v>
      </c>
      <c r="AX49" s="192">
        <f t="shared" si="8"/>
        <v>0</v>
      </c>
    </row>
    <row r="50" spans="1:50" ht="17.25" x14ac:dyDescent="0.3">
      <c r="A50" s="190" t="s">
        <v>202</v>
      </c>
      <c r="B50" s="136" t="s">
        <v>97</v>
      </c>
      <c r="C50" s="191">
        <v>4779</v>
      </c>
      <c r="D50" s="191">
        <v>316</v>
      </c>
      <c r="E50" s="191">
        <v>35398</v>
      </c>
      <c r="F50" s="191">
        <v>8329</v>
      </c>
      <c r="G50" s="191">
        <v>241</v>
      </c>
      <c r="H50" s="191">
        <v>120359</v>
      </c>
      <c r="I50" s="191">
        <v>5015</v>
      </c>
      <c r="J50" s="191">
        <v>0</v>
      </c>
      <c r="K50" s="191">
        <v>100</v>
      </c>
      <c r="L50" s="191">
        <v>110</v>
      </c>
      <c r="M50" s="191">
        <v>35</v>
      </c>
      <c r="N50" s="191">
        <v>216</v>
      </c>
      <c r="O50" s="191">
        <f t="shared" si="9"/>
        <v>174898</v>
      </c>
      <c r="P50" s="186"/>
      <c r="Q50" s="137">
        <v>0</v>
      </c>
      <c r="R50" s="138">
        <f t="shared" si="10"/>
        <v>0</v>
      </c>
      <c r="S50" s="137">
        <v>0</v>
      </c>
      <c r="T50" s="138">
        <f t="shared" si="11"/>
        <v>0</v>
      </c>
      <c r="U50" s="186"/>
      <c r="V50" s="137">
        <f t="shared" si="12"/>
        <v>174898</v>
      </c>
      <c r="W50" s="138">
        <v>2.5700000000000001E-2</v>
      </c>
      <c r="X50" s="137">
        <f t="shared" si="0"/>
        <v>43727</v>
      </c>
      <c r="Y50" s="138">
        <f t="shared" si="13"/>
        <v>2.4299999999999999E-2</v>
      </c>
      <c r="Z50" s="137">
        <f t="shared" si="1"/>
        <v>174196</v>
      </c>
      <c r="AA50" s="138">
        <f t="shared" si="14"/>
        <v>2.3E-2</v>
      </c>
      <c r="AB50" s="186"/>
      <c r="AC50" s="137">
        <f t="shared" si="26"/>
        <v>0</v>
      </c>
      <c r="AD50" s="138">
        <f t="shared" si="15"/>
        <v>0</v>
      </c>
      <c r="AE50" s="137">
        <f t="shared" si="28"/>
        <v>0</v>
      </c>
      <c r="AF50" s="138">
        <f t="shared" si="16"/>
        <v>0</v>
      </c>
      <c r="AG50" s="186"/>
      <c r="AH50" s="137">
        <f t="shared" si="17"/>
        <v>0</v>
      </c>
      <c r="AI50" s="138">
        <f t="shared" si="18"/>
        <v>0</v>
      </c>
      <c r="AJ50" s="137">
        <f t="shared" si="4"/>
        <v>0</v>
      </c>
      <c r="AK50" s="138">
        <f t="shared" si="19"/>
        <v>0</v>
      </c>
      <c r="AL50" s="137">
        <f t="shared" si="5"/>
        <v>0</v>
      </c>
      <c r="AM50" s="138">
        <f t="shared" si="24"/>
        <v>0</v>
      </c>
      <c r="AN50" s="139"/>
      <c r="AO50" s="137">
        <f t="shared" si="20"/>
        <v>174898</v>
      </c>
      <c r="AP50" s="138">
        <f t="shared" si="21"/>
        <v>1.3299999999999999E-2</v>
      </c>
      <c r="AQ50" s="140"/>
      <c r="AR50" s="137">
        <f t="shared" si="6"/>
        <v>174898</v>
      </c>
      <c r="AS50" s="138">
        <f t="shared" si="22"/>
        <v>9.2999999999999992E-3</v>
      </c>
      <c r="AT50" s="137">
        <f t="shared" si="7"/>
        <v>174682</v>
      </c>
      <c r="AU50" s="138">
        <f t="shared" si="23"/>
        <v>9.4000000000000004E-3</v>
      </c>
      <c r="AW50" s="192">
        <v>174898</v>
      </c>
      <c r="AX50" s="192">
        <f t="shared" si="8"/>
        <v>0</v>
      </c>
    </row>
    <row r="51" spans="1:50" ht="17.25" x14ac:dyDescent="0.3">
      <c r="A51" s="190" t="s">
        <v>202</v>
      </c>
      <c r="B51" s="136" t="s">
        <v>98</v>
      </c>
      <c r="C51" s="191">
        <v>2205</v>
      </c>
      <c r="D51" s="191">
        <v>258</v>
      </c>
      <c r="E51" s="191">
        <v>26004</v>
      </c>
      <c r="F51" s="191">
        <v>4986</v>
      </c>
      <c r="G51" s="191">
        <v>211</v>
      </c>
      <c r="H51" s="191">
        <v>119118</v>
      </c>
      <c r="I51" s="191">
        <v>4963</v>
      </c>
      <c r="J51" s="191">
        <v>2</v>
      </c>
      <c r="K51" s="191">
        <v>58</v>
      </c>
      <c r="L51" s="191">
        <v>71</v>
      </c>
      <c r="M51" s="191">
        <v>44</v>
      </c>
      <c r="N51" s="191">
        <v>135</v>
      </c>
      <c r="O51" s="191">
        <f t="shared" si="9"/>
        <v>158055</v>
      </c>
      <c r="P51" s="186"/>
      <c r="Q51" s="137">
        <v>0</v>
      </c>
      <c r="R51" s="138">
        <f t="shared" si="10"/>
        <v>0</v>
      </c>
      <c r="S51" s="137">
        <v>0</v>
      </c>
      <c r="T51" s="138">
        <f t="shared" si="11"/>
        <v>0</v>
      </c>
      <c r="U51" s="186"/>
      <c r="V51" s="137">
        <f t="shared" si="12"/>
        <v>158055</v>
      </c>
      <c r="W51" s="138">
        <v>2.12E-2</v>
      </c>
      <c r="X51" s="137">
        <f t="shared" si="0"/>
        <v>30990</v>
      </c>
      <c r="Y51" s="138">
        <f t="shared" si="13"/>
        <v>1.72E-2</v>
      </c>
      <c r="Z51" s="137">
        <f t="shared" si="1"/>
        <v>157471</v>
      </c>
      <c r="AA51" s="138">
        <f t="shared" si="14"/>
        <v>2.0799999999999999E-2</v>
      </c>
      <c r="AB51" s="186"/>
      <c r="AC51" s="137">
        <f t="shared" si="26"/>
        <v>0</v>
      </c>
      <c r="AD51" s="138">
        <f t="shared" si="15"/>
        <v>0</v>
      </c>
      <c r="AE51" s="137">
        <f t="shared" si="28"/>
        <v>0</v>
      </c>
      <c r="AF51" s="138">
        <f t="shared" si="16"/>
        <v>0</v>
      </c>
      <c r="AG51" s="186"/>
      <c r="AH51" s="137">
        <f t="shared" si="17"/>
        <v>0</v>
      </c>
      <c r="AI51" s="138">
        <f t="shared" si="18"/>
        <v>0</v>
      </c>
      <c r="AJ51" s="137">
        <f t="shared" si="4"/>
        <v>0</v>
      </c>
      <c r="AK51" s="138">
        <f t="shared" si="19"/>
        <v>0</v>
      </c>
      <c r="AL51" s="137">
        <f t="shared" si="5"/>
        <v>0</v>
      </c>
      <c r="AM51" s="138">
        <f t="shared" si="24"/>
        <v>0</v>
      </c>
      <c r="AN51" s="139"/>
      <c r="AO51" s="137">
        <f t="shared" si="20"/>
        <v>158055</v>
      </c>
      <c r="AP51" s="138">
        <f t="shared" si="21"/>
        <v>1.2E-2</v>
      </c>
      <c r="AQ51" s="140"/>
      <c r="AR51" s="137">
        <f t="shared" si="6"/>
        <v>158055</v>
      </c>
      <c r="AS51" s="138">
        <f t="shared" si="22"/>
        <v>8.3999999999999995E-3</v>
      </c>
      <c r="AT51" s="137">
        <f t="shared" si="7"/>
        <v>157920</v>
      </c>
      <c r="AU51" s="138">
        <f t="shared" si="23"/>
        <v>8.5000000000000006E-3</v>
      </c>
      <c r="AW51" s="192">
        <v>158055</v>
      </c>
      <c r="AX51" s="192">
        <f t="shared" si="8"/>
        <v>0</v>
      </c>
    </row>
    <row r="52" spans="1:50" ht="17.25" x14ac:dyDescent="0.3">
      <c r="A52" s="190" t="s">
        <v>203</v>
      </c>
      <c r="B52" s="136" t="s">
        <v>99</v>
      </c>
      <c r="C52" s="191">
        <v>10859</v>
      </c>
      <c r="D52" s="191">
        <v>579</v>
      </c>
      <c r="E52" s="191">
        <v>54332</v>
      </c>
      <c r="F52" s="191">
        <v>16336</v>
      </c>
      <c r="G52" s="191">
        <v>200</v>
      </c>
      <c r="H52" s="191">
        <v>235359</v>
      </c>
      <c r="I52" s="191">
        <v>9807</v>
      </c>
      <c r="J52" s="191">
        <v>51</v>
      </c>
      <c r="K52" s="191">
        <v>122</v>
      </c>
      <c r="L52" s="191">
        <v>102</v>
      </c>
      <c r="M52" s="191">
        <v>0</v>
      </c>
      <c r="N52" s="191">
        <v>136</v>
      </c>
      <c r="O52" s="191">
        <f t="shared" si="9"/>
        <v>327883</v>
      </c>
      <c r="P52" s="186"/>
      <c r="Q52" s="137">
        <v>0</v>
      </c>
      <c r="R52" s="142">
        <f>ROUND(Q52/Q$61,4)</f>
        <v>0</v>
      </c>
      <c r="S52" s="137">
        <v>0</v>
      </c>
      <c r="T52" s="138">
        <f t="shared" si="11"/>
        <v>0</v>
      </c>
      <c r="U52" s="186"/>
      <c r="V52" s="137">
        <f t="shared" si="12"/>
        <v>0</v>
      </c>
      <c r="W52" s="142">
        <v>0</v>
      </c>
      <c r="X52" s="137">
        <f t="shared" si="0"/>
        <v>0</v>
      </c>
      <c r="Y52" s="138">
        <f t="shared" si="13"/>
        <v>0</v>
      </c>
      <c r="Z52" s="137">
        <f t="shared" si="1"/>
        <v>0</v>
      </c>
      <c r="AA52" s="138">
        <f t="shared" si="14"/>
        <v>0</v>
      </c>
      <c r="AB52" s="186"/>
      <c r="AC52" s="137">
        <f t="shared" si="26"/>
        <v>327747</v>
      </c>
      <c r="AD52" s="141">
        <f>ROUNDDOWN(AC52/AC$61,4)</f>
        <v>5.9400000000000001E-2</v>
      </c>
      <c r="AE52" s="137">
        <f t="shared" si="28"/>
        <v>136</v>
      </c>
      <c r="AF52" s="138">
        <f>ROUND(AE52/AE$61,4)</f>
        <v>2.5600000000000001E-2</v>
      </c>
      <c r="AG52" s="186"/>
      <c r="AH52" s="137">
        <f t="shared" si="17"/>
        <v>327883</v>
      </c>
      <c r="AI52" s="138">
        <f t="shared" si="18"/>
        <v>2.9399999999999999E-2</v>
      </c>
      <c r="AJ52" s="137">
        <f t="shared" si="4"/>
        <v>327002</v>
      </c>
      <c r="AK52" s="141">
        <f>ROUNDDOWN(AJ52/AJ$61,4)</f>
        <v>2.9499999999999998E-2</v>
      </c>
      <c r="AL52" s="137">
        <f t="shared" si="5"/>
        <v>70668</v>
      </c>
      <c r="AM52" s="141">
        <f>ROUNDUP(AL52/AL$61,4)</f>
        <v>2.7199999999999998E-2</v>
      </c>
      <c r="AN52" s="139"/>
      <c r="AO52" s="137">
        <f t="shared" si="20"/>
        <v>327883</v>
      </c>
      <c r="AP52" s="138">
        <f t="shared" si="21"/>
        <v>2.5000000000000001E-2</v>
      </c>
      <c r="AQ52" s="140"/>
      <c r="AR52" s="137">
        <f t="shared" si="6"/>
        <v>327883</v>
      </c>
      <c r="AS52" s="138">
        <f t="shared" si="22"/>
        <v>1.7500000000000002E-2</v>
      </c>
      <c r="AT52" s="137">
        <f t="shared" si="7"/>
        <v>327747</v>
      </c>
      <c r="AU52" s="138">
        <f>ROUND(AT52/AT$61,4)</f>
        <v>1.7600000000000001E-2</v>
      </c>
      <c r="AW52" s="192">
        <v>327883</v>
      </c>
      <c r="AX52" s="192">
        <f t="shared" si="8"/>
        <v>0</v>
      </c>
    </row>
    <row r="53" spans="1:50" ht="17.25" x14ac:dyDescent="0.3">
      <c r="A53" s="190" t="s">
        <v>203</v>
      </c>
      <c r="B53" s="136" t="s">
        <v>100</v>
      </c>
      <c r="C53" s="191">
        <v>2157</v>
      </c>
      <c r="D53" s="191">
        <v>90</v>
      </c>
      <c r="E53" s="191">
        <v>8659</v>
      </c>
      <c r="F53" s="191">
        <v>2790</v>
      </c>
      <c r="G53" s="191">
        <v>63</v>
      </c>
      <c r="H53" s="191">
        <v>40860</v>
      </c>
      <c r="I53" s="191">
        <v>1703</v>
      </c>
      <c r="J53" s="191">
        <v>4</v>
      </c>
      <c r="K53" s="191">
        <v>16</v>
      </c>
      <c r="L53" s="191">
        <v>6</v>
      </c>
      <c r="M53" s="191">
        <v>52</v>
      </c>
      <c r="N53" s="191">
        <v>5</v>
      </c>
      <c r="O53" s="191">
        <f t="shared" si="9"/>
        <v>56405</v>
      </c>
      <c r="P53" s="186"/>
      <c r="Q53" s="137">
        <v>0</v>
      </c>
      <c r="R53" s="138">
        <f t="shared" si="10"/>
        <v>0</v>
      </c>
      <c r="S53" s="137">
        <v>0</v>
      </c>
      <c r="T53" s="138">
        <f t="shared" si="11"/>
        <v>0</v>
      </c>
      <c r="U53" s="186"/>
      <c r="V53" s="137">
        <f t="shared" si="12"/>
        <v>0</v>
      </c>
      <c r="W53" s="138">
        <v>0</v>
      </c>
      <c r="X53" s="137">
        <f t="shared" si="0"/>
        <v>0</v>
      </c>
      <c r="Y53" s="138">
        <f t="shared" si="13"/>
        <v>0</v>
      </c>
      <c r="Z53" s="137">
        <f t="shared" si="1"/>
        <v>0</v>
      </c>
      <c r="AA53" s="138">
        <f t="shared" si="14"/>
        <v>0</v>
      </c>
      <c r="AB53" s="186"/>
      <c r="AC53" s="137">
        <f t="shared" si="26"/>
        <v>56400</v>
      </c>
      <c r="AD53" s="138">
        <f t="shared" si="15"/>
        <v>1.0200000000000001E-2</v>
      </c>
      <c r="AE53" s="137">
        <f t="shared" si="28"/>
        <v>5</v>
      </c>
      <c r="AF53" s="138">
        <f t="shared" si="16"/>
        <v>8.9999999999999998E-4</v>
      </c>
      <c r="AG53" s="186"/>
      <c r="AH53" s="137">
        <f t="shared" si="17"/>
        <v>56405</v>
      </c>
      <c r="AI53" s="138">
        <f t="shared" si="18"/>
        <v>5.1000000000000004E-3</v>
      </c>
      <c r="AJ53" s="137">
        <f t="shared" si="4"/>
        <v>56194</v>
      </c>
      <c r="AK53" s="138">
        <f t="shared" si="19"/>
        <v>5.1000000000000004E-3</v>
      </c>
      <c r="AL53" s="137">
        <f t="shared" si="5"/>
        <v>11449</v>
      </c>
      <c r="AM53" s="138">
        <f t="shared" si="24"/>
        <v>4.4000000000000003E-3</v>
      </c>
      <c r="AN53" s="139"/>
      <c r="AO53" s="137">
        <f t="shared" si="20"/>
        <v>56405</v>
      </c>
      <c r="AP53" s="138">
        <f t="shared" si="21"/>
        <v>4.3E-3</v>
      </c>
      <c r="AQ53" s="140"/>
      <c r="AR53" s="137">
        <f t="shared" si="6"/>
        <v>56405</v>
      </c>
      <c r="AS53" s="138">
        <f t="shared" si="22"/>
        <v>3.0000000000000001E-3</v>
      </c>
      <c r="AT53" s="137">
        <f t="shared" si="7"/>
        <v>56400</v>
      </c>
      <c r="AU53" s="138">
        <f t="shared" si="23"/>
        <v>3.0000000000000001E-3</v>
      </c>
      <c r="AW53" s="192">
        <v>56405</v>
      </c>
      <c r="AX53" s="192">
        <f t="shared" si="8"/>
        <v>0</v>
      </c>
    </row>
    <row r="54" spans="1:50" ht="17.25" x14ac:dyDescent="0.3">
      <c r="A54" s="190" t="s">
        <v>203</v>
      </c>
      <c r="B54" s="136" t="s">
        <v>101</v>
      </c>
      <c r="C54" s="191">
        <v>1296</v>
      </c>
      <c r="D54" s="191">
        <v>112</v>
      </c>
      <c r="E54" s="191">
        <v>7291</v>
      </c>
      <c r="F54" s="191">
        <v>2264</v>
      </c>
      <c r="G54" s="191">
        <v>8</v>
      </c>
      <c r="H54" s="191">
        <v>27554</v>
      </c>
      <c r="I54" s="191">
        <v>1148</v>
      </c>
      <c r="J54" s="191">
        <v>0</v>
      </c>
      <c r="K54" s="191">
        <v>1</v>
      </c>
      <c r="L54" s="191">
        <v>14</v>
      </c>
      <c r="M54" s="191">
        <v>6</v>
      </c>
      <c r="N54" s="191">
        <v>28</v>
      </c>
      <c r="O54" s="191">
        <f t="shared" si="9"/>
        <v>39722</v>
      </c>
      <c r="P54" s="186"/>
      <c r="Q54" s="137">
        <v>0</v>
      </c>
      <c r="R54" s="138">
        <f t="shared" si="10"/>
        <v>0</v>
      </c>
      <c r="S54" s="137">
        <v>0</v>
      </c>
      <c r="T54" s="138">
        <f t="shared" si="11"/>
        <v>0</v>
      </c>
      <c r="U54" s="186"/>
      <c r="V54" s="137">
        <f t="shared" si="12"/>
        <v>0</v>
      </c>
      <c r="W54" s="138">
        <v>0</v>
      </c>
      <c r="X54" s="137">
        <f t="shared" si="0"/>
        <v>0</v>
      </c>
      <c r="Y54" s="138">
        <f t="shared" si="13"/>
        <v>0</v>
      </c>
      <c r="Z54" s="137">
        <f t="shared" si="1"/>
        <v>0</v>
      </c>
      <c r="AA54" s="138">
        <f t="shared" si="14"/>
        <v>0</v>
      </c>
      <c r="AB54" s="186"/>
      <c r="AC54" s="137">
        <f t="shared" si="26"/>
        <v>39694</v>
      </c>
      <c r="AD54" s="138">
        <f t="shared" si="15"/>
        <v>7.1999999999999998E-3</v>
      </c>
      <c r="AE54" s="137">
        <f t="shared" si="28"/>
        <v>28</v>
      </c>
      <c r="AF54" s="138">
        <f t="shared" si="16"/>
        <v>5.3E-3</v>
      </c>
      <c r="AG54" s="186"/>
      <c r="AH54" s="137">
        <f t="shared" si="17"/>
        <v>39722</v>
      </c>
      <c r="AI54" s="138">
        <f t="shared" si="18"/>
        <v>3.5999999999999999E-3</v>
      </c>
      <c r="AJ54" s="137">
        <f t="shared" si="4"/>
        <v>39582</v>
      </c>
      <c r="AK54" s="138">
        <f t="shared" si="19"/>
        <v>3.5999999999999999E-3</v>
      </c>
      <c r="AL54" s="137">
        <f t="shared" si="5"/>
        <v>9555</v>
      </c>
      <c r="AM54" s="138">
        <f t="shared" si="24"/>
        <v>3.7000000000000002E-3</v>
      </c>
      <c r="AN54" s="139"/>
      <c r="AO54" s="137">
        <f t="shared" si="20"/>
        <v>39722</v>
      </c>
      <c r="AP54" s="138">
        <f t="shared" si="21"/>
        <v>3.0000000000000001E-3</v>
      </c>
      <c r="AQ54" s="140"/>
      <c r="AR54" s="137">
        <f t="shared" si="6"/>
        <v>39722</v>
      </c>
      <c r="AS54" s="138">
        <f t="shared" si="22"/>
        <v>2.0999999999999999E-3</v>
      </c>
      <c r="AT54" s="137">
        <f t="shared" si="7"/>
        <v>39694</v>
      </c>
      <c r="AU54" s="138">
        <f t="shared" si="23"/>
        <v>2.0999999999999999E-3</v>
      </c>
      <c r="AW54" s="192">
        <v>39722</v>
      </c>
      <c r="AX54" s="192">
        <f t="shared" si="8"/>
        <v>0</v>
      </c>
    </row>
    <row r="55" spans="1:50" ht="17.25" x14ac:dyDescent="0.3">
      <c r="A55" s="190" t="s">
        <v>203</v>
      </c>
      <c r="B55" s="136" t="s">
        <v>102</v>
      </c>
      <c r="C55" s="191">
        <v>206</v>
      </c>
      <c r="D55" s="191">
        <v>22</v>
      </c>
      <c r="E55" s="191">
        <v>1552</v>
      </c>
      <c r="F55" s="191">
        <v>382</v>
      </c>
      <c r="G55" s="191">
        <v>1</v>
      </c>
      <c r="H55" s="191">
        <v>5040</v>
      </c>
      <c r="I55" s="191">
        <v>210</v>
      </c>
      <c r="J55" s="191">
        <v>0</v>
      </c>
      <c r="K55" s="191">
        <v>0</v>
      </c>
      <c r="L55" s="191">
        <v>4</v>
      </c>
      <c r="M55" s="191">
        <v>0</v>
      </c>
      <c r="N55" s="191">
        <v>5</v>
      </c>
      <c r="O55" s="191">
        <f t="shared" si="9"/>
        <v>7422</v>
      </c>
      <c r="P55" s="186"/>
      <c r="Q55" s="137">
        <v>0</v>
      </c>
      <c r="R55" s="138">
        <f t="shared" si="10"/>
        <v>0</v>
      </c>
      <c r="S55" s="137">
        <v>0</v>
      </c>
      <c r="T55" s="138">
        <f t="shared" si="11"/>
        <v>0</v>
      </c>
      <c r="U55" s="186"/>
      <c r="V55" s="137">
        <f t="shared" si="12"/>
        <v>0</v>
      </c>
      <c r="W55" s="138">
        <v>0</v>
      </c>
      <c r="X55" s="137">
        <f t="shared" si="0"/>
        <v>0</v>
      </c>
      <c r="Y55" s="138">
        <f t="shared" si="13"/>
        <v>0</v>
      </c>
      <c r="Z55" s="137">
        <f t="shared" si="1"/>
        <v>0</v>
      </c>
      <c r="AA55" s="138">
        <f t="shared" si="14"/>
        <v>0</v>
      </c>
      <c r="AB55" s="186"/>
      <c r="AC55" s="137">
        <f t="shared" si="26"/>
        <v>7417</v>
      </c>
      <c r="AD55" s="138">
        <f t="shared" si="15"/>
        <v>1.2999999999999999E-3</v>
      </c>
      <c r="AE55" s="137">
        <f t="shared" si="28"/>
        <v>5</v>
      </c>
      <c r="AF55" s="138">
        <f t="shared" si="16"/>
        <v>8.9999999999999998E-4</v>
      </c>
      <c r="AG55" s="186"/>
      <c r="AH55" s="137">
        <f t="shared" si="17"/>
        <v>7422</v>
      </c>
      <c r="AI55" s="138">
        <f t="shared" si="18"/>
        <v>6.9999999999999999E-4</v>
      </c>
      <c r="AJ55" s="137">
        <f t="shared" si="4"/>
        <v>7395</v>
      </c>
      <c r="AK55" s="138">
        <f t="shared" si="19"/>
        <v>6.9999999999999999E-4</v>
      </c>
      <c r="AL55" s="137">
        <f t="shared" si="5"/>
        <v>1934</v>
      </c>
      <c r="AM55" s="138">
        <f t="shared" si="24"/>
        <v>6.9999999999999999E-4</v>
      </c>
      <c r="AN55" s="139"/>
      <c r="AO55" s="137">
        <f t="shared" si="20"/>
        <v>7422</v>
      </c>
      <c r="AP55" s="138">
        <f t="shared" si="21"/>
        <v>5.9999999999999995E-4</v>
      </c>
      <c r="AQ55" s="140"/>
      <c r="AR55" s="137">
        <f t="shared" si="6"/>
        <v>7422</v>
      </c>
      <c r="AS55" s="138">
        <f t="shared" si="22"/>
        <v>4.0000000000000002E-4</v>
      </c>
      <c r="AT55" s="137">
        <f t="shared" si="7"/>
        <v>7417</v>
      </c>
      <c r="AU55" s="138">
        <f t="shared" si="23"/>
        <v>4.0000000000000002E-4</v>
      </c>
      <c r="AW55" s="192">
        <v>7422</v>
      </c>
      <c r="AX55" s="192">
        <f t="shared" si="8"/>
        <v>0</v>
      </c>
    </row>
    <row r="56" spans="1:50" ht="17.25" x14ac:dyDescent="0.3">
      <c r="A56" s="190" t="s">
        <v>202</v>
      </c>
      <c r="B56" s="136" t="s">
        <v>103</v>
      </c>
      <c r="C56" s="191">
        <v>16709</v>
      </c>
      <c r="D56" s="191">
        <v>736</v>
      </c>
      <c r="E56" s="191">
        <v>83818</v>
      </c>
      <c r="F56" s="191">
        <v>21761</v>
      </c>
      <c r="G56" s="191">
        <v>532</v>
      </c>
      <c r="H56" s="191">
        <v>251330</v>
      </c>
      <c r="I56" s="191">
        <v>10472</v>
      </c>
      <c r="J56" s="191">
        <v>1</v>
      </c>
      <c r="K56" s="191">
        <v>138</v>
      </c>
      <c r="L56" s="191">
        <v>436</v>
      </c>
      <c r="M56" s="191">
        <v>0</v>
      </c>
      <c r="N56" s="191">
        <v>252</v>
      </c>
      <c r="O56" s="191">
        <f t="shared" si="9"/>
        <v>386185</v>
      </c>
      <c r="P56" s="186"/>
      <c r="Q56" s="137">
        <v>0</v>
      </c>
      <c r="R56" s="138">
        <f t="shared" si="10"/>
        <v>0</v>
      </c>
      <c r="S56" s="137">
        <v>0</v>
      </c>
      <c r="T56" s="138">
        <f t="shared" si="11"/>
        <v>0</v>
      </c>
      <c r="U56" s="186"/>
      <c r="V56" s="137">
        <f t="shared" si="12"/>
        <v>386185</v>
      </c>
      <c r="W56" s="138">
        <v>5.3800000000000001E-2</v>
      </c>
      <c r="X56" s="137">
        <f t="shared" si="0"/>
        <v>105579</v>
      </c>
      <c r="Y56" s="138">
        <f t="shared" si="13"/>
        <v>5.8599999999999999E-2</v>
      </c>
      <c r="Z56" s="137">
        <f t="shared" si="1"/>
        <v>384481</v>
      </c>
      <c r="AA56" s="138">
        <f t="shared" si="14"/>
        <v>5.0799999999999998E-2</v>
      </c>
      <c r="AB56" s="186"/>
      <c r="AC56" s="137">
        <f t="shared" si="26"/>
        <v>0</v>
      </c>
      <c r="AD56" s="138">
        <f t="shared" si="15"/>
        <v>0</v>
      </c>
      <c r="AE56" s="137">
        <f t="shared" si="28"/>
        <v>0</v>
      </c>
      <c r="AF56" s="138">
        <f t="shared" si="16"/>
        <v>0</v>
      </c>
      <c r="AG56" s="186"/>
      <c r="AH56" s="137">
        <f t="shared" si="17"/>
        <v>0</v>
      </c>
      <c r="AI56" s="138">
        <f t="shared" si="18"/>
        <v>0</v>
      </c>
      <c r="AJ56" s="137">
        <f t="shared" si="4"/>
        <v>0</v>
      </c>
      <c r="AK56" s="138">
        <f t="shared" si="19"/>
        <v>0</v>
      </c>
      <c r="AL56" s="137">
        <f t="shared" si="5"/>
        <v>0</v>
      </c>
      <c r="AM56" s="138">
        <f t="shared" si="24"/>
        <v>0</v>
      </c>
      <c r="AN56" s="139"/>
      <c r="AO56" s="137">
        <f t="shared" si="20"/>
        <v>386185</v>
      </c>
      <c r="AP56" s="138">
        <f t="shared" si="21"/>
        <v>2.9399999999999999E-2</v>
      </c>
      <c r="AQ56" s="140"/>
      <c r="AR56" s="137">
        <f t="shared" si="6"/>
        <v>386185</v>
      </c>
      <c r="AS56" s="141">
        <f>ROUNDUP(AR56/AR$61,4)</f>
        <v>2.07E-2</v>
      </c>
      <c r="AT56" s="137">
        <f t="shared" si="7"/>
        <v>385933</v>
      </c>
      <c r="AU56" s="138">
        <f t="shared" si="23"/>
        <v>2.07E-2</v>
      </c>
      <c r="AW56" s="192">
        <v>386185</v>
      </c>
      <c r="AX56" s="192">
        <f t="shared" si="8"/>
        <v>0</v>
      </c>
    </row>
    <row r="57" spans="1:50" ht="17.25" x14ac:dyDescent="0.3">
      <c r="A57" s="190" t="s">
        <v>203</v>
      </c>
      <c r="B57" s="136" t="s">
        <v>104</v>
      </c>
      <c r="C57" s="191">
        <v>370</v>
      </c>
      <c r="D57" s="191">
        <v>68</v>
      </c>
      <c r="E57" s="191">
        <v>3919</v>
      </c>
      <c r="F57" s="191">
        <v>893</v>
      </c>
      <c r="G57" s="191">
        <v>3</v>
      </c>
      <c r="H57" s="191">
        <v>13416</v>
      </c>
      <c r="I57" s="191">
        <v>559</v>
      </c>
      <c r="J57" s="191">
        <v>0</v>
      </c>
      <c r="K57" s="191">
        <v>0</v>
      </c>
      <c r="L57" s="191">
        <v>11</v>
      </c>
      <c r="M57" s="191">
        <v>1</v>
      </c>
      <c r="N57" s="191">
        <v>1</v>
      </c>
      <c r="O57" s="191">
        <f t="shared" si="9"/>
        <v>19241</v>
      </c>
      <c r="P57" s="186"/>
      <c r="Q57" s="137">
        <v>0</v>
      </c>
      <c r="R57" s="138">
        <f t="shared" si="10"/>
        <v>0</v>
      </c>
      <c r="S57" s="137">
        <v>0</v>
      </c>
      <c r="T57" s="138">
        <f t="shared" si="11"/>
        <v>0</v>
      </c>
      <c r="U57" s="186"/>
      <c r="V57" s="137">
        <f t="shared" si="12"/>
        <v>0</v>
      </c>
      <c r="W57" s="138">
        <v>0</v>
      </c>
      <c r="X57" s="137">
        <f t="shared" si="0"/>
        <v>0</v>
      </c>
      <c r="Y57" s="138">
        <f t="shared" si="13"/>
        <v>0</v>
      </c>
      <c r="Z57" s="137">
        <f t="shared" si="1"/>
        <v>0</v>
      </c>
      <c r="AA57" s="138">
        <f t="shared" si="14"/>
        <v>0</v>
      </c>
      <c r="AB57" s="186"/>
      <c r="AC57" s="137">
        <f t="shared" si="26"/>
        <v>19240</v>
      </c>
      <c r="AD57" s="138">
        <f t="shared" si="15"/>
        <v>3.5000000000000001E-3</v>
      </c>
      <c r="AE57" s="137">
        <f t="shared" si="28"/>
        <v>1</v>
      </c>
      <c r="AF57" s="138">
        <f t="shared" si="16"/>
        <v>2.0000000000000001E-4</v>
      </c>
      <c r="AG57" s="186"/>
      <c r="AH57" s="137">
        <f t="shared" si="17"/>
        <v>19241</v>
      </c>
      <c r="AI57" s="138">
        <f t="shared" si="18"/>
        <v>1.6999999999999999E-3</v>
      </c>
      <c r="AJ57" s="137">
        <f t="shared" si="4"/>
        <v>19158</v>
      </c>
      <c r="AK57" s="138">
        <f t="shared" si="19"/>
        <v>1.6999999999999999E-3</v>
      </c>
      <c r="AL57" s="137">
        <f t="shared" si="5"/>
        <v>4812</v>
      </c>
      <c r="AM57" s="138">
        <f t="shared" si="24"/>
        <v>1.8E-3</v>
      </c>
      <c r="AN57" s="139"/>
      <c r="AO57" s="137">
        <f t="shared" si="20"/>
        <v>19241</v>
      </c>
      <c r="AP57" s="138">
        <f t="shared" si="21"/>
        <v>1.5E-3</v>
      </c>
      <c r="AQ57" s="140"/>
      <c r="AR57" s="137">
        <f t="shared" si="6"/>
        <v>19241</v>
      </c>
      <c r="AS57" s="138">
        <f t="shared" si="22"/>
        <v>1E-3</v>
      </c>
      <c r="AT57" s="137">
        <f t="shared" si="7"/>
        <v>19240</v>
      </c>
      <c r="AU57" s="138">
        <f t="shared" si="23"/>
        <v>1E-3</v>
      </c>
      <c r="AW57" s="192">
        <v>19241</v>
      </c>
      <c r="AX57" s="192">
        <f t="shared" si="8"/>
        <v>0</v>
      </c>
    </row>
    <row r="58" spans="1:50" ht="17.25" x14ac:dyDescent="0.3">
      <c r="A58" s="190" t="s">
        <v>202</v>
      </c>
      <c r="B58" s="136" t="s">
        <v>105</v>
      </c>
      <c r="C58" s="191">
        <v>5912</v>
      </c>
      <c r="D58" s="191">
        <v>404</v>
      </c>
      <c r="E58" s="191">
        <v>56397</v>
      </c>
      <c r="F58" s="191">
        <v>9717</v>
      </c>
      <c r="G58" s="191">
        <v>320</v>
      </c>
      <c r="H58" s="191">
        <v>227711</v>
      </c>
      <c r="I58" s="191">
        <v>9488</v>
      </c>
      <c r="J58" s="191">
        <v>2</v>
      </c>
      <c r="K58" s="191">
        <v>130</v>
      </c>
      <c r="L58" s="191">
        <v>742</v>
      </c>
      <c r="M58" s="191">
        <v>0</v>
      </c>
      <c r="N58" s="191">
        <v>141</v>
      </c>
      <c r="O58" s="191">
        <f t="shared" si="9"/>
        <v>310964</v>
      </c>
      <c r="P58" s="186"/>
      <c r="Q58" s="137">
        <v>0</v>
      </c>
      <c r="R58" s="138">
        <f t="shared" si="10"/>
        <v>0</v>
      </c>
      <c r="S58" s="137">
        <v>0</v>
      </c>
      <c r="T58" s="138">
        <f t="shared" si="11"/>
        <v>0</v>
      </c>
      <c r="U58" s="186"/>
      <c r="V58" s="137">
        <f t="shared" si="12"/>
        <v>310964</v>
      </c>
      <c r="W58" s="138">
        <v>4.1300000000000003E-2</v>
      </c>
      <c r="X58" s="137">
        <f t="shared" si="0"/>
        <v>66114</v>
      </c>
      <c r="Y58" s="138">
        <f t="shared" si="13"/>
        <v>3.6700000000000003E-2</v>
      </c>
      <c r="Z58" s="137">
        <f t="shared" si="1"/>
        <v>309498</v>
      </c>
      <c r="AA58" s="138">
        <f>ROUND(Z58/Z$61,4)</f>
        <v>4.0899999999999999E-2</v>
      </c>
      <c r="AB58" s="186"/>
      <c r="AC58" s="137">
        <f t="shared" si="26"/>
        <v>0</v>
      </c>
      <c r="AD58" s="138">
        <f t="shared" si="15"/>
        <v>0</v>
      </c>
      <c r="AE58" s="137">
        <f t="shared" si="28"/>
        <v>0</v>
      </c>
      <c r="AF58" s="138">
        <f t="shared" si="16"/>
        <v>0</v>
      </c>
      <c r="AG58" s="186"/>
      <c r="AH58" s="137">
        <f t="shared" si="17"/>
        <v>0</v>
      </c>
      <c r="AI58" s="138">
        <f t="shared" si="18"/>
        <v>0</v>
      </c>
      <c r="AJ58" s="137">
        <f t="shared" si="4"/>
        <v>0</v>
      </c>
      <c r="AK58" s="138">
        <f t="shared" si="19"/>
        <v>0</v>
      </c>
      <c r="AL58" s="137">
        <f t="shared" si="5"/>
        <v>0</v>
      </c>
      <c r="AM58" s="138">
        <f t="shared" si="24"/>
        <v>0</v>
      </c>
      <c r="AN58" s="139"/>
      <c r="AO58" s="137">
        <f t="shared" si="20"/>
        <v>310964</v>
      </c>
      <c r="AP58" s="138">
        <f t="shared" si="21"/>
        <v>2.3699999999999999E-2</v>
      </c>
      <c r="AQ58" s="140"/>
      <c r="AR58" s="137">
        <f t="shared" si="6"/>
        <v>310964</v>
      </c>
      <c r="AS58" s="138">
        <f t="shared" si="22"/>
        <v>1.66E-2</v>
      </c>
      <c r="AT58" s="137">
        <f t="shared" si="7"/>
        <v>310823</v>
      </c>
      <c r="AU58" s="138">
        <f t="shared" si="23"/>
        <v>1.67E-2</v>
      </c>
      <c r="AW58" s="192">
        <v>310964</v>
      </c>
      <c r="AX58" s="192">
        <f t="shared" si="8"/>
        <v>0</v>
      </c>
    </row>
    <row r="59" spans="1:50" ht="17.25" x14ac:dyDescent="0.3">
      <c r="A59" s="190" t="s">
        <v>202</v>
      </c>
      <c r="B59" s="136" t="s">
        <v>106</v>
      </c>
      <c r="C59" s="191">
        <v>1731</v>
      </c>
      <c r="D59" s="191">
        <v>308</v>
      </c>
      <c r="E59" s="191">
        <v>16948</v>
      </c>
      <c r="F59" s="191">
        <v>3402</v>
      </c>
      <c r="G59" s="191">
        <v>230</v>
      </c>
      <c r="H59" s="191">
        <v>55594</v>
      </c>
      <c r="I59" s="191">
        <v>2316</v>
      </c>
      <c r="J59" s="191">
        <v>20</v>
      </c>
      <c r="K59" s="191">
        <v>82</v>
      </c>
      <c r="L59" s="191">
        <v>60</v>
      </c>
      <c r="M59" s="191">
        <v>2</v>
      </c>
      <c r="N59" s="191">
        <v>40</v>
      </c>
      <c r="O59" s="191">
        <f t="shared" si="9"/>
        <v>80733</v>
      </c>
      <c r="P59" s="186"/>
      <c r="Q59" s="137">
        <v>0</v>
      </c>
      <c r="R59" s="138">
        <f t="shared" si="10"/>
        <v>0</v>
      </c>
      <c r="S59" s="137">
        <v>0</v>
      </c>
      <c r="T59" s="138">
        <f t="shared" si="11"/>
        <v>0</v>
      </c>
      <c r="U59" s="186"/>
      <c r="V59" s="137">
        <f t="shared" si="12"/>
        <v>80733</v>
      </c>
      <c r="W59" s="138">
        <v>1.18E-2</v>
      </c>
      <c r="X59" s="137">
        <f t="shared" si="0"/>
        <v>20350</v>
      </c>
      <c r="Y59" s="138">
        <f t="shared" si="13"/>
        <v>1.1299999999999999E-2</v>
      </c>
      <c r="Z59" s="137">
        <f t="shared" si="1"/>
        <v>80133</v>
      </c>
      <c r="AA59" s="138">
        <f t="shared" si="14"/>
        <v>1.06E-2</v>
      </c>
      <c r="AB59" s="186"/>
      <c r="AC59" s="137">
        <f t="shared" si="26"/>
        <v>0</v>
      </c>
      <c r="AD59" s="138">
        <f t="shared" si="15"/>
        <v>0</v>
      </c>
      <c r="AE59" s="137">
        <f t="shared" si="28"/>
        <v>0</v>
      </c>
      <c r="AF59" s="138">
        <f t="shared" si="16"/>
        <v>0</v>
      </c>
      <c r="AG59" s="186"/>
      <c r="AH59" s="137">
        <f t="shared" si="17"/>
        <v>0</v>
      </c>
      <c r="AI59" s="138">
        <f t="shared" si="18"/>
        <v>0</v>
      </c>
      <c r="AJ59" s="137">
        <f t="shared" si="4"/>
        <v>0</v>
      </c>
      <c r="AK59" s="138">
        <f t="shared" si="19"/>
        <v>0</v>
      </c>
      <c r="AL59" s="137">
        <f t="shared" si="5"/>
        <v>0</v>
      </c>
      <c r="AM59" s="138">
        <f t="shared" si="24"/>
        <v>0</v>
      </c>
      <c r="AN59" s="139"/>
      <c r="AO59" s="137">
        <f t="shared" si="20"/>
        <v>80733</v>
      </c>
      <c r="AP59" s="138">
        <f t="shared" si="21"/>
        <v>6.1999999999999998E-3</v>
      </c>
      <c r="AQ59" s="140"/>
      <c r="AR59" s="137">
        <f t="shared" si="6"/>
        <v>80733</v>
      </c>
      <c r="AS59" s="138">
        <f t="shared" si="22"/>
        <v>4.3E-3</v>
      </c>
      <c r="AT59" s="137">
        <f t="shared" si="7"/>
        <v>80693</v>
      </c>
      <c r="AU59" s="138">
        <f t="shared" si="23"/>
        <v>4.3E-3</v>
      </c>
      <c r="AW59" s="192">
        <v>80733</v>
      </c>
      <c r="AX59" s="192">
        <f t="shared" si="8"/>
        <v>0</v>
      </c>
    </row>
    <row r="60" spans="1:50" ht="17.25" x14ac:dyDescent="0.3">
      <c r="A60" s="190" t="s">
        <v>203</v>
      </c>
      <c r="B60" s="136" t="s">
        <v>107</v>
      </c>
      <c r="C60" s="191">
        <v>2109</v>
      </c>
      <c r="D60" s="191">
        <v>113</v>
      </c>
      <c r="E60" s="191">
        <v>10528</v>
      </c>
      <c r="F60" s="191">
        <v>3374</v>
      </c>
      <c r="G60" s="191">
        <v>35</v>
      </c>
      <c r="H60" s="191">
        <v>32667</v>
      </c>
      <c r="I60" s="191">
        <v>1361</v>
      </c>
      <c r="J60" s="191">
        <v>0</v>
      </c>
      <c r="K60" s="191">
        <v>6</v>
      </c>
      <c r="L60" s="191">
        <v>8</v>
      </c>
      <c r="M60" s="191">
        <v>10</v>
      </c>
      <c r="N60" s="191">
        <v>17</v>
      </c>
      <c r="O60" s="191">
        <f t="shared" si="9"/>
        <v>50228</v>
      </c>
      <c r="P60" s="186"/>
      <c r="Q60" s="137">
        <v>0</v>
      </c>
      <c r="R60" s="138">
        <f t="shared" si="10"/>
        <v>0</v>
      </c>
      <c r="S60" s="137">
        <v>0</v>
      </c>
      <c r="T60" s="138">
        <f t="shared" si="11"/>
        <v>0</v>
      </c>
      <c r="U60" s="186"/>
      <c r="V60" s="137">
        <f t="shared" si="12"/>
        <v>0</v>
      </c>
      <c r="W60" s="138">
        <v>0</v>
      </c>
      <c r="X60" s="137">
        <f t="shared" si="0"/>
        <v>0</v>
      </c>
      <c r="Y60" s="138">
        <f t="shared" si="13"/>
        <v>0</v>
      </c>
      <c r="Z60" s="137">
        <f t="shared" si="1"/>
        <v>0</v>
      </c>
      <c r="AA60" s="138">
        <f t="shared" si="14"/>
        <v>0</v>
      </c>
      <c r="AB60" s="186"/>
      <c r="AC60" s="137">
        <f t="shared" si="26"/>
        <v>50211</v>
      </c>
      <c r="AD60" s="138">
        <f t="shared" si="15"/>
        <v>9.1000000000000004E-3</v>
      </c>
      <c r="AE60" s="137">
        <f t="shared" si="28"/>
        <v>17</v>
      </c>
      <c r="AF60" s="138">
        <f t="shared" si="16"/>
        <v>3.2000000000000002E-3</v>
      </c>
      <c r="AG60" s="186"/>
      <c r="AH60" s="137">
        <f t="shared" si="17"/>
        <v>50228</v>
      </c>
      <c r="AI60" s="138">
        <f t="shared" si="18"/>
        <v>4.4999999999999997E-3</v>
      </c>
      <c r="AJ60" s="137">
        <f t="shared" si="4"/>
        <v>50062</v>
      </c>
      <c r="AK60" s="138">
        <f t="shared" si="19"/>
        <v>4.4999999999999997E-3</v>
      </c>
      <c r="AL60" s="137">
        <f t="shared" si="5"/>
        <v>13902</v>
      </c>
      <c r="AM60" s="138">
        <f t="shared" si="24"/>
        <v>5.3E-3</v>
      </c>
      <c r="AN60" s="139"/>
      <c r="AO60" s="137">
        <f t="shared" si="20"/>
        <v>50228</v>
      </c>
      <c r="AP60" s="138">
        <f t="shared" si="21"/>
        <v>3.8E-3</v>
      </c>
      <c r="AQ60" s="140"/>
      <c r="AR60" s="137">
        <f t="shared" si="6"/>
        <v>50228</v>
      </c>
      <c r="AS60" s="138">
        <f t="shared" si="22"/>
        <v>2.7000000000000001E-3</v>
      </c>
      <c r="AT60" s="137">
        <f t="shared" si="7"/>
        <v>50211</v>
      </c>
      <c r="AU60" s="138">
        <f t="shared" si="23"/>
        <v>2.7000000000000001E-3</v>
      </c>
      <c r="AW60" s="192">
        <v>50228</v>
      </c>
      <c r="AX60" s="192">
        <f t="shared" si="8"/>
        <v>0</v>
      </c>
    </row>
    <row r="61" spans="1:50" x14ac:dyDescent="0.25">
      <c r="B61" s="186"/>
      <c r="C61" s="193">
        <f>SUM(C3:C60)</f>
        <v>533372</v>
      </c>
      <c r="D61" s="193">
        <f t="shared" ref="D61:O61" si="29">SUM(D3:D60)</f>
        <v>35605</v>
      </c>
      <c r="E61" s="193">
        <f t="shared" si="29"/>
        <v>3434729</v>
      </c>
      <c r="F61" s="193">
        <f t="shared" si="29"/>
        <v>975481</v>
      </c>
      <c r="G61" s="193">
        <f t="shared" si="29"/>
        <v>34466</v>
      </c>
      <c r="H61" s="193">
        <f t="shared" si="29"/>
        <v>13016026</v>
      </c>
      <c r="I61" s="193">
        <f t="shared" si="29"/>
        <v>542335</v>
      </c>
      <c r="J61" s="193">
        <f t="shared" si="29"/>
        <v>1372</v>
      </c>
      <c r="K61" s="193">
        <f t="shared" si="29"/>
        <v>14943</v>
      </c>
      <c r="L61" s="193">
        <f t="shared" si="29"/>
        <v>23342</v>
      </c>
      <c r="M61" s="193">
        <f t="shared" si="29"/>
        <v>604</v>
      </c>
      <c r="N61" s="193">
        <f t="shared" si="29"/>
        <v>130109</v>
      </c>
      <c r="O61" s="193">
        <f t="shared" si="29"/>
        <v>18742384</v>
      </c>
      <c r="P61" s="186"/>
      <c r="Q61" s="145">
        <f t="shared" ref="Q61:T61" si="30">SUM(Q3:Q60)</f>
        <v>5522914</v>
      </c>
      <c r="R61" s="146">
        <f t="shared" si="30"/>
        <v>1</v>
      </c>
      <c r="S61" s="145">
        <f t="shared" si="30"/>
        <v>98529</v>
      </c>
      <c r="T61" s="146">
        <f t="shared" si="30"/>
        <v>1</v>
      </c>
      <c r="U61" s="186"/>
      <c r="V61" s="145">
        <f t="shared" ref="V61:AA61" si="31">SUM(V3:V60)</f>
        <v>7603021</v>
      </c>
      <c r="W61" s="146">
        <f t="shared" si="31"/>
        <v>0.99999999999999989</v>
      </c>
      <c r="X61" s="145">
        <f t="shared" si="31"/>
        <v>1802987</v>
      </c>
      <c r="Y61" s="146">
        <f t="shared" si="31"/>
        <v>1</v>
      </c>
      <c r="Z61" s="145">
        <f t="shared" si="31"/>
        <v>7568655</v>
      </c>
      <c r="AA61" s="146">
        <f t="shared" si="31"/>
        <v>1</v>
      </c>
      <c r="AB61" s="186"/>
      <c r="AC61" s="145">
        <f t="shared" ref="AC61:AF61" si="32">SUM(AC3:AC60)</f>
        <v>5512462</v>
      </c>
      <c r="AD61" s="146">
        <f t="shared" si="32"/>
        <v>1</v>
      </c>
      <c r="AE61" s="145">
        <f t="shared" si="32"/>
        <v>5308</v>
      </c>
      <c r="AF61" s="146">
        <f t="shared" si="32"/>
        <v>1.0000000000000002</v>
      </c>
      <c r="AG61" s="186"/>
      <c r="AH61" s="145">
        <f>SUM(AH3:AH60)</f>
        <v>11139363</v>
      </c>
      <c r="AI61" s="146">
        <f>SUM(AI3:AI60)</f>
        <v>1.0000000000000002</v>
      </c>
      <c r="AJ61" s="145">
        <f>SUM(AJ3:AJ60)</f>
        <v>11079712</v>
      </c>
      <c r="AK61" s="146">
        <f>SUM(AK3:AK60)</f>
        <v>1.0000000000000002</v>
      </c>
      <c r="AL61" s="145">
        <f t="shared" ref="AL61:AM61" si="33">SUM(AL3:AL60)</f>
        <v>2607223</v>
      </c>
      <c r="AM61" s="146">
        <f t="shared" si="33"/>
        <v>1.0000000000000004</v>
      </c>
      <c r="AN61" s="147"/>
      <c r="AO61" s="145">
        <f t="shared" ref="AO61:AP61" si="34">SUM(AO3:AO60)</f>
        <v>13120941</v>
      </c>
      <c r="AP61" s="146">
        <f t="shared" si="34"/>
        <v>1</v>
      </c>
      <c r="AQ61" s="186"/>
      <c r="AR61" s="145">
        <f>SUM(AR3:AR60)</f>
        <v>18742384</v>
      </c>
      <c r="AS61" s="146">
        <f>SUM(AS3:AS60)</f>
        <v>0.99999999999999978</v>
      </c>
      <c r="AT61" s="145">
        <f>SUM(AT3:AT60)</f>
        <v>18612275</v>
      </c>
      <c r="AU61" s="146">
        <f>SUM(AU3:AU60)</f>
        <v>1</v>
      </c>
      <c r="AW61" s="194">
        <f>SUM(AW3:AW60)</f>
        <v>18742384</v>
      </c>
      <c r="AX61" s="194">
        <f>SUM(AX3:AX60)</f>
        <v>0</v>
      </c>
    </row>
    <row r="62" spans="1:50" x14ac:dyDescent="0.25">
      <c r="A62" s="195">
        <f>COUNTIF(A3:A60,"CA")</f>
        <v>40</v>
      </c>
      <c r="B62" s="186"/>
      <c r="C62" s="196">
        <f>ROUND(C61/$O$61,4)</f>
        <v>2.8500000000000001E-2</v>
      </c>
      <c r="D62" s="196">
        <f>ROUND(D61/$O$61,4)</f>
        <v>1.9E-3</v>
      </c>
      <c r="E62" s="196">
        <f>ROUND(E61/$O$61,4)</f>
        <v>0.18329999999999999</v>
      </c>
      <c r="F62" s="196">
        <f>ROUND(F61/$O$61,4)</f>
        <v>5.1999999999999998E-2</v>
      </c>
      <c r="G62" s="196">
        <f>ROUND(G61/$O$61,4)</f>
        <v>1.8E-3</v>
      </c>
      <c r="H62" s="197">
        <f>ROUNDUP(H61/$O$61,4)+0.0001</f>
        <v>0.6946</v>
      </c>
      <c r="I62" s="196">
        <f t="shared" ref="I62:N62" si="35">ROUND(I61/$O$61,4)</f>
        <v>2.8899999999999999E-2</v>
      </c>
      <c r="J62" s="196">
        <f t="shared" si="35"/>
        <v>1E-4</v>
      </c>
      <c r="K62" s="196">
        <f t="shared" si="35"/>
        <v>8.0000000000000004E-4</v>
      </c>
      <c r="L62" s="196">
        <f t="shared" si="35"/>
        <v>1.1999999999999999E-3</v>
      </c>
      <c r="M62" s="196">
        <f t="shared" si="35"/>
        <v>0</v>
      </c>
      <c r="N62" s="196">
        <f t="shared" si="35"/>
        <v>6.8999999999999999E-3</v>
      </c>
      <c r="O62" s="198">
        <f>SUM(C62:N62)</f>
        <v>1</v>
      </c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W62" s="199">
        <f>O61</f>
        <v>18742384</v>
      </c>
    </row>
    <row r="63" spans="1:50" ht="17.25" hidden="1" x14ac:dyDescent="0.3">
      <c r="A63" s="195">
        <f>COUNTIF(A3:A60,"CW")</f>
        <v>18</v>
      </c>
      <c r="B63" s="186"/>
      <c r="C63" s="200"/>
      <c r="D63" s="200"/>
      <c r="E63" s="371">
        <f>E62+F62</f>
        <v>0.23529999999999998</v>
      </c>
      <c r="F63" s="372"/>
      <c r="G63" s="200"/>
      <c r="H63" s="201"/>
      <c r="I63" s="201"/>
      <c r="J63" s="200"/>
      <c r="K63" s="200"/>
      <c r="L63" s="200"/>
      <c r="M63" s="200"/>
      <c r="N63" s="200"/>
      <c r="O63" s="200"/>
      <c r="P63" s="186"/>
      <c r="Q63" s="202">
        <v>5522914</v>
      </c>
      <c r="R63" s="186"/>
      <c r="S63" s="202">
        <v>98529</v>
      </c>
      <c r="T63" s="186"/>
      <c r="U63" s="186"/>
      <c r="V63" s="202">
        <v>7603021</v>
      </c>
      <c r="W63" s="186"/>
      <c r="X63" s="202">
        <v>1802987</v>
      </c>
      <c r="Y63" s="186"/>
      <c r="Z63" s="202">
        <v>7568655</v>
      </c>
      <c r="AA63" s="186"/>
      <c r="AB63" s="186"/>
      <c r="AC63" s="202">
        <v>5512462</v>
      </c>
      <c r="AD63" s="186"/>
      <c r="AE63" s="202">
        <v>5308</v>
      </c>
      <c r="AF63" s="186"/>
      <c r="AG63" s="186"/>
      <c r="AH63" s="202">
        <v>11139363</v>
      </c>
      <c r="AI63" s="186"/>
      <c r="AJ63" s="202">
        <v>11079712</v>
      </c>
      <c r="AK63" s="186"/>
      <c r="AL63" s="202">
        <v>2607223</v>
      </c>
      <c r="AM63" s="186"/>
      <c r="AN63" s="186"/>
      <c r="AO63" s="202">
        <v>13120941</v>
      </c>
      <c r="AP63" s="186"/>
      <c r="AQ63" s="186"/>
      <c r="AR63" s="202">
        <v>18742384</v>
      </c>
      <c r="AS63" s="186"/>
      <c r="AT63" s="202">
        <v>18612275</v>
      </c>
      <c r="AW63" s="203">
        <f>AW61-AW62</f>
        <v>0</v>
      </c>
    </row>
    <row r="64" spans="1:50" ht="17.25" x14ac:dyDescent="0.3">
      <c r="B64" s="186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4" t="s">
        <v>204</v>
      </c>
      <c r="O64" s="205">
        <v>5517920</v>
      </c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</row>
    <row r="65" spans="1:45" x14ac:dyDescent="0.3">
      <c r="B65" s="206" t="s">
        <v>205</v>
      </c>
      <c r="C65"/>
      <c r="D65"/>
      <c r="E65"/>
      <c r="F65"/>
      <c r="G65"/>
      <c r="H65"/>
      <c r="I65"/>
      <c r="J65"/>
      <c r="K65"/>
      <c r="L65"/>
      <c r="M65"/>
      <c r="N65" s="204" t="s">
        <v>206</v>
      </c>
      <c r="O65" s="205">
        <v>5621443</v>
      </c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186"/>
    </row>
    <row r="66" spans="1:45" ht="15" x14ac:dyDescent="0.25">
      <c r="C66"/>
      <c r="D66"/>
      <c r="E66"/>
      <c r="F66"/>
      <c r="G66"/>
      <c r="H66"/>
      <c r="I66"/>
      <c r="J66"/>
      <c r="K66"/>
      <c r="L66"/>
      <c r="M66"/>
      <c r="N66" s="204" t="s">
        <v>207</v>
      </c>
      <c r="O66" s="205">
        <v>7603021</v>
      </c>
      <c r="R66" s="207"/>
      <c r="AC66" s="186"/>
      <c r="AD66" s="186"/>
      <c r="AE66" s="186"/>
      <c r="AF66" s="186"/>
      <c r="AR66" s="186"/>
      <c r="AS66" s="186"/>
    </row>
    <row r="67" spans="1:45" ht="15" x14ac:dyDescent="0.25">
      <c r="C67"/>
      <c r="D67"/>
      <c r="E67"/>
      <c r="F67"/>
      <c r="G67"/>
      <c r="H67"/>
      <c r="I67"/>
      <c r="J67"/>
      <c r="K67"/>
      <c r="L67"/>
      <c r="M67"/>
      <c r="N67" s="208" t="s">
        <v>134</v>
      </c>
      <c r="O67" s="209">
        <f>SUM(O64:O66)</f>
        <v>18742384</v>
      </c>
      <c r="AC67" s="186"/>
      <c r="AD67" s="186"/>
      <c r="AE67" s="186"/>
      <c r="AF67" s="186"/>
      <c r="AR67" s="186"/>
      <c r="AS67" s="186"/>
    </row>
    <row r="68" spans="1:45" ht="15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AC68" s="186"/>
      <c r="AD68" s="186"/>
      <c r="AE68" s="186"/>
      <c r="AF68" s="186"/>
      <c r="AR68" s="186"/>
      <c r="AS68" s="186"/>
    </row>
    <row r="69" spans="1:45" ht="15" x14ac:dyDescent="0.25">
      <c r="C69"/>
      <c r="D69"/>
      <c r="E69"/>
      <c r="F69"/>
      <c r="G69"/>
      <c r="H69"/>
      <c r="I69"/>
      <c r="J69"/>
      <c r="K69"/>
      <c r="L69"/>
      <c r="M69"/>
      <c r="N69"/>
      <c r="O69"/>
      <c r="AC69" s="186"/>
      <c r="AD69" s="186"/>
      <c r="AE69" s="186"/>
      <c r="AF69" s="186"/>
      <c r="AR69" s="186"/>
      <c r="AS69" s="186"/>
    </row>
    <row r="70" spans="1:45" ht="15" x14ac:dyDescent="0.25">
      <c r="B70" s="210" t="s">
        <v>109</v>
      </c>
      <c r="C70" s="211">
        <v>533372</v>
      </c>
      <c r="D70" s="211">
        <v>35605</v>
      </c>
      <c r="E70" s="211">
        <v>3434729</v>
      </c>
      <c r="F70" s="211">
        <v>975481</v>
      </c>
      <c r="G70" s="211">
        <v>34466</v>
      </c>
      <c r="H70" s="211">
        <v>13016026</v>
      </c>
      <c r="I70" s="211">
        <v>542335</v>
      </c>
      <c r="J70" s="211">
        <v>1372</v>
      </c>
      <c r="K70" s="211">
        <v>14943</v>
      </c>
      <c r="L70" s="211">
        <v>23342</v>
      </c>
      <c r="M70" s="211">
        <v>604</v>
      </c>
      <c r="N70" s="211">
        <v>130109</v>
      </c>
      <c r="O70" s="211">
        <v>18742384</v>
      </c>
      <c r="AC70" s="212"/>
      <c r="AD70" s="186"/>
      <c r="AE70" s="186"/>
      <c r="AF70" s="186"/>
      <c r="AR70" s="186"/>
      <c r="AS70" s="186"/>
    </row>
    <row r="71" spans="1:45" ht="15" x14ac:dyDescent="0.25">
      <c r="B71" s="210" t="s">
        <v>110</v>
      </c>
      <c r="C71" s="213">
        <f>C61-C70</f>
        <v>0</v>
      </c>
      <c r="D71" s="213">
        <f t="shared" ref="D71:O71" si="36">D61-D70</f>
        <v>0</v>
      </c>
      <c r="E71" s="213">
        <f t="shared" si="36"/>
        <v>0</v>
      </c>
      <c r="F71" s="213">
        <f t="shared" si="36"/>
        <v>0</v>
      </c>
      <c r="G71" s="213">
        <f t="shared" si="36"/>
        <v>0</v>
      </c>
      <c r="H71" s="213">
        <f t="shared" si="36"/>
        <v>0</v>
      </c>
      <c r="I71" s="213">
        <f t="shared" si="36"/>
        <v>0</v>
      </c>
      <c r="J71" s="213">
        <f t="shared" si="36"/>
        <v>0</v>
      </c>
      <c r="K71" s="213">
        <f t="shared" si="36"/>
        <v>0</v>
      </c>
      <c r="L71" s="213">
        <f t="shared" si="36"/>
        <v>0</v>
      </c>
      <c r="M71" s="213">
        <f t="shared" si="36"/>
        <v>0</v>
      </c>
      <c r="N71" s="213">
        <f t="shared" si="36"/>
        <v>0</v>
      </c>
      <c r="O71" s="214">
        <f t="shared" si="36"/>
        <v>0</v>
      </c>
      <c r="AC71" s="186"/>
      <c r="AD71" s="186"/>
      <c r="AE71" s="186"/>
      <c r="AF71" s="186"/>
      <c r="AR71" s="186"/>
      <c r="AS71" s="186"/>
    </row>
    <row r="72" spans="1:45" ht="15" x14ac:dyDescent="0.25"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03"/>
      <c r="AC72" s="186"/>
      <c r="AD72" s="186"/>
      <c r="AE72" s="186"/>
      <c r="AF72" s="186"/>
      <c r="AR72" s="186"/>
      <c r="AS72" s="186"/>
    </row>
    <row r="73" spans="1:45" ht="15" x14ac:dyDescent="0.25">
      <c r="B73" s="210" t="s">
        <v>109</v>
      </c>
      <c r="C73" s="216">
        <v>2.8500000000000001E-2</v>
      </c>
      <c r="D73" s="216">
        <v>1.9E-3</v>
      </c>
      <c r="E73" s="216">
        <v>0.23530000000000001</v>
      </c>
      <c r="F73" s="216">
        <v>0</v>
      </c>
      <c r="G73" s="216">
        <v>1.8E-3</v>
      </c>
      <c r="H73" s="216">
        <v>0.6946</v>
      </c>
      <c r="I73" s="216">
        <v>2.8899999999999999E-2</v>
      </c>
      <c r="J73" s="216">
        <v>1E-4</v>
      </c>
      <c r="K73" s="216">
        <v>8.0000000000000004E-4</v>
      </c>
      <c r="L73" s="216">
        <v>1.1999999999999999E-3</v>
      </c>
      <c r="M73" s="216">
        <v>0</v>
      </c>
      <c r="N73" s="216">
        <v>6.8999999999999999E-3</v>
      </c>
      <c r="O73" s="216">
        <v>1</v>
      </c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  <c r="AS73" s="186"/>
    </row>
    <row r="74" spans="1:45" ht="15" x14ac:dyDescent="0.25">
      <c r="B74" s="210" t="s">
        <v>110</v>
      </c>
      <c r="C74" s="217">
        <f>C62-C73</f>
        <v>0</v>
      </c>
      <c r="D74" s="217">
        <f t="shared" ref="D74:O74" si="37">D62-D73</f>
        <v>0</v>
      </c>
      <c r="E74" s="217">
        <f>E63-E73</f>
        <v>0</v>
      </c>
      <c r="F74" s="217">
        <f>F63-F73</f>
        <v>0</v>
      </c>
      <c r="G74" s="217">
        <f t="shared" si="37"/>
        <v>0</v>
      </c>
      <c r="H74" s="217">
        <f t="shared" si="37"/>
        <v>0</v>
      </c>
      <c r="I74" s="217">
        <f t="shared" si="37"/>
        <v>0</v>
      </c>
      <c r="J74" s="217">
        <f t="shared" si="37"/>
        <v>0</v>
      </c>
      <c r="K74" s="217">
        <f t="shared" si="37"/>
        <v>0</v>
      </c>
      <c r="L74" s="217">
        <f t="shared" si="37"/>
        <v>0</v>
      </c>
      <c r="M74" s="217">
        <f t="shared" si="37"/>
        <v>0</v>
      </c>
      <c r="N74" s="217">
        <f t="shared" si="37"/>
        <v>0</v>
      </c>
      <c r="O74" s="218">
        <f t="shared" si="37"/>
        <v>0</v>
      </c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  <c r="AS74" s="186"/>
    </row>
    <row r="75" spans="1:45" ht="15" x14ac:dyDescent="0.25"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  <c r="AS75" s="186"/>
    </row>
    <row r="76" spans="1:45" ht="17.25" x14ac:dyDescent="0.3">
      <c r="B76" s="186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</row>
    <row r="77" spans="1:45" ht="17.25" x14ac:dyDescent="0.3">
      <c r="B77" s="186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186"/>
    </row>
    <row r="78" spans="1:45" ht="17.25" x14ac:dyDescent="0.3">
      <c r="B78" s="186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</row>
    <row r="79" spans="1:45" ht="17.25" x14ac:dyDescent="0.3">
      <c r="A79" s="195"/>
      <c r="B79" s="186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</row>
    <row r="80" spans="1:45" ht="17.25" x14ac:dyDescent="0.3">
      <c r="A80" s="195"/>
      <c r="B80" s="186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</row>
    <row r="81" spans="2:45" ht="17.25" x14ac:dyDescent="0.3">
      <c r="B81" s="186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  <c r="AS81" s="186"/>
    </row>
    <row r="82" spans="2:45" ht="17.25" x14ac:dyDescent="0.3">
      <c r="B82" s="186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</row>
    <row r="83" spans="2:45" ht="17.25" x14ac:dyDescent="0.3">
      <c r="B83" s="186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</row>
  </sheetData>
  <mergeCells count="16">
    <mergeCell ref="AR2:AS2"/>
    <mergeCell ref="AT2:AU2"/>
    <mergeCell ref="AW2:AX2"/>
    <mergeCell ref="E63:F63"/>
    <mergeCell ref="AC2:AD2"/>
    <mergeCell ref="AE2:AF2"/>
    <mergeCell ref="AH2:AI2"/>
    <mergeCell ref="AJ2:AK2"/>
    <mergeCell ref="AL2:AM2"/>
    <mergeCell ref="AO2:AP2"/>
    <mergeCell ref="Z2:AA2"/>
    <mergeCell ref="E1:F1"/>
    <mergeCell ref="Q2:R2"/>
    <mergeCell ref="S2:T2"/>
    <mergeCell ref="V2:W2"/>
    <mergeCell ref="X2:Y2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56E8-D6FC-4605-8D6E-95000A489B1C}">
  <sheetPr>
    <tabColor theme="0" tint="-0.34998626667073579"/>
  </sheetPr>
  <dimension ref="A1:AI8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B3" sqref="B3"/>
      <selection pane="bottomRight"/>
    </sheetView>
  </sheetViews>
  <sheetFormatPr defaultRowHeight="15" outlineLevelCol="1" x14ac:dyDescent="0.2"/>
  <cols>
    <col min="1" max="1" width="9.140625" style="149" customWidth="1"/>
    <col min="2" max="2" width="26.7109375" style="149" customWidth="1"/>
    <col min="3" max="14" width="13.7109375" style="279" customWidth="1" outlineLevel="1"/>
    <col min="15" max="15" width="13.7109375" style="279" customWidth="1"/>
    <col min="16" max="16" width="9.140625" style="149"/>
    <col min="17" max="17" width="12.140625" style="149" bestFit="1" customWidth="1"/>
    <col min="18" max="18" width="12.140625" style="149" customWidth="1"/>
    <col min="19" max="19" width="11.7109375" style="149" customWidth="1"/>
    <col min="20" max="20" width="11.5703125" style="149" customWidth="1"/>
    <col min="21" max="21" width="9.140625" style="149"/>
    <col min="22" max="22" width="15.42578125" style="149" customWidth="1"/>
    <col min="23" max="23" width="14.28515625" style="149" customWidth="1"/>
    <col min="24" max="24" width="12.140625" style="149" bestFit="1" customWidth="1"/>
    <col min="25" max="25" width="10.28515625" style="149" bestFit="1" customWidth="1"/>
    <col min="26" max="26" width="8.42578125" style="149" customWidth="1"/>
    <col min="27" max="27" width="12.7109375" style="149" bestFit="1" customWidth="1"/>
    <col min="28" max="28" width="12.140625" style="149" customWidth="1"/>
    <col min="29" max="29" width="13.28515625" style="149" customWidth="1"/>
    <col min="30" max="30" width="10.28515625" style="149" bestFit="1" customWidth="1"/>
    <col min="31" max="31" width="12.7109375" style="149" bestFit="1" customWidth="1"/>
    <col min="32" max="32" width="12.140625" style="149" customWidth="1"/>
    <col min="33" max="33" width="9.140625" style="149"/>
    <col min="34" max="34" width="11.28515625" style="149" bestFit="1" customWidth="1"/>
    <col min="35" max="16384" width="9.140625" style="149"/>
  </cols>
  <sheetData>
    <row r="1" spans="1:35" ht="17.25" x14ac:dyDescent="0.3">
      <c r="B1" s="247" t="s">
        <v>208</v>
      </c>
      <c r="C1" s="247"/>
      <c r="D1" s="247"/>
      <c r="E1" s="380" t="s">
        <v>45</v>
      </c>
      <c r="F1" s="381"/>
      <c r="G1" s="247"/>
      <c r="H1" s="247"/>
      <c r="I1" s="247"/>
      <c r="J1" s="247"/>
      <c r="K1" s="247"/>
      <c r="L1" s="247"/>
      <c r="M1" s="247"/>
      <c r="N1" s="247"/>
      <c r="O1" s="247"/>
      <c r="P1" s="248"/>
      <c r="Q1" s="248" t="s">
        <v>182</v>
      </c>
      <c r="R1" s="248"/>
      <c r="S1" s="248" t="s">
        <v>182</v>
      </c>
      <c r="T1" s="248"/>
      <c r="U1" s="248"/>
      <c r="V1" s="248" t="s">
        <v>184</v>
      </c>
      <c r="W1" s="248"/>
      <c r="X1" s="248" t="s">
        <v>184</v>
      </c>
      <c r="Y1" s="248"/>
      <c r="Z1" s="248"/>
      <c r="AA1" s="248" t="s">
        <v>186</v>
      </c>
      <c r="AB1" s="248"/>
      <c r="AC1" s="248" t="s">
        <v>186</v>
      </c>
      <c r="AD1" s="248"/>
      <c r="AE1" s="248" t="s">
        <v>186</v>
      </c>
      <c r="AF1" s="248"/>
    </row>
    <row r="2" spans="1:35" ht="72.75" customHeight="1" x14ac:dyDescent="0.3">
      <c r="B2" s="249" t="s">
        <v>44</v>
      </c>
      <c r="C2" s="250" t="s">
        <v>153</v>
      </c>
      <c r="D2" s="250" t="s">
        <v>187</v>
      </c>
      <c r="E2" s="250" t="s">
        <v>188</v>
      </c>
      <c r="F2" s="250" t="s">
        <v>189</v>
      </c>
      <c r="G2" s="250" t="s">
        <v>154</v>
      </c>
      <c r="H2" s="250" t="s">
        <v>155</v>
      </c>
      <c r="I2" s="251" t="s">
        <v>190</v>
      </c>
      <c r="J2" s="250" t="s">
        <v>191</v>
      </c>
      <c r="K2" s="250" t="s">
        <v>156</v>
      </c>
      <c r="L2" s="250" t="s">
        <v>157</v>
      </c>
      <c r="M2" s="250" t="s">
        <v>158</v>
      </c>
      <c r="N2" s="250" t="s">
        <v>118</v>
      </c>
      <c r="O2" s="250" t="s">
        <v>134</v>
      </c>
      <c r="P2" s="248"/>
      <c r="Q2" s="365" t="s">
        <v>194</v>
      </c>
      <c r="R2" s="366"/>
      <c r="S2" s="367" t="s">
        <v>195</v>
      </c>
      <c r="T2" s="368"/>
      <c r="U2" s="248"/>
      <c r="V2" s="373" t="s">
        <v>197</v>
      </c>
      <c r="W2" s="374"/>
      <c r="X2" s="373" t="s">
        <v>195</v>
      </c>
      <c r="Y2" s="374"/>
      <c r="Z2" s="135"/>
      <c r="AA2" s="365" t="s">
        <v>199</v>
      </c>
      <c r="AB2" s="366"/>
      <c r="AC2" s="367" t="s">
        <v>200</v>
      </c>
      <c r="AD2" s="369"/>
      <c r="AE2" s="367" t="s">
        <v>196</v>
      </c>
      <c r="AF2" s="369"/>
      <c r="AH2" s="377" t="s">
        <v>201</v>
      </c>
      <c r="AI2" s="377"/>
    </row>
    <row r="3" spans="1:35" ht="17.25" x14ac:dyDescent="0.3">
      <c r="A3" s="252" t="s">
        <v>202</v>
      </c>
      <c r="B3" s="136" t="s">
        <v>49</v>
      </c>
      <c r="C3" s="253">
        <v>10591</v>
      </c>
      <c r="D3" s="253">
        <v>613</v>
      </c>
      <c r="E3" s="253">
        <v>118628</v>
      </c>
      <c r="F3" s="253">
        <v>27517</v>
      </c>
      <c r="G3" s="253">
        <v>2719</v>
      </c>
      <c r="H3" s="253">
        <v>444294</v>
      </c>
      <c r="I3" s="253">
        <v>18114</v>
      </c>
      <c r="J3" s="253">
        <v>37</v>
      </c>
      <c r="K3" s="253">
        <v>1108</v>
      </c>
      <c r="L3" s="253">
        <v>1018</v>
      </c>
      <c r="M3" s="253">
        <v>0</v>
      </c>
      <c r="N3" s="253">
        <v>5879</v>
      </c>
      <c r="O3" s="253">
        <f>SUM(C3:N3)</f>
        <v>630518</v>
      </c>
      <c r="P3" s="248"/>
      <c r="Q3" s="137">
        <f t="shared" ref="Q3:Q60" si="0">SUMIF($A3,"CW",C3)+SUMIF($A3,"CW",D3)+SUMIF($A3,"CW",E3)+SUMIF($A3,"CW",F3)+SUMIF($A3,"CW",G3)+SUMIF($A3,"CW",H3)+SUMIF($A3,"CW",I3)+SUMIF($A3,"CW",J3)+SUMIF($A3,"CW",K3)+SUMIF($A3,"CW",L3)+SUMIF($A3,"CW",M3)+SUMIF($A3,"CW",N3)</f>
        <v>630518</v>
      </c>
      <c r="R3" s="143">
        <v>9.2799999999999994E-2</v>
      </c>
      <c r="S3" s="137">
        <f t="shared" ref="S3:S60" si="1">SUMIF($A3,"CW",E3)+SUMIF($A3,"CW",F3)</f>
        <v>146145</v>
      </c>
      <c r="T3" s="138">
        <f>ROUND(S3/S$61,4)</f>
        <v>7.5399999999999995E-2</v>
      </c>
      <c r="U3" s="248"/>
      <c r="V3" s="137">
        <f t="shared" ref="V3:V60" si="2">SUMIF($A3,"CA",O3)</f>
        <v>0</v>
      </c>
      <c r="W3" s="138">
        <f>ROUND(V3/V$61,4)</f>
        <v>0</v>
      </c>
      <c r="X3" s="137">
        <f t="shared" ref="X3:X60" si="3">SUMIF($A3,"CA",E3)+SUMIF($A3,"CA",F3)</f>
        <v>0</v>
      </c>
      <c r="Y3" s="138">
        <f>ROUND(X3/X$61,4)</f>
        <v>0</v>
      </c>
      <c r="Z3" s="139"/>
      <c r="AA3" s="137">
        <f t="shared" ref="AA3:AA60" si="4">O3</f>
        <v>630518</v>
      </c>
      <c r="AB3" s="138">
        <f>ROUND(AA3/AA$61,4)</f>
        <v>3.1600000000000003E-2</v>
      </c>
      <c r="AC3" s="137">
        <f t="shared" ref="AC3:AC60" si="5">SUM(C3:M3)</f>
        <v>624639</v>
      </c>
      <c r="AD3" s="138">
        <f>ROUND(AC3/AC$61,4)</f>
        <v>3.15E-2</v>
      </c>
      <c r="AE3" s="137">
        <f t="shared" ref="AE3:AE60" si="6">SUM(C3, E3, F3, K3, H3, I3, J3, N3)</f>
        <v>626168</v>
      </c>
      <c r="AF3" s="138">
        <f>ROUND(AE3/AE$61,4)</f>
        <v>3.1600000000000003E-2</v>
      </c>
      <c r="AH3" s="254">
        <v>630518</v>
      </c>
      <c r="AI3" s="254">
        <f t="shared" ref="AI3:AI60" si="7">AH3-O3</f>
        <v>0</v>
      </c>
    </row>
    <row r="4" spans="1:35" ht="17.25" x14ac:dyDescent="0.3">
      <c r="A4" s="252" t="s">
        <v>203</v>
      </c>
      <c r="B4" s="136" t="s">
        <v>50</v>
      </c>
      <c r="C4" s="253">
        <v>0</v>
      </c>
      <c r="D4" s="253">
        <v>0</v>
      </c>
      <c r="E4" s="253">
        <v>117</v>
      </c>
      <c r="F4" s="253">
        <v>7</v>
      </c>
      <c r="G4" s="253">
        <v>0</v>
      </c>
      <c r="H4" s="253">
        <v>318</v>
      </c>
      <c r="I4" s="253">
        <v>13</v>
      </c>
      <c r="J4" s="253">
        <v>0</v>
      </c>
      <c r="K4" s="253">
        <v>0</v>
      </c>
      <c r="L4" s="253">
        <v>0</v>
      </c>
      <c r="M4" s="253">
        <v>0</v>
      </c>
      <c r="N4" s="253">
        <v>0</v>
      </c>
      <c r="O4" s="253">
        <f t="shared" ref="O4:O60" si="8">SUM(C4:N4)</f>
        <v>455</v>
      </c>
      <c r="P4" s="248"/>
      <c r="Q4" s="137">
        <f t="shared" si="0"/>
        <v>0</v>
      </c>
      <c r="R4" s="143">
        <v>0</v>
      </c>
      <c r="S4" s="137">
        <f t="shared" si="1"/>
        <v>0</v>
      </c>
      <c r="T4" s="138">
        <f t="shared" ref="T4:T60" si="9">ROUND(S4/S$61,4)</f>
        <v>0</v>
      </c>
      <c r="U4" s="248"/>
      <c r="V4" s="137">
        <f t="shared" si="2"/>
        <v>455</v>
      </c>
      <c r="W4" s="138">
        <f t="shared" ref="W4:W60" si="10">ROUND(V4/V$61,4)</f>
        <v>0</v>
      </c>
      <c r="X4" s="137">
        <f t="shared" si="3"/>
        <v>124</v>
      </c>
      <c r="Y4" s="138">
        <f>ROUND(X4/X$61,4)</f>
        <v>0</v>
      </c>
      <c r="Z4" s="139"/>
      <c r="AA4" s="137">
        <f t="shared" si="4"/>
        <v>455</v>
      </c>
      <c r="AB4" s="138">
        <f t="shared" ref="AB4:AB60" si="11">ROUND(AA4/AA$61,4)</f>
        <v>0</v>
      </c>
      <c r="AC4" s="137">
        <f t="shared" si="5"/>
        <v>455</v>
      </c>
      <c r="AD4" s="138">
        <f t="shared" ref="AD4:AD60" si="12">ROUND(AC4/AC$61,4)</f>
        <v>0</v>
      </c>
      <c r="AE4" s="137">
        <f t="shared" si="6"/>
        <v>455</v>
      </c>
      <c r="AF4" s="138">
        <f t="shared" ref="AF4:AF16" si="13">ROUND(AE4/AE$61,4)</f>
        <v>0</v>
      </c>
      <c r="AH4" s="254">
        <v>455</v>
      </c>
      <c r="AI4" s="254">
        <f t="shared" si="7"/>
        <v>0</v>
      </c>
    </row>
    <row r="5" spans="1:35" ht="17.25" x14ac:dyDescent="0.3">
      <c r="A5" s="252" t="s">
        <v>203</v>
      </c>
      <c r="B5" s="136" t="s">
        <v>51</v>
      </c>
      <c r="C5" s="253">
        <v>263</v>
      </c>
      <c r="D5" s="253">
        <v>44</v>
      </c>
      <c r="E5" s="253">
        <v>2522</v>
      </c>
      <c r="F5" s="253">
        <v>471</v>
      </c>
      <c r="G5" s="253">
        <v>3</v>
      </c>
      <c r="H5" s="253">
        <v>8905</v>
      </c>
      <c r="I5" s="253">
        <v>363</v>
      </c>
      <c r="J5" s="253">
        <v>0</v>
      </c>
      <c r="K5" s="253">
        <v>0</v>
      </c>
      <c r="L5" s="253">
        <v>13</v>
      </c>
      <c r="M5" s="253">
        <v>2</v>
      </c>
      <c r="N5" s="253">
        <v>1</v>
      </c>
      <c r="O5" s="253">
        <f t="shared" si="8"/>
        <v>12587</v>
      </c>
      <c r="P5" s="248"/>
      <c r="Q5" s="137">
        <f t="shared" si="0"/>
        <v>0</v>
      </c>
      <c r="R5" s="143">
        <v>0</v>
      </c>
      <c r="S5" s="137">
        <f t="shared" si="1"/>
        <v>0</v>
      </c>
      <c r="T5" s="138">
        <f t="shared" si="9"/>
        <v>0</v>
      </c>
      <c r="U5" s="248"/>
      <c r="V5" s="137">
        <f t="shared" si="2"/>
        <v>12587</v>
      </c>
      <c r="W5" s="138">
        <f t="shared" si="10"/>
        <v>1.1000000000000001E-3</v>
      </c>
      <c r="X5" s="137">
        <f t="shared" si="3"/>
        <v>2993</v>
      </c>
      <c r="Y5" s="138">
        <f t="shared" ref="Y5:Y60" si="14">ROUND(X5/X$61,4)</f>
        <v>1.1000000000000001E-3</v>
      </c>
      <c r="Z5" s="139"/>
      <c r="AA5" s="137">
        <f t="shared" si="4"/>
        <v>12587</v>
      </c>
      <c r="AB5" s="138">
        <f t="shared" si="11"/>
        <v>5.9999999999999995E-4</v>
      </c>
      <c r="AC5" s="137">
        <f t="shared" si="5"/>
        <v>12586</v>
      </c>
      <c r="AD5" s="138">
        <f t="shared" si="12"/>
        <v>5.9999999999999995E-4</v>
      </c>
      <c r="AE5" s="137">
        <f t="shared" si="6"/>
        <v>12525</v>
      </c>
      <c r="AF5" s="138">
        <f t="shared" si="13"/>
        <v>5.9999999999999995E-4</v>
      </c>
      <c r="AH5" s="254">
        <v>12587</v>
      </c>
      <c r="AI5" s="254">
        <f t="shared" si="7"/>
        <v>0</v>
      </c>
    </row>
    <row r="6" spans="1:35" ht="17.25" x14ac:dyDescent="0.3">
      <c r="A6" s="252" t="s">
        <v>203</v>
      </c>
      <c r="B6" s="136" t="s">
        <v>52</v>
      </c>
      <c r="C6" s="253">
        <v>2725</v>
      </c>
      <c r="D6" s="253">
        <v>336</v>
      </c>
      <c r="E6" s="253">
        <v>24231</v>
      </c>
      <c r="F6" s="253">
        <v>7210</v>
      </c>
      <c r="G6" s="253">
        <v>82</v>
      </c>
      <c r="H6" s="253">
        <v>79452</v>
      </c>
      <c r="I6" s="253">
        <v>3239</v>
      </c>
      <c r="J6" s="253">
        <v>0</v>
      </c>
      <c r="K6" s="253">
        <v>2</v>
      </c>
      <c r="L6" s="253">
        <v>110</v>
      </c>
      <c r="M6" s="253">
        <v>64</v>
      </c>
      <c r="N6" s="253">
        <v>213</v>
      </c>
      <c r="O6" s="253">
        <f t="shared" si="8"/>
        <v>117664</v>
      </c>
      <c r="P6" s="248"/>
      <c r="Q6" s="137">
        <f t="shared" si="0"/>
        <v>0</v>
      </c>
      <c r="R6" s="143">
        <v>0</v>
      </c>
      <c r="S6" s="137">
        <f t="shared" si="1"/>
        <v>0</v>
      </c>
      <c r="T6" s="138">
        <f t="shared" si="9"/>
        <v>0</v>
      </c>
      <c r="U6" s="248"/>
      <c r="V6" s="137">
        <f t="shared" si="2"/>
        <v>117664</v>
      </c>
      <c r="W6" s="138">
        <f t="shared" si="10"/>
        <v>0.01</v>
      </c>
      <c r="X6" s="137">
        <f t="shared" si="3"/>
        <v>31441</v>
      </c>
      <c r="Y6" s="141">
        <f>ROUNDUP(X6/X$61,4)</f>
        <v>1.1699999999999999E-2</v>
      </c>
      <c r="Z6" s="139"/>
      <c r="AA6" s="137">
        <f t="shared" si="4"/>
        <v>117664</v>
      </c>
      <c r="AB6" s="138">
        <f t="shared" si="11"/>
        <v>5.8999999999999999E-3</v>
      </c>
      <c r="AC6" s="137">
        <f t="shared" si="5"/>
        <v>117451</v>
      </c>
      <c r="AD6" s="138">
        <f t="shared" si="12"/>
        <v>5.8999999999999999E-3</v>
      </c>
      <c r="AE6" s="137">
        <f t="shared" si="6"/>
        <v>117072</v>
      </c>
      <c r="AF6" s="138">
        <f t="shared" si="13"/>
        <v>5.8999999999999999E-3</v>
      </c>
      <c r="AH6" s="254">
        <v>117664</v>
      </c>
      <c r="AI6" s="254">
        <f t="shared" si="7"/>
        <v>0</v>
      </c>
    </row>
    <row r="7" spans="1:35" ht="17.25" x14ac:dyDescent="0.3">
      <c r="A7" s="252" t="s">
        <v>203</v>
      </c>
      <c r="B7" s="136" t="s">
        <v>54</v>
      </c>
      <c r="C7" s="253">
        <v>379</v>
      </c>
      <c r="D7" s="253">
        <v>43</v>
      </c>
      <c r="E7" s="253">
        <v>4350</v>
      </c>
      <c r="F7" s="253">
        <v>732</v>
      </c>
      <c r="G7" s="253">
        <v>5</v>
      </c>
      <c r="H7" s="253">
        <v>13244</v>
      </c>
      <c r="I7" s="253">
        <v>540</v>
      </c>
      <c r="J7" s="253">
        <v>0</v>
      </c>
      <c r="K7" s="253">
        <v>0</v>
      </c>
      <c r="L7" s="253">
        <v>9</v>
      </c>
      <c r="M7" s="253">
        <v>5</v>
      </c>
      <c r="N7" s="253">
        <v>5</v>
      </c>
      <c r="O7" s="253">
        <f t="shared" si="8"/>
        <v>19312</v>
      </c>
      <c r="P7" s="248"/>
      <c r="Q7" s="137">
        <f t="shared" si="0"/>
        <v>0</v>
      </c>
      <c r="R7" s="143">
        <v>0</v>
      </c>
      <c r="S7" s="137">
        <f t="shared" si="1"/>
        <v>0</v>
      </c>
      <c r="T7" s="138">
        <f t="shared" si="9"/>
        <v>0</v>
      </c>
      <c r="U7" s="248"/>
      <c r="V7" s="137">
        <f t="shared" si="2"/>
        <v>19312</v>
      </c>
      <c r="W7" s="138">
        <f t="shared" si="10"/>
        <v>1.6000000000000001E-3</v>
      </c>
      <c r="X7" s="137">
        <f t="shared" si="3"/>
        <v>5082</v>
      </c>
      <c r="Y7" s="138">
        <f t="shared" si="14"/>
        <v>1.9E-3</v>
      </c>
      <c r="Z7" s="139"/>
      <c r="AA7" s="137">
        <f t="shared" si="4"/>
        <v>19312</v>
      </c>
      <c r="AB7" s="138">
        <f t="shared" si="11"/>
        <v>1E-3</v>
      </c>
      <c r="AC7" s="137">
        <f t="shared" si="5"/>
        <v>19307</v>
      </c>
      <c r="AD7" s="138">
        <f t="shared" si="12"/>
        <v>1E-3</v>
      </c>
      <c r="AE7" s="137">
        <f t="shared" si="6"/>
        <v>19250</v>
      </c>
      <c r="AF7" s="138">
        <f t="shared" si="13"/>
        <v>1E-3</v>
      </c>
      <c r="AH7" s="254">
        <v>19312</v>
      </c>
      <c r="AI7" s="254">
        <f t="shared" si="7"/>
        <v>0</v>
      </c>
    </row>
    <row r="8" spans="1:35" ht="17.25" x14ac:dyDescent="0.3">
      <c r="A8" s="252" t="s">
        <v>203</v>
      </c>
      <c r="B8" s="136" t="s">
        <v>55</v>
      </c>
      <c r="C8" s="253">
        <v>175</v>
      </c>
      <c r="D8" s="253">
        <v>33</v>
      </c>
      <c r="E8" s="253">
        <v>1830</v>
      </c>
      <c r="F8" s="253">
        <v>315</v>
      </c>
      <c r="G8" s="253">
        <v>11</v>
      </c>
      <c r="H8" s="253">
        <v>10628</v>
      </c>
      <c r="I8" s="253">
        <v>433</v>
      </c>
      <c r="J8" s="253">
        <v>0</v>
      </c>
      <c r="K8" s="253">
        <v>5</v>
      </c>
      <c r="L8" s="253">
        <v>4</v>
      </c>
      <c r="M8" s="253">
        <v>60</v>
      </c>
      <c r="N8" s="253">
        <v>14</v>
      </c>
      <c r="O8" s="253">
        <f t="shared" si="8"/>
        <v>13508</v>
      </c>
      <c r="P8" s="248"/>
      <c r="Q8" s="137">
        <f t="shared" si="0"/>
        <v>0</v>
      </c>
      <c r="R8" s="255">
        <v>0</v>
      </c>
      <c r="S8" s="137">
        <f t="shared" si="1"/>
        <v>0</v>
      </c>
      <c r="T8" s="138">
        <f t="shared" si="9"/>
        <v>0</v>
      </c>
      <c r="U8" s="248"/>
      <c r="V8" s="137">
        <f t="shared" si="2"/>
        <v>13508</v>
      </c>
      <c r="W8" s="138">
        <f t="shared" si="10"/>
        <v>1.1000000000000001E-3</v>
      </c>
      <c r="X8" s="137">
        <f t="shared" si="3"/>
        <v>2145</v>
      </c>
      <c r="Y8" s="138">
        <f t="shared" si="14"/>
        <v>8.0000000000000004E-4</v>
      </c>
      <c r="Z8" s="139"/>
      <c r="AA8" s="137">
        <f t="shared" si="4"/>
        <v>13508</v>
      </c>
      <c r="AB8" s="138">
        <f t="shared" si="11"/>
        <v>6.9999999999999999E-4</v>
      </c>
      <c r="AC8" s="137">
        <f t="shared" si="5"/>
        <v>13494</v>
      </c>
      <c r="AD8" s="138">
        <f t="shared" si="12"/>
        <v>6.9999999999999999E-4</v>
      </c>
      <c r="AE8" s="137">
        <f t="shared" si="6"/>
        <v>13400</v>
      </c>
      <c r="AF8" s="138">
        <f t="shared" si="13"/>
        <v>6.9999999999999999E-4</v>
      </c>
      <c r="AH8" s="254">
        <v>13508</v>
      </c>
      <c r="AI8" s="254">
        <f t="shared" si="7"/>
        <v>0</v>
      </c>
    </row>
    <row r="9" spans="1:35" ht="17.25" x14ac:dyDescent="0.3">
      <c r="A9" s="252" t="s">
        <v>202</v>
      </c>
      <c r="B9" s="136" t="s">
        <v>56</v>
      </c>
      <c r="C9" s="253">
        <v>8606</v>
      </c>
      <c r="D9" s="253">
        <v>420</v>
      </c>
      <c r="E9" s="253">
        <v>69293</v>
      </c>
      <c r="F9" s="253">
        <v>16725</v>
      </c>
      <c r="G9" s="253">
        <v>856</v>
      </c>
      <c r="H9" s="253">
        <v>293575</v>
      </c>
      <c r="I9" s="253">
        <v>11969</v>
      </c>
      <c r="J9" s="253">
        <v>19</v>
      </c>
      <c r="K9" s="253">
        <v>375</v>
      </c>
      <c r="L9" s="253">
        <v>287</v>
      </c>
      <c r="M9" s="253">
        <v>0</v>
      </c>
      <c r="N9" s="253">
        <v>521</v>
      </c>
      <c r="O9" s="253">
        <f t="shared" si="8"/>
        <v>402646</v>
      </c>
      <c r="P9" s="248"/>
      <c r="Q9" s="137">
        <f t="shared" si="0"/>
        <v>402646</v>
      </c>
      <c r="R9" s="143">
        <v>4.5999999999999999E-2</v>
      </c>
      <c r="S9" s="137">
        <f t="shared" si="1"/>
        <v>86018</v>
      </c>
      <c r="T9" s="138">
        <f t="shared" si="9"/>
        <v>4.4400000000000002E-2</v>
      </c>
      <c r="U9" s="248"/>
      <c r="V9" s="137">
        <f t="shared" si="2"/>
        <v>0</v>
      </c>
      <c r="W9" s="138">
        <f t="shared" si="10"/>
        <v>0</v>
      </c>
      <c r="X9" s="137">
        <f t="shared" si="3"/>
        <v>0</v>
      </c>
      <c r="Y9" s="138">
        <f t="shared" si="14"/>
        <v>0</v>
      </c>
      <c r="Z9" s="139"/>
      <c r="AA9" s="137">
        <f t="shared" si="4"/>
        <v>402646</v>
      </c>
      <c r="AB9" s="138">
        <f t="shared" si="11"/>
        <v>2.0199999999999999E-2</v>
      </c>
      <c r="AC9" s="137">
        <f t="shared" si="5"/>
        <v>402125</v>
      </c>
      <c r="AD9" s="138">
        <f>ROUND(AC9/AC$61,4)</f>
        <v>2.0299999999999999E-2</v>
      </c>
      <c r="AE9" s="137">
        <f t="shared" si="6"/>
        <v>401083</v>
      </c>
      <c r="AF9" s="138">
        <f t="shared" si="13"/>
        <v>2.0199999999999999E-2</v>
      </c>
      <c r="AH9" s="254">
        <v>402646</v>
      </c>
      <c r="AI9" s="254">
        <f t="shared" si="7"/>
        <v>0</v>
      </c>
    </row>
    <row r="10" spans="1:35" ht="17.25" x14ac:dyDescent="0.3">
      <c r="A10" s="252" t="s">
        <v>203</v>
      </c>
      <c r="B10" s="136" t="s">
        <v>57</v>
      </c>
      <c r="C10" s="253">
        <v>815</v>
      </c>
      <c r="D10" s="253">
        <v>84</v>
      </c>
      <c r="E10" s="253">
        <v>4164</v>
      </c>
      <c r="F10" s="253">
        <v>1568</v>
      </c>
      <c r="G10" s="253">
        <v>4</v>
      </c>
      <c r="H10" s="253">
        <v>12199</v>
      </c>
      <c r="I10" s="253">
        <v>497</v>
      </c>
      <c r="J10" s="253">
        <v>0</v>
      </c>
      <c r="K10" s="253">
        <v>1</v>
      </c>
      <c r="L10" s="253">
        <v>24</v>
      </c>
      <c r="M10" s="253">
        <v>2</v>
      </c>
      <c r="N10" s="253">
        <v>18</v>
      </c>
      <c r="O10" s="253">
        <f t="shared" si="8"/>
        <v>19376</v>
      </c>
      <c r="P10" s="248"/>
      <c r="Q10" s="137">
        <f t="shared" si="0"/>
        <v>0</v>
      </c>
      <c r="R10" s="143">
        <v>0</v>
      </c>
      <c r="S10" s="137">
        <f t="shared" si="1"/>
        <v>0</v>
      </c>
      <c r="T10" s="138">
        <f t="shared" si="9"/>
        <v>0</v>
      </c>
      <c r="U10" s="248"/>
      <c r="V10" s="137">
        <f t="shared" si="2"/>
        <v>19376</v>
      </c>
      <c r="W10" s="138">
        <f t="shared" si="10"/>
        <v>1.6000000000000001E-3</v>
      </c>
      <c r="X10" s="137">
        <f t="shared" si="3"/>
        <v>5732</v>
      </c>
      <c r="Y10" s="138">
        <f t="shared" si="14"/>
        <v>2.0999999999999999E-3</v>
      </c>
      <c r="Z10" s="139"/>
      <c r="AA10" s="137">
        <f t="shared" si="4"/>
        <v>19376</v>
      </c>
      <c r="AB10" s="138">
        <f t="shared" si="11"/>
        <v>1E-3</v>
      </c>
      <c r="AC10" s="137">
        <f t="shared" si="5"/>
        <v>19358</v>
      </c>
      <c r="AD10" s="138">
        <f t="shared" si="12"/>
        <v>1E-3</v>
      </c>
      <c r="AE10" s="137">
        <f t="shared" si="6"/>
        <v>19262</v>
      </c>
      <c r="AF10" s="138">
        <f t="shared" si="13"/>
        <v>1E-3</v>
      </c>
      <c r="AH10" s="254">
        <v>19376</v>
      </c>
      <c r="AI10" s="254">
        <f t="shared" si="7"/>
        <v>0</v>
      </c>
    </row>
    <row r="11" spans="1:35" ht="17.25" x14ac:dyDescent="0.3">
      <c r="A11" s="252" t="s">
        <v>203</v>
      </c>
      <c r="B11" s="136" t="s">
        <v>58</v>
      </c>
      <c r="C11" s="253">
        <v>1154</v>
      </c>
      <c r="D11" s="253">
        <v>91</v>
      </c>
      <c r="E11" s="253">
        <v>9592</v>
      </c>
      <c r="F11" s="253">
        <v>2118</v>
      </c>
      <c r="G11" s="253">
        <v>26</v>
      </c>
      <c r="H11" s="253">
        <v>40560</v>
      </c>
      <c r="I11" s="253">
        <v>1654</v>
      </c>
      <c r="J11" s="253">
        <v>0</v>
      </c>
      <c r="K11" s="253">
        <v>4</v>
      </c>
      <c r="L11" s="253">
        <v>50</v>
      </c>
      <c r="M11" s="253">
        <v>31</v>
      </c>
      <c r="N11" s="253">
        <v>90</v>
      </c>
      <c r="O11" s="253">
        <f t="shared" si="8"/>
        <v>55370</v>
      </c>
      <c r="P11" s="248"/>
      <c r="Q11" s="137">
        <f t="shared" si="0"/>
        <v>0</v>
      </c>
      <c r="R11" s="143">
        <v>0</v>
      </c>
      <c r="S11" s="137">
        <f t="shared" si="1"/>
        <v>0</v>
      </c>
      <c r="T11" s="138">
        <f t="shared" si="9"/>
        <v>0</v>
      </c>
      <c r="U11" s="248"/>
      <c r="V11" s="137">
        <f t="shared" si="2"/>
        <v>55370</v>
      </c>
      <c r="W11" s="138">
        <f t="shared" si="10"/>
        <v>4.7000000000000002E-3</v>
      </c>
      <c r="X11" s="137">
        <f t="shared" si="3"/>
        <v>11710</v>
      </c>
      <c r="Y11" s="138">
        <f t="shared" si="14"/>
        <v>4.4000000000000003E-3</v>
      </c>
      <c r="Z11" s="139"/>
      <c r="AA11" s="137">
        <f t="shared" si="4"/>
        <v>55370</v>
      </c>
      <c r="AB11" s="138">
        <f t="shared" si="11"/>
        <v>2.8E-3</v>
      </c>
      <c r="AC11" s="137">
        <f t="shared" si="5"/>
        <v>55280</v>
      </c>
      <c r="AD11" s="138">
        <f t="shared" si="12"/>
        <v>2.8E-3</v>
      </c>
      <c r="AE11" s="137">
        <f t="shared" si="6"/>
        <v>55172</v>
      </c>
      <c r="AF11" s="138">
        <f t="shared" si="13"/>
        <v>2.8E-3</v>
      </c>
      <c r="AH11" s="254">
        <v>55370</v>
      </c>
      <c r="AI11" s="254">
        <f t="shared" si="7"/>
        <v>0</v>
      </c>
    </row>
    <row r="12" spans="1:35" ht="17.25" x14ac:dyDescent="0.3">
      <c r="A12" s="252" t="s">
        <v>202</v>
      </c>
      <c r="B12" s="136" t="s">
        <v>59</v>
      </c>
      <c r="C12" s="253">
        <v>27198</v>
      </c>
      <c r="D12" s="253">
        <v>1635</v>
      </c>
      <c r="E12" s="253">
        <v>175255</v>
      </c>
      <c r="F12" s="253">
        <v>40673</v>
      </c>
      <c r="G12" s="253">
        <v>1026</v>
      </c>
      <c r="H12" s="253">
        <v>505299</v>
      </c>
      <c r="I12" s="253">
        <v>20601</v>
      </c>
      <c r="J12" s="253">
        <v>5</v>
      </c>
      <c r="K12" s="253">
        <v>86</v>
      </c>
      <c r="L12" s="253">
        <v>621</v>
      </c>
      <c r="M12" s="253">
        <v>0</v>
      </c>
      <c r="N12" s="253">
        <v>922</v>
      </c>
      <c r="O12" s="253">
        <f t="shared" si="8"/>
        <v>773321</v>
      </c>
      <c r="P12" s="248"/>
      <c r="Q12" s="137">
        <f t="shared" si="0"/>
        <v>773321</v>
      </c>
      <c r="R12" s="143">
        <v>8.8499999999999995E-2</v>
      </c>
      <c r="S12" s="137">
        <f t="shared" si="1"/>
        <v>215928</v>
      </c>
      <c r="T12" s="138">
        <f t="shared" si="9"/>
        <v>0.1114</v>
      </c>
      <c r="U12" s="248"/>
      <c r="V12" s="137">
        <f t="shared" si="2"/>
        <v>0</v>
      </c>
      <c r="W12" s="138">
        <f t="shared" si="10"/>
        <v>0</v>
      </c>
      <c r="X12" s="137">
        <f t="shared" si="3"/>
        <v>0</v>
      </c>
      <c r="Y12" s="138">
        <f t="shared" si="14"/>
        <v>0</v>
      </c>
      <c r="Z12" s="139"/>
      <c r="AA12" s="137">
        <f t="shared" si="4"/>
        <v>773321</v>
      </c>
      <c r="AB12" s="138">
        <f t="shared" si="11"/>
        <v>3.8800000000000001E-2</v>
      </c>
      <c r="AC12" s="137">
        <f t="shared" si="5"/>
        <v>772399</v>
      </c>
      <c r="AD12" s="141">
        <f>ROUNDUP(AC12/AC$61,4)</f>
        <v>3.9100000000000003E-2</v>
      </c>
      <c r="AE12" s="137">
        <f t="shared" si="6"/>
        <v>770039</v>
      </c>
      <c r="AF12" s="138">
        <f t="shared" si="13"/>
        <v>3.8800000000000001E-2</v>
      </c>
      <c r="AH12" s="254">
        <v>773321</v>
      </c>
      <c r="AI12" s="254">
        <f t="shared" si="7"/>
        <v>0</v>
      </c>
    </row>
    <row r="13" spans="1:35" ht="17.25" x14ac:dyDescent="0.3">
      <c r="A13" s="252" t="s">
        <v>203</v>
      </c>
      <c r="B13" s="136" t="s">
        <v>60</v>
      </c>
      <c r="C13" s="253">
        <v>524</v>
      </c>
      <c r="D13" s="253">
        <v>41</v>
      </c>
      <c r="E13" s="253">
        <v>2698</v>
      </c>
      <c r="F13" s="253">
        <v>915</v>
      </c>
      <c r="G13" s="253">
        <v>8</v>
      </c>
      <c r="H13" s="253">
        <v>13418</v>
      </c>
      <c r="I13" s="253">
        <v>547</v>
      </c>
      <c r="J13" s="253">
        <v>0</v>
      </c>
      <c r="K13" s="253">
        <v>2</v>
      </c>
      <c r="L13" s="253">
        <v>5</v>
      </c>
      <c r="M13" s="253">
        <v>24</v>
      </c>
      <c r="N13" s="253">
        <v>31</v>
      </c>
      <c r="O13" s="253">
        <f t="shared" si="8"/>
        <v>18213</v>
      </c>
      <c r="P13" s="248"/>
      <c r="Q13" s="137">
        <f t="shared" si="0"/>
        <v>0</v>
      </c>
      <c r="R13" s="143">
        <v>0</v>
      </c>
      <c r="S13" s="137">
        <f t="shared" si="1"/>
        <v>0</v>
      </c>
      <c r="T13" s="138">
        <f t="shared" si="9"/>
        <v>0</v>
      </c>
      <c r="U13" s="248"/>
      <c r="V13" s="137">
        <f t="shared" si="2"/>
        <v>18213</v>
      </c>
      <c r="W13" s="138">
        <f t="shared" si="10"/>
        <v>1.5E-3</v>
      </c>
      <c r="X13" s="137">
        <f t="shared" si="3"/>
        <v>3613</v>
      </c>
      <c r="Y13" s="138">
        <f t="shared" si="14"/>
        <v>1.2999999999999999E-3</v>
      </c>
      <c r="Z13" s="139"/>
      <c r="AA13" s="137">
        <f t="shared" si="4"/>
        <v>18213</v>
      </c>
      <c r="AB13" s="138">
        <f t="shared" si="11"/>
        <v>8.9999999999999998E-4</v>
      </c>
      <c r="AC13" s="137">
        <f t="shared" si="5"/>
        <v>18182</v>
      </c>
      <c r="AD13" s="138">
        <f t="shared" si="12"/>
        <v>8.9999999999999998E-4</v>
      </c>
      <c r="AE13" s="137">
        <f t="shared" si="6"/>
        <v>18135</v>
      </c>
      <c r="AF13" s="138">
        <f t="shared" si="13"/>
        <v>8.9999999999999998E-4</v>
      </c>
      <c r="AH13" s="254">
        <v>18213</v>
      </c>
      <c r="AI13" s="254">
        <f t="shared" si="7"/>
        <v>0</v>
      </c>
    </row>
    <row r="14" spans="1:35" ht="17.25" x14ac:dyDescent="0.3">
      <c r="A14" s="252" t="s">
        <v>203</v>
      </c>
      <c r="B14" s="136" t="s">
        <v>61</v>
      </c>
      <c r="C14" s="253">
        <v>1810</v>
      </c>
      <c r="D14" s="253">
        <v>286</v>
      </c>
      <c r="E14" s="253">
        <v>18372</v>
      </c>
      <c r="F14" s="253">
        <v>4618</v>
      </c>
      <c r="G14" s="253">
        <v>40</v>
      </c>
      <c r="H14" s="253">
        <v>58942</v>
      </c>
      <c r="I14" s="253">
        <v>2403</v>
      </c>
      <c r="J14" s="253">
        <v>0</v>
      </c>
      <c r="K14" s="253">
        <v>2</v>
      </c>
      <c r="L14" s="253">
        <v>165</v>
      </c>
      <c r="M14" s="253">
        <v>36</v>
      </c>
      <c r="N14" s="253">
        <v>128</v>
      </c>
      <c r="O14" s="253">
        <f t="shared" si="8"/>
        <v>86802</v>
      </c>
      <c r="P14" s="248"/>
      <c r="Q14" s="137">
        <f t="shared" si="0"/>
        <v>0</v>
      </c>
      <c r="R14" s="143">
        <v>0</v>
      </c>
      <c r="S14" s="137">
        <f t="shared" si="1"/>
        <v>0</v>
      </c>
      <c r="T14" s="138">
        <f t="shared" si="9"/>
        <v>0</v>
      </c>
      <c r="U14" s="248"/>
      <c r="V14" s="137">
        <f t="shared" si="2"/>
        <v>86802</v>
      </c>
      <c r="W14" s="138">
        <f t="shared" si="10"/>
        <v>7.4000000000000003E-3</v>
      </c>
      <c r="X14" s="137">
        <f t="shared" si="3"/>
        <v>22990</v>
      </c>
      <c r="Y14" s="138">
        <f t="shared" si="14"/>
        <v>8.6E-3</v>
      </c>
      <c r="Z14" s="139"/>
      <c r="AA14" s="137">
        <f t="shared" si="4"/>
        <v>86802</v>
      </c>
      <c r="AB14" s="138">
        <f t="shared" si="11"/>
        <v>4.4000000000000003E-3</v>
      </c>
      <c r="AC14" s="137">
        <f t="shared" si="5"/>
        <v>86674</v>
      </c>
      <c r="AD14" s="138">
        <f t="shared" si="12"/>
        <v>4.4000000000000003E-3</v>
      </c>
      <c r="AE14" s="137">
        <f t="shared" si="6"/>
        <v>86275</v>
      </c>
      <c r="AF14" s="138">
        <f t="shared" si="13"/>
        <v>4.3E-3</v>
      </c>
      <c r="AH14" s="254">
        <v>86802</v>
      </c>
      <c r="AI14" s="254">
        <f t="shared" si="7"/>
        <v>0</v>
      </c>
    </row>
    <row r="15" spans="1:35" ht="17.25" x14ac:dyDescent="0.3">
      <c r="A15" s="252" t="s">
        <v>203</v>
      </c>
      <c r="B15" s="136" t="s">
        <v>62</v>
      </c>
      <c r="C15" s="253">
        <v>5235</v>
      </c>
      <c r="D15" s="253">
        <v>208</v>
      </c>
      <c r="E15" s="253">
        <v>31700</v>
      </c>
      <c r="F15" s="253">
        <v>8668</v>
      </c>
      <c r="G15" s="253">
        <v>357</v>
      </c>
      <c r="H15" s="253">
        <v>98357</v>
      </c>
      <c r="I15" s="253">
        <v>4010</v>
      </c>
      <c r="J15" s="253">
        <v>0</v>
      </c>
      <c r="K15" s="253">
        <v>26</v>
      </c>
      <c r="L15" s="253">
        <v>164</v>
      </c>
      <c r="M15" s="253">
        <v>53</v>
      </c>
      <c r="N15" s="253">
        <v>51</v>
      </c>
      <c r="O15" s="253">
        <f t="shared" si="8"/>
        <v>148829</v>
      </c>
      <c r="P15" s="248"/>
      <c r="Q15" s="137">
        <f t="shared" si="0"/>
        <v>0</v>
      </c>
      <c r="R15" s="143">
        <v>0</v>
      </c>
      <c r="S15" s="137">
        <f t="shared" si="1"/>
        <v>0</v>
      </c>
      <c r="T15" s="138">
        <f t="shared" si="9"/>
        <v>0</v>
      </c>
      <c r="U15" s="248"/>
      <c r="V15" s="137">
        <f t="shared" si="2"/>
        <v>148829</v>
      </c>
      <c r="W15" s="141">
        <f>ROUNDUP(V15/V$61,4)</f>
        <v>1.2699999999999999E-2</v>
      </c>
      <c r="X15" s="137">
        <f t="shared" si="3"/>
        <v>40368</v>
      </c>
      <c r="Y15" s="138">
        <f t="shared" si="14"/>
        <v>1.4999999999999999E-2</v>
      </c>
      <c r="Z15" s="139"/>
      <c r="AA15" s="137">
        <f t="shared" si="4"/>
        <v>148829</v>
      </c>
      <c r="AB15" s="138">
        <f t="shared" si="11"/>
        <v>7.4999999999999997E-3</v>
      </c>
      <c r="AC15" s="137">
        <f t="shared" si="5"/>
        <v>148778</v>
      </c>
      <c r="AD15" s="138">
        <f>ROUND(AC15/AC$61,4)</f>
        <v>7.4999999999999997E-3</v>
      </c>
      <c r="AE15" s="137">
        <f t="shared" si="6"/>
        <v>148047</v>
      </c>
      <c r="AF15" s="138">
        <f t="shared" si="13"/>
        <v>7.4999999999999997E-3</v>
      </c>
      <c r="AH15" s="254">
        <v>148829</v>
      </c>
      <c r="AI15" s="254">
        <f t="shared" si="7"/>
        <v>0</v>
      </c>
    </row>
    <row r="16" spans="1:35" ht="17.25" x14ac:dyDescent="0.3">
      <c r="A16" s="252" t="s">
        <v>203</v>
      </c>
      <c r="B16" s="136" t="s">
        <v>63</v>
      </c>
      <c r="C16" s="253">
        <v>98</v>
      </c>
      <c r="D16" s="253">
        <v>24</v>
      </c>
      <c r="E16" s="253">
        <v>1785</v>
      </c>
      <c r="F16" s="253">
        <v>288</v>
      </c>
      <c r="G16" s="253">
        <v>8</v>
      </c>
      <c r="H16" s="253">
        <v>6103</v>
      </c>
      <c r="I16" s="253">
        <v>249</v>
      </c>
      <c r="J16" s="253">
        <v>0</v>
      </c>
      <c r="K16" s="253">
        <v>1</v>
      </c>
      <c r="L16" s="253">
        <v>6</v>
      </c>
      <c r="M16" s="253">
        <v>2</v>
      </c>
      <c r="N16" s="253">
        <v>13</v>
      </c>
      <c r="O16" s="253">
        <f t="shared" si="8"/>
        <v>8577</v>
      </c>
      <c r="P16" s="248"/>
      <c r="Q16" s="137">
        <f t="shared" si="0"/>
        <v>0</v>
      </c>
      <c r="R16" s="143">
        <v>0</v>
      </c>
      <c r="S16" s="137">
        <f t="shared" si="1"/>
        <v>0</v>
      </c>
      <c r="T16" s="138">
        <f t="shared" si="9"/>
        <v>0</v>
      </c>
      <c r="U16" s="248"/>
      <c r="V16" s="137">
        <f t="shared" si="2"/>
        <v>8577</v>
      </c>
      <c r="W16" s="138">
        <f t="shared" si="10"/>
        <v>6.9999999999999999E-4</v>
      </c>
      <c r="X16" s="137">
        <f t="shared" si="3"/>
        <v>2073</v>
      </c>
      <c r="Y16" s="138">
        <f t="shared" si="14"/>
        <v>8.0000000000000004E-4</v>
      </c>
      <c r="Z16" s="139"/>
      <c r="AA16" s="137">
        <f t="shared" si="4"/>
        <v>8577</v>
      </c>
      <c r="AB16" s="138">
        <f t="shared" si="11"/>
        <v>4.0000000000000002E-4</v>
      </c>
      <c r="AC16" s="137">
        <f t="shared" si="5"/>
        <v>8564</v>
      </c>
      <c r="AD16" s="138">
        <f t="shared" si="12"/>
        <v>4.0000000000000002E-4</v>
      </c>
      <c r="AE16" s="137">
        <f t="shared" si="6"/>
        <v>8537</v>
      </c>
      <c r="AF16" s="138">
        <f t="shared" si="13"/>
        <v>4.0000000000000002E-4</v>
      </c>
      <c r="AH16" s="254">
        <v>8577</v>
      </c>
      <c r="AI16" s="254">
        <f t="shared" si="7"/>
        <v>0</v>
      </c>
    </row>
    <row r="17" spans="1:35" ht="17.25" x14ac:dyDescent="0.3">
      <c r="A17" s="252" t="s">
        <v>203</v>
      </c>
      <c r="B17" s="136" t="s">
        <v>64</v>
      </c>
      <c r="C17" s="253">
        <v>26640</v>
      </c>
      <c r="D17" s="253">
        <v>1182</v>
      </c>
      <c r="E17" s="253">
        <v>120459</v>
      </c>
      <c r="F17" s="253">
        <v>39765</v>
      </c>
      <c r="G17" s="253">
        <v>842</v>
      </c>
      <c r="H17" s="253">
        <v>458861</v>
      </c>
      <c r="I17" s="253">
        <v>18708</v>
      </c>
      <c r="J17" s="253">
        <v>0</v>
      </c>
      <c r="K17" s="253">
        <v>47</v>
      </c>
      <c r="L17" s="253">
        <v>484</v>
      </c>
      <c r="M17" s="253">
        <v>0</v>
      </c>
      <c r="N17" s="253">
        <v>823</v>
      </c>
      <c r="O17" s="253">
        <f t="shared" si="8"/>
        <v>667811</v>
      </c>
      <c r="P17" s="248"/>
      <c r="Q17" s="137">
        <f t="shared" si="0"/>
        <v>0</v>
      </c>
      <c r="R17" s="143">
        <v>0</v>
      </c>
      <c r="S17" s="137">
        <f t="shared" si="1"/>
        <v>0</v>
      </c>
      <c r="T17" s="138">
        <f t="shared" si="9"/>
        <v>0</v>
      </c>
      <c r="U17" s="248"/>
      <c r="V17" s="137">
        <f t="shared" si="2"/>
        <v>667811</v>
      </c>
      <c r="W17" s="138">
        <f t="shared" si="10"/>
        <v>5.67E-2</v>
      </c>
      <c r="X17" s="137">
        <f t="shared" si="3"/>
        <v>160224</v>
      </c>
      <c r="Y17" s="138">
        <f t="shared" si="14"/>
        <v>5.96E-2</v>
      </c>
      <c r="Z17" s="139"/>
      <c r="AA17" s="137">
        <f t="shared" si="4"/>
        <v>667811</v>
      </c>
      <c r="AB17" s="141">
        <f>ROUNDUP(AA17/AA$61,4)</f>
        <v>3.3500000000000002E-2</v>
      </c>
      <c r="AC17" s="137">
        <f t="shared" si="5"/>
        <v>666988</v>
      </c>
      <c r="AD17" s="138">
        <f t="shared" si="12"/>
        <v>3.3700000000000001E-2</v>
      </c>
      <c r="AE17" s="137">
        <f t="shared" si="6"/>
        <v>665303</v>
      </c>
      <c r="AF17" s="138">
        <f>ROUND(AE17/AE$61,4)</f>
        <v>3.3500000000000002E-2</v>
      </c>
      <c r="AH17" s="254">
        <v>667811</v>
      </c>
      <c r="AI17" s="254">
        <f t="shared" si="7"/>
        <v>0</v>
      </c>
    </row>
    <row r="18" spans="1:35" ht="17.25" x14ac:dyDescent="0.3">
      <c r="A18" s="252" t="s">
        <v>203</v>
      </c>
      <c r="B18" s="136" t="s">
        <v>65</v>
      </c>
      <c r="C18" s="253">
        <v>4188</v>
      </c>
      <c r="D18" s="253">
        <v>226</v>
      </c>
      <c r="E18" s="253">
        <v>19244</v>
      </c>
      <c r="F18" s="253">
        <v>5683</v>
      </c>
      <c r="G18" s="253">
        <v>170</v>
      </c>
      <c r="H18" s="253">
        <v>63979</v>
      </c>
      <c r="I18" s="253">
        <v>2608</v>
      </c>
      <c r="J18" s="253">
        <v>0</v>
      </c>
      <c r="K18" s="253">
        <v>12</v>
      </c>
      <c r="L18" s="253">
        <v>175</v>
      </c>
      <c r="M18" s="253">
        <v>11</v>
      </c>
      <c r="N18" s="253">
        <v>87</v>
      </c>
      <c r="O18" s="253">
        <f t="shared" si="8"/>
        <v>96383</v>
      </c>
      <c r="P18" s="248"/>
      <c r="Q18" s="137">
        <f t="shared" si="0"/>
        <v>0</v>
      </c>
      <c r="R18" s="143">
        <v>0</v>
      </c>
      <c r="S18" s="137">
        <f t="shared" si="1"/>
        <v>0</v>
      </c>
      <c r="T18" s="138">
        <f t="shared" si="9"/>
        <v>0</v>
      </c>
      <c r="U18" s="248"/>
      <c r="V18" s="137">
        <f t="shared" si="2"/>
        <v>96383</v>
      </c>
      <c r="W18" s="138">
        <f t="shared" si="10"/>
        <v>8.2000000000000007E-3</v>
      </c>
      <c r="X18" s="137">
        <f t="shared" si="3"/>
        <v>24927</v>
      </c>
      <c r="Y18" s="138">
        <f t="shared" si="14"/>
        <v>9.2999999999999992E-3</v>
      </c>
      <c r="Z18" s="139"/>
      <c r="AA18" s="137">
        <f t="shared" si="4"/>
        <v>96383</v>
      </c>
      <c r="AB18" s="138">
        <f t="shared" si="11"/>
        <v>4.7999999999999996E-3</v>
      </c>
      <c r="AC18" s="137">
        <f t="shared" si="5"/>
        <v>96296</v>
      </c>
      <c r="AD18" s="138">
        <f t="shared" si="12"/>
        <v>4.8999999999999998E-3</v>
      </c>
      <c r="AE18" s="137">
        <f t="shared" si="6"/>
        <v>95801</v>
      </c>
      <c r="AF18" s="138">
        <f t="shared" ref="AF18:AF25" si="15">ROUND(AE18/AE$61,4)</f>
        <v>4.7999999999999996E-3</v>
      </c>
      <c r="AH18" s="254">
        <v>96383</v>
      </c>
      <c r="AI18" s="254">
        <f t="shared" si="7"/>
        <v>0</v>
      </c>
    </row>
    <row r="19" spans="1:35" ht="17.25" x14ac:dyDescent="0.3">
      <c r="A19" s="252" t="s">
        <v>203</v>
      </c>
      <c r="B19" s="136" t="s">
        <v>66</v>
      </c>
      <c r="C19" s="253">
        <v>1251</v>
      </c>
      <c r="D19" s="253">
        <v>89</v>
      </c>
      <c r="E19" s="253">
        <v>10621</v>
      </c>
      <c r="F19" s="253">
        <v>2855</v>
      </c>
      <c r="G19" s="253">
        <v>29</v>
      </c>
      <c r="H19" s="253">
        <v>33898</v>
      </c>
      <c r="I19" s="253">
        <v>1382</v>
      </c>
      <c r="J19" s="253">
        <v>0</v>
      </c>
      <c r="K19" s="253">
        <v>3</v>
      </c>
      <c r="L19" s="253">
        <v>7</v>
      </c>
      <c r="M19" s="253">
        <v>20</v>
      </c>
      <c r="N19" s="253">
        <v>1</v>
      </c>
      <c r="O19" s="253">
        <f t="shared" si="8"/>
        <v>50156</v>
      </c>
      <c r="P19" s="248"/>
      <c r="Q19" s="137">
        <f t="shared" si="0"/>
        <v>0</v>
      </c>
      <c r="R19" s="143">
        <v>0</v>
      </c>
      <c r="S19" s="137">
        <f t="shared" si="1"/>
        <v>0</v>
      </c>
      <c r="T19" s="138">
        <f t="shared" si="9"/>
        <v>0</v>
      </c>
      <c r="U19" s="248"/>
      <c r="V19" s="137">
        <f t="shared" si="2"/>
        <v>50156</v>
      </c>
      <c r="W19" s="138">
        <f t="shared" si="10"/>
        <v>4.3E-3</v>
      </c>
      <c r="X19" s="137">
        <f t="shared" si="3"/>
        <v>13476</v>
      </c>
      <c r="Y19" s="138">
        <f t="shared" si="14"/>
        <v>5.0000000000000001E-3</v>
      </c>
      <c r="Z19" s="139"/>
      <c r="AA19" s="137">
        <f t="shared" si="4"/>
        <v>50156</v>
      </c>
      <c r="AB19" s="138">
        <f t="shared" si="11"/>
        <v>2.5000000000000001E-3</v>
      </c>
      <c r="AC19" s="137">
        <f t="shared" si="5"/>
        <v>50155</v>
      </c>
      <c r="AD19" s="138">
        <f t="shared" si="12"/>
        <v>2.5000000000000001E-3</v>
      </c>
      <c r="AE19" s="137">
        <f t="shared" si="6"/>
        <v>50011</v>
      </c>
      <c r="AF19" s="138">
        <f t="shared" si="15"/>
        <v>2.5000000000000001E-3</v>
      </c>
      <c r="AH19" s="254">
        <v>50156</v>
      </c>
      <c r="AI19" s="254">
        <f t="shared" si="7"/>
        <v>0</v>
      </c>
    </row>
    <row r="20" spans="1:35" ht="17.25" x14ac:dyDescent="0.3">
      <c r="A20" s="252" t="s">
        <v>203</v>
      </c>
      <c r="B20" s="136" t="s">
        <v>67</v>
      </c>
      <c r="C20" s="253">
        <v>596</v>
      </c>
      <c r="D20" s="253">
        <v>44</v>
      </c>
      <c r="E20" s="253">
        <v>2452</v>
      </c>
      <c r="F20" s="253">
        <v>970</v>
      </c>
      <c r="G20" s="253">
        <v>2</v>
      </c>
      <c r="H20" s="253">
        <v>8705</v>
      </c>
      <c r="I20" s="253">
        <v>355</v>
      </c>
      <c r="J20" s="253">
        <v>0</v>
      </c>
      <c r="K20" s="253">
        <v>0</v>
      </c>
      <c r="L20" s="253">
        <v>24</v>
      </c>
      <c r="M20" s="253">
        <v>1</v>
      </c>
      <c r="N20" s="253">
        <v>34</v>
      </c>
      <c r="O20" s="253">
        <f t="shared" si="8"/>
        <v>13183</v>
      </c>
      <c r="P20" s="248"/>
      <c r="Q20" s="137">
        <f t="shared" si="0"/>
        <v>0</v>
      </c>
      <c r="R20" s="143">
        <v>0</v>
      </c>
      <c r="S20" s="137">
        <f t="shared" si="1"/>
        <v>0</v>
      </c>
      <c r="T20" s="138">
        <f t="shared" si="9"/>
        <v>0</v>
      </c>
      <c r="U20" s="248"/>
      <c r="V20" s="137">
        <f t="shared" si="2"/>
        <v>13183</v>
      </c>
      <c r="W20" s="138">
        <f t="shared" si="10"/>
        <v>1.1000000000000001E-3</v>
      </c>
      <c r="X20" s="137">
        <f t="shared" si="3"/>
        <v>3422</v>
      </c>
      <c r="Y20" s="138">
        <f t="shared" si="14"/>
        <v>1.2999999999999999E-3</v>
      </c>
      <c r="Z20" s="139"/>
      <c r="AA20" s="137">
        <f t="shared" si="4"/>
        <v>13183</v>
      </c>
      <c r="AB20" s="138">
        <f t="shared" si="11"/>
        <v>6.9999999999999999E-4</v>
      </c>
      <c r="AC20" s="137">
        <f t="shared" si="5"/>
        <v>13149</v>
      </c>
      <c r="AD20" s="138">
        <f t="shared" si="12"/>
        <v>6.9999999999999999E-4</v>
      </c>
      <c r="AE20" s="137">
        <f t="shared" si="6"/>
        <v>13112</v>
      </c>
      <c r="AF20" s="138">
        <f t="shared" si="15"/>
        <v>6.9999999999999999E-4</v>
      </c>
      <c r="AH20" s="254">
        <v>13183</v>
      </c>
      <c r="AI20" s="254">
        <f t="shared" si="7"/>
        <v>0</v>
      </c>
    </row>
    <row r="21" spans="1:35" ht="17.25" x14ac:dyDescent="0.3">
      <c r="A21" s="252" t="s">
        <v>203</v>
      </c>
      <c r="B21" s="136" t="s">
        <v>68</v>
      </c>
      <c r="C21" s="253">
        <v>175283</v>
      </c>
      <c r="D21" s="253">
        <v>11005</v>
      </c>
      <c r="E21" s="253">
        <v>917898</v>
      </c>
      <c r="F21" s="253">
        <v>444905</v>
      </c>
      <c r="G21" s="253">
        <v>11650</v>
      </c>
      <c r="H21" s="253">
        <v>4098496</v>
      </c>
      <c r="I21" s="253">
        <v>167095</v>
      </c>
      <c r="J21" s="253">
        <v>106</v>
      </c>
      <c r="K21" s="253">
        <v>6410</v>
      </c>
      <c r="L21" s="253">
        <v>12391</v>
      </c>
      <c r="M21" s="253">
        <v>0</v>
      </c>
      <c r="N21" s="253">
        <v>98303</v>
      </c>
      <c r="O21" s="253">
        <f t="shared" si="8"/>
        <v>5943542</v>
      </c>
      <c r="P21" s="248"/>
      <c r="Q21" s="137">
        <f t="shared" si="0"/>
        <v>0</v>
      </c>
      <c r="R21" s="143">
        <v>0</v>
      </c>
      <c r="S21" s="137">
        <f t="shared" si="1"/>
        <v>0</v>
      </c>
      <c r="T21" s="138">
        <f t="shared" si="9"/>
        <v>0</v>
      </c>
      <c r="U21" s="248"/>
      <c r="V21" s="137">
        <f t="shared" si="2"/>
        <v>5943542</v>
      </c>
      <c r="W21" s="138">
        <f t="shared" si="10"/>
        <v>0.50470000000000004</v>
      </c>
      <c r="X21" s="137">
        <f t="shared" si="3"/>
        <v>1362803</v>
      </c>
      <c r="Y21" s="138">
        <f t="shared" si="14"/>
        <v>0.50690000000000002</v>
      </c>
      <c r="Z21" s="139"/>
      <c r="AA21" s="137">
        <f t="shared" si="4"/>
        <v>5943542</v>
      </c>
      <c r="AB21" s="138">
        <f t="shared" si="11"/>
        <v>0.29809999999999998</v>
      </c>
      <c r="AC21" s="137">
        <f t="shared" si="5"/>
        <v>5845239</v>
      </c>
      <c r="AD21" s="138">
        <f t="shared" si="12"/>
        <v>0.29520000000000002</v>
      </c>
      <c r="AE21" s="137">
        <f t="shared" si="6"/>
        <v>5908496</v>
      </c>
      <c r="AF21" s="138">
        <f t="shared" si="15"/>
        <v>0.29780000000000001</v>
      </c>
      <c r="AH21" s="254">
        <v>5943542</v>
      </c>
      <c r="AI21" s="254">
        <f t="shared" si="7"/>
        <v>0</v>
      </c>
    </row>
    <row r="22" spans="1:35" ht="17.25" x14ac:dyDescent="0.3">
      <c r="A22" s="252" t="s">
        <v>203</v>
      </c>
      <c r="B22" s="136" t="s">
        <v>69</v>
      </c>
      <c r="C22" s="253">
        <v>4487</v>
      </c>
      <c r="D22" s="253">
        <v>213</v>
      </c>
      <c r="E22" s="253">
        <v>23031</v>
      </c>
      <c r="F22" s="253">
        <v>5959</v>
      </c>
      <c r="G22" s="253">
        <v>169</v>
      </c>
      <c r="H22" s="253">
        <v>78334</v>
      </c>
      <c r="I22" s="253">
        <v>3194</v>
      </c>
      <c r="J22" s="253">
        <v>0</v>
      </c>
      <c r="K22" s="253">
        <v>3</v>
      </c>
      <c r="L22" s="253">
        <v>75</v>
      </c>
      <c r="M22" s="253">
        <v>10</v>
      </c>
      <c r="N22" s="253">
        <v>40</v>
      </c>
      <c r="O22" s="253">
        <f t="shared" si="8"/>
        <v>115515</v>
      </c>
      <c r="P22" s="248"/>
      <c r="Q22" s="137">
        <f t="shared" si="0"/>
        <v>0</v>
      </c>
      <c r="R22" s="143">
        <v>0</v>
      </c>
      <c r="S22" s="137">
        <f t="shared" si="1"/>
        <v>0</v>
      </c>
      <c r="T22" s="138">
        <f t="shared" si="9"/>
        <v>0</v>
      </c>
      <c r="U22" s="248"/>
      <c r="V22" s="137">
        <f t="shared" si="2"/>
        <v>115515</v>
      </c>
      <c r="W22" s="138">
        <f t="shared" si="10"/>
        <v>9.7999999999999997E-3</v>
      </c>
      <c r="X22" s="137">
        <f t="shared" si="3"/>
        <v>28990</v>
      </c>
      <c r="Y22" s="141">
        <f>ROUNDUP(X22/X$61,4)</f>
        <v>1.0799999999999999E-2</v>
      </c>
      <c r="Z22" s="144"/>
      <c r="AA22" s="137">
        <f t="shared" si="4"/>
        <v>115515</v>
      </c>
      <c r="AB22" s="138">
        <f t="shared" si="11"/>
        <v>5.7999999999999996E-3</v>
      </c>
      <c r="AC22" s="137">
        <f t="shared" si="5"/>
        <v>115475</v>
      </c>
      <c r="AD22" s="138">
        <f t="shared" si="12"/>
        <v>5.7999999999999996E-3</v>
      </c>
      <c r="AE22" s="137">
        <f t="shared" si="6"/>
        <v>115048</v>
      </c>
      <c r="AF22" s="138">
        <f t="shared" si="15"/>
        <v>5.7999999999999996E-3</v>
      </c>
      <c r="AH22" s="254">
        <v>115515</v>
      </c>
      <c r="AI22" s="254">
        <f t="shared" si="7"/>
        <v>0</v>
      </c>
    </row>
    <row r="23" spans="1:35" ht="17.25" x14ac:dyDescent="0.3">
      <c r="A23" s="252" t="s">
        <v>203</v>
      </c>
      <c r="B23" s="136" t="s">
        <v>70</v>
      </c>
      <c r="C23" s="253">
        <v>1171</v>
      </c>
      <c r="D23" s="253">
        <v>54</v>
      </c>
      <c r="E23" s="253">
        <v>9775</v>
      </c>
      <c r="F23" s="253">
        <v>3011</v>
      </c>
      <c r="G23" s="253">
        <v>323</v>
      </c>
      <c r="H23" s="253">
        <v>51653</v>
      </c>
      <c r="I23" s="253">
        <v>2106</v>
      </c>
      <c r="J23" s="253">
        <v>1</v>
      </c>
      <c r="K23" s="253">
        <v>35</v>
      </c>
      <c r="L23" s="253">
        <v>11</v>
      </c>
      <c r="M23" s="253">
        <v>99</v>
      </c>
      <c r="N23" s="253">
        <v>988</v>
      </c>
      <c r="O23" s="253">
        <f t="shared" si="8"/>
        <v>69227</v>
      </c>
      <c r="P23" s="248"/>
      <c r="Q23" s="137">
        <f t="shared" si="0"/>
        <v>0</v>
      </c>
      <c r="R23" s="143">
        <v>0</v>
      </c>
      <c r="S23" s="137">
        <f t="shared" si="1"/>
        <v>0</v>
      </c>
      <c r="T23" s="138">
        <f t="shared" si="9"/>
        <v>0</v>
      </c>
      <c r="U23" s="248"/>
      <c r="V23" s="137">
        <f t="shared" si="2"/>
        <v>69227</v>
      </c>
      <c r="W23" s="138">
        <f t="shared" si="10"/>
        <v>5.8999999999999999E-3</v>
      </c>
      <c r="X23" s="137">
        <f t="shared" si="3"/>
        <v>12786</v>
      </c>
      <c r="Y23" s="138">
        <f t="shared" si="14"/>
        <v>4.7999999999999996E-3</v>
      </c>
      <c r="Z23" s="139"/>
      <c r="AA23" s="137">
        <f t="shared" si="4"/>
        <v>69227</v>
      </c>
      <c r="AB23" s="138">
        <f t="shared" si="11"/>
        <v>3.5000000000000001E-3</v>
      </c>
      <c r="AC23" s="137">
        <f t="shared" si="5"/>
        <v>68239</v>
      </c>
      <c r="AD23" s="138">
        <f t="shared" si="12"/>
        <v>3.3999999999999998E-3</v>
      </c>
      <c r="AE23" s="137">
        <f t="shared" si="6"/>
        <v>68740</v>
      </c>
      <c r="AF23" s="138">
        <f t="shared" si="15"/>
        <v>3.5000000000000001E-3</v>
      </c>
      <c r="AH23" s="254">
        <v>69227</v>
      </c>
      <c r="AI23" s="254">
        <f t="shared" si="7"/>
        <v>0</v>
      </c>
    </row>
    <row r="24" spans="1:35" ht="17.25" x14ac:dyDescent="0.3">
      <c r="A24" s="252" t="s">
        <v>203</v>
      </c>
      <c r="B24" s="136" t="s">
        <v>71</v>
      </c>
      <c r="C24" s="253">
        <v>261</v>
      </c>
      <c r="D24" s="253">
        <v>13</v>
      </c>
      <c r="E24" s="253">
        <v>2116</v>
      </c>
      <c r="F24" s="253">
        <v>494</v>
      </c>
      <c r="G24" s="253">
        <v>3</v>
      </c>
      <c r="H24" s="253">
        <v>5703</v>
      </c>
      <c r="I24" s="253">
        <v>232</v>
      </c>
      <c r="J24" s="253">
        <v>0</v>
      </c>
      <c r="K24" s="253">
        <v>0</v>
      </c>
      <c r="L24" s="253">
        <v>14</v>
      </c>
      <c r="M24" s="253">
        <v>1</v>
      </c>
      <c r="N24" s="253">
        <v>17</v>
      </c>
      <c r="O24" s="253">
        <f t="shared" si="8"/>
        <v>8854</v>
      </c>
      <c r="P24" s="248"/>
      <c r="Q24" s="137">
        <f t="shared" si="0"/>
        <v>0</v>
      </c>
      <c r="R24" s="143">
        <v>0</v>
      </c>
      <c r="S24" s="137">
        <f t="shared" si="1"/>
        <v>0</v>
      </c>
      <c r="T24" s="138">
        <f t="shared" si="9"/>
        <v>0</v>
      </c>
      <c r="U24" s="248"/>
      <c r="V24" s="137">
        <f t="shared" si="2"/>
        <v>8854</v>
      </c>
      <c r="W24" s="138">
        <f t="shared" si="10"/>
        <v>8.0000000000000004E-4</v>
      </c>
      <c r="X24" s="137">
        <f t="shared" si="3"/>
        <v>2610</v>
      </c>
      <c r="Y24" s="138">
        <f t="shared" si="14"/>
        <v>1E-3</v>
      </c>
      <c r="Z24" s="139"/>
      <c r="AA24" s="137">
        <f t="shared" si="4"/>
        <v>8854</v>
      </c>
      <c r="AB24" s="138">
        <f t="shared" si="11"/>
        <v>4.0000000000000002E-4</v>
      </c>
      <c r="AC24" s="137">
        <f t="shared" si="5"/>
        <v>8837</v>
      </c>
      <c r="AD24" s="138">
        <f t="shared" si="12"/>
        <v>4.0000000000000002E-4</v>
      </c>
      <c r="AE24" s="137">
        <f t="shared" si="6"/>
        <v>8823</v>
      </c>
      <c r="AF24" s="138">
        <f t="shared" si="15"/>
        <v>4.0000000000000002E-4</v>
      </c>
      <c r="AH24" s="254">
        <v>8854</v>
      </c>
      <c r="AI24" s="254">
        <f t="shared" si="7"/>
        <v>0</v>
      </c>
    </row>
    <row r="25" spans="1:35" ht="17.25" x14ac:dyDescent="0.3">
      <c r="A25" s="252" t="s">
        <v>203</v>
      </c>
      <c r="B25" s="136" t="s">
        <v>72</v>
      </c>
      <c r="C25" s="253">
        <v>1025</v>
      </c>
      <c r="D25" s="253">
        <v>200</v>
      </c>
      <c r="E25" s="253">
        <v>11454</v>
      </c>
      <c r="F25" s="253">
        <v>2212</v>
      </c>
      <c r="G25" s="253">
        <v>55</v>
      </c>
      <c r="H25" s="253">
        <v>41006</v>
      </c>
      <c r="I25" s="253">
        <v>1672</v>
      </c>
      <c r="J25" s="253">
        <v>0</v>
      </c>
      <c r="K25" s="253">
        <v>4</v>
      </c>
      <c r="L25" s="253">
        <v>55</v>
      </c>
      <c r="M25" s="253">
        <v>12</v>
      </c>
      <c r="N25" s="253">
        <v>39</v>
      </c>
      <c r="O25" s="253">
        <f t="shared" si="8"/>
        <v>57734</v>
      </c>
      <c r="P25" s="248"/>
      <c r="Q25" s="137">
        <f t="shared" si="0"/>
        <v>0</v>
      </c>
      <c r="R25" s="143">
        <v>0</v>
      </c>
      <c r="S25" s="137">
        <f t="shared" si="1"/>
        <v>0</v>
      </c>
      <c r="T25" s="138">
        <f t="shared" si="9"/>
        <v>0</v>
      </c>
      <c r="U25" s="248"/>
      <c r="V25" s="137">
        <f t="shared" si="2"/>
        <v>57734</v>
      </c>
      <c r="W25" s="138">
        <f t="shared" si="10"/>
        <v>4.8999999999999998E-3</v>
      </c>
      <c r="X25" s="137">
        <f t="shared" si="3"/>
        <v>13666</v>
      </c>
      <c r="Y25" s="138">
        <f>ROUND(X25/X$61,4)</f>
        <v>5.1000000000000004E-3</v>
      </c>
      <c r="Z25" s="144"/>
      <c r="AA25" s="137">
        <f t="shared" si="4"/>
        <v>57734</v>
      </c>
      <c r="AB25" s="138">
        <f t="shared" si="11"/>
        <v>2.8999999999999998E-3</v>
      </c>
      <c r="AC25" s="137">
        <f t="shared" si="5"/>
        <v>57695</v>
      </c>
      <c r="AD25" s="138">
        <f t="shared" si="12"/>
        <v>2.8999999999999998E-3</v>
      </c>
      <c r="AE25" s="137">
        <f t="shared" si="6"/>
        <v>57412</v>
      </c>
      <c r="AF25" s="138">
        <f t="shared" si="15"/>
        <v>2.8999999999999998E-3</v>
      </c>
      <c r="AH25" s="254">
        <v>57734</v>
      </c>
      <c r="AI25" s="254">
        <f t="shared" si="7"/>
        <v>0</v>
      </c>
    </row>
    <row r="26" spans="1:35" ht="17.25" x14ac:dyDescent="0.3">
      <c r="A26" s="252" t="s">
        <v>203</v>
      </c>
      <c r="B26" s="136" t="s">
        <v>73</v>
      </c>
      <c r="C26" s="253">
        <v>8206</v>
      </c>
      <c r="D26" s="253">
        <v>372</v>
      </c>
      <c r="E26" s="253">
        <v>41876</v>
      </c>
      <c r="F26" s="253">
        <v>11899</v>
      </c>
      <c r="G26" s="253">
        <v>149</v>
      </c>
      <c r="H26" s="253">
        <v>144719</v>
      </c>
      <c r="I26" s="253">
        <v>5900</v>
      </c>
      <c r="J26" s="253">
        <v>0</v>
      </c>
      <c r="K26" s="253">
        <v>44</v>
      </c>
      <c r="L26" s="253">
        <v>221</v>
      </c>
      <c r="M26" s="253">
        <v>0</v>
      </c>
      <c r="N26" s="253">
        <v>45</v>
      </c>
      <c r="O26" s="253">
        <f t="shared" si="8"/>
        <v>213431</v>
      </c>
      <c r="P26" s="248"/>
      <c r="Q26" s="137">
        <f t="shared" si="0"/>
        <v>0</v>
      </c>
      <c r="R26" s="143">
        <v>0</v>
      </c>
      <c r="S26" s="137">
        <f t="shared" si="1"/>
        <v>0</v>
      </c>
      <c r="T26" s="138">
        <f t="shared" si="9"/>
        <v>0</v>
      </c>
      <c r="U26" s="248"/>
      <c r="V26" s="137">
        <f t="shared" si="2"/>
        <v>213431</v>
      </c>
      <c r="W26" s="138">
        <f t="shared" si="10"/>
        <v>1.8100000000000002E-2</v>
      </c>
      <c r="X26" s="137">
        <f t="shared" si="3"/>
        <v>53775</v>
      </c>
      <c r="Y26" s="138">
        <f t="shared" si="14"/>
        <v>0.02</v>
      </c>
      <c r="Z26" s="139"/>
      <c r="AA26" s="137">
        <f t="shared" si="4"/>
        <v>213431</v>
      </c>
      <c r="AB26" s="138">
        <f>ROUND(AA26/AA$61,4)</f>
        <v>1.0699999999999999E-2</v>
      </c>
      <c r="AC26" s="137">
        <f t="shared" si="5"/>
        <v>213386</v>
      </c>
      <c r="AD26" s="138">
        <f t="shared" si="12"/>
        <v>1.0800000000000001E-2</v>
      </c>
      <c r="AE26" s="137">
        <f t="shared" si="6"/>
        <v>212689</v>
      </c>
      <c r="AF26" s="138">
        <f>ROUND(AE26/AE$61,4)</f>
        <v>1.0699999999999999E-2</v>
      </c>
      <c r="AH26" s="254">
        <v>213431</v>
      </c>
      <c r="AI26" s="254">
        <f t="shared" si="7"/>
        <v>0</v>
      </c>
    </row>
    <row r="27" spans="1:35" ht="17.25" x14ac:dyDescent="0.3">
      <c r="A27" s="252" t="s">
        <v>203</v>
      </c>
      <c r="B27" s="136" t="s">
        <v>74</v>
      </c>
      <c r="C27" s="253">
        <v>196</v>
      </c>
      <c r="D27" s="253">
        <v>7</v>
      </c>
      <c r="E27" s="253">
        <v>1309</v>
      </c>
      <c r="F27" s="253">
        <v>357</v>
      </c>
      <c r="G27" s="253">
        <v>0</v>
      </c>
      <c r="H27" s="253">
        <v>3578</v>
      </c>
      <c r="I27" s="253">
        <v>146</v>
      </c>
      <c r="J27" s="253">
        <v>0</v>
      </c>
      <c r="K27" s="253">
        <v>0</v>
      </c>
      <c r="L27" s="253">
        <v>9</v>
      </c>
      <c r="M27" s="253">
        <v>0</v>
      </c>
      <c r="N27" s="253">
        <v>33</v>
      </c>
      <c r="O27" s="253">
        <f t="shared" si="8"/>
        <v>5635</v>
      </c>
      <c r="P27" s="248"/>
      <c r="Q27" s="137">
        <f t="shared" si="0"/>
        <v>0</v>
      </c>
      <c r="R27" s="143">
        <v>0</v>
      </c>
      <c r="S27" s="137">
        <f t="shared" si="1"/>
        <v>0</v>
      </c>
      <c r="T27" s="138">
        <f t="shared" si="9"/>
        <v>0</v>
      </c>
      <c r="U27" s="248"/>
      <c r="V27" s="137">
        <f t="shared" si="2"/>
        <v>5635</v>
      </c>
      <c r="W27" s="138">
        <f t="shared" si="10"/>
        <v>5.0000000000000001E-4</v>
      </c>
      <c r="X27" s="137">
        <f t="shared" si="3"/>
        <v>1666</v>
      </c>
      <c r="Y27" s="138">
        <f t="shared" si="14"/>
        <v>5.9999999999999995E-4</v>
      </c>
      <c r="Z27" s="139"/>
      <c r="AA27" s="137">
        <f t="shared" si="4"/>
        <v>5635</v>
      </c>
      <c r="AB27" s="138">
        <f t="shared" si="11"/>
        <v>2.9999999999999997E-4</v>
      </c>
      <c r="AC27" s="137">
        <f t="shared" si="5"/>
        <v>5602</v>
      </c>
      <c r="AD27" s="138">
        <f t="shared" si="12"/>
        <v>2.9999999999999997E-4</v>
      </c>
      <c r="AE27" s="137">
        <f t="shared" si="6"/>
        <v>5619</v>
      </c>
      <c r="AF27" s="138">
        <f t="shared" ref="AF27:AF34" si="16">ROUND(AE27/AE$61,4)</f>
        <v>2.9999999999999997E-4</v>
      </c>
      <c r="AH27" s="254">
        <v>5635</v>
      </c>
      <c r="AI27" s="254">
        <f t="shared" si="7"/>
        <v>0</v>
      </c>
    </row>
    <row r="28" spans="1:35" ht="17.25" x14ac:dyDescent="0.3">
      <c r="A28" s="252" t="s">
        <v>203</v>
      </c>
      <c r="B28" s="136" t="s">
        <v>75</v>
      </c>
      <c r="C28" s="253">
        <v>28</v>
      </c>
      <c r="D28" s="253">
        <v>1</v>
      </c>
      <c r="E28" s="253">
        <v>577</v>
      </c>
      <c r="F28" s="253">
        <v>62</v>
      </c>
      <c r="G28" s="253">
        <v>3</v>
      </c>
      <c r="H28" s="253">
        <v>3598</v>
      </c>
      <c r="I28" s="253">
        <v>147</v>
      </c>
      <c r="J28" s="253">
        <v>0</v>
      </c>
      <c r="K28" s="253">
        <v>2</v>
      </c>
      <c r="L28" s="253">
        <v>1</v>
      </c>
      <c r="M28" s="253">
        <v>2</v>
      </c>
      <c r="N28" s="253">
        <v>1</v>
      </c>
      <c r="O28" s="253">
        <f t="shared" si="8"/>
        <v>4422</v>
      </c>
      <c r="P28" s="248"/>
      <c r="Q28" s="137">
        <f t="shared" si="0"/>
        <v>0</v>
      </c>
      <c r="R28" s="143">
        <v>0</v>
      </c>
      <c r="S28" s="137">
        <f t="shared" si="1"/>
        <v>0</v>
      </c>
      <c r="T28" s="138">
        <f t="shared" si="9"/>
        <v>0</v>
      </c>
      <c r="U28" s="248"/>
      <c r="V28" s="137">
        <f t="shared" si="2"/>
        <v>4422</v>
      </c>
      <c r="W28" s="138">
        <f t="shared" si="10"/>
        <v>4.0000000000000002E-4</v>
      </c>
      <c r="X28" s="137">
        <f t="shared" si="3"/>
        <v>639</v>
      </c>
      <c r="Y28" s="138">
        <f t="shared" si="14"/>
        <v>2.0000000000000001E-4</v>
      </c>
      <c r="Z28" s="139"/>
      <c r="AA28" s="137">
        <f t="shared" si="4"/>
        <v>4422</v>
      </c>
      <c r="AB28" s="138">
        <f t="shared" si="11"/>
        <v>2.0000000000000001E-4</v>
      </c>
      <c r="AC28" s="137">
        <f t="shared" si="5"/>
        <v>4421</v>
      </c>
      <c r="AD28" s="138">
        <f t="shared" si="12"/>
        <v>2.0000000000000001E-4</v>
      </c>
      <c r="AE28" s="137">
        <f t="shared" si="6"/>
        <v>4415</v>
      </c>
      <c r="AF28" s="138">
        <f t="shared" si="16"/>
        <v>2.0000000000000001E-4</v>
      </c>
      <c r="AH28" s="254">
        <v>4422</v>
      </c>
      <c r="AI28" s="254">
        <f t="shared" si="7"/>
        <v>0</v>
      </c>
    </row>
    <row r="29" spans="1:35" ht="17.25" x14ac:dyDescent="0.3">
      <c r="A29" s="252" t="s">
        <v>203</v>
      </c>
      <c r="B29" s="136" t="s">
        <v>76</v>
      </c>
      <c r="C29" s="253">
        <v>4874</v>
      </c>
      <c r="D29" s="253">
        <v>160</v>
      </c>
      <c r="E29" s="253">
        <v>35249</v>
      </c>
      <c r="F29" s="253">
        <v>7068</v>
      </c>
      <c r="G29" s="253">
        <v>223</v>
      </c>
      <c r="H29" s="253">
        <v>204322</v>
      </c>
      <c r="I29" s="253">
        <v>8330</v>
      </c>
      <c r="J29" s="253">
        <v>0</v>
      </c>
      <c r="K29" s="253">
        <v>31</v>
      </c>
      <c r="L29" s="253">
        <v>64</v>
      </c>
      <c r="M29" s="253">
        <v>0</v>
      </c>
      <c r="N29" s="253">
        <v>201</v>
      </c>
      <c r="O29" s="253">
        <f t="shared" si="8"/>
        <v>260522</v>
      </c>
      <c r="P29" s="248"/>
      <c r="Q29" s="137">
        <f t="shared" si="0"/>
        <v>0</v>
      </c>
      <c r="R29" s="143">
        <v>0</v>
      </c>
      <c r="S29" s="137">
        <f t="shared" si="1"/>
        <v>0</v>
      </c>
      <c r="T29" s="138">
        <f t="shared" si="9"/>
        <v>0</v>
      </c>
      <c r="U29" s="248"/>
      <c r="V29" s="137">
        <f t="shared" si="2"/>
        <v>260522</v>
      </c>
      <c r="W29" s="141">
        <f>ROUNDUP(V29/V$61,4)</f>
        <v>2.2200000000000001E-2</v>
      </c>
      <c r="X29" s="137">
        <f t="shared" si="3"/>
        <v>42317</v>
      </c>
      <c r="Y29" s="138">
        <f>ROUND(X29/X$61,4)</f>
        <v>1.5699999999999999E-2</v>
      </c>
      <c r="Z29" s="144"/>
      <c r="AA29" s="137">
        <f t="shared" si="4"/>
        <v>260522</v>
      </c>
      <c r="AB29" s="138">
        <f t="shared" si="11"/>
        <v>1.3100000000000001E-2</v>
      </c>
      <c r="AC29" s="137">
        <f t="shared" si="5"/>
        <v>260321</v>
      </c>
      <c r="AD29" s="138">
        <f>ROUND(AC29/AC$61,4)</f>
        <v>1.3100000000000001E-2</v>
      </c>
      <c r="AE29" s="137">
        <f t="shared" si="6"/>
        <v>260075</v>
      </c>
      <c r="AF29" s="138">
        <f t="shared" si="16"/>
        <v>1.3100000000000001E-2</v>
      </c>
      <c r="AH29" s="254">
        <v>260522</v>
      </c>
      <c r="AI29" s="254">
        <f t="shared" si="7"/>
        <v>0</v>
      </c>
    </row>
    <row r="30" spans="1:35" ht="17.25" x14ac:dyDescent="0.3">
      <c r="A30" s="252" t="s">
        <v>203</v>
      </c>
      <c r="B30" s="136" t="s">
        <v>77</v>
      </c>
      <c r="C30" s="253">
        <v>501</v>
      </c>
      <c r="D30" s="253">
        <v>62</v>
      </c>
      <c r="E30" s="253">
        <v>6135</v>
      </c>
      <c r="F30" s="253">
        <v>1247</v>
      </c>
      <c r="G30" s="253">
        <v>37</v>
      </c>
      <c r="H30" s="253">
        <v>35224</v>
      </c>
      <c r="I30" s="253">
        <v>1436</v>
      </c>
      <c r="J30" s="253">
        <v>0</v>
      </c>
      <c r="K30" s="253">
        <v>15</v>
      </c>
      <c r="L30" s="253">
        <v>11</v>
      </c>
      <c r="M30" s="253">
        <v>56</v>
      </c>
      <c r="N30" s="253">
        <v>16</v>
      </c>
      <c r="O30" s="253">
        <f t="shared" si="8"/>
        <v>44740</v>
      </c>
      <c r="P30" s="248"/>
      <c r="Q30" s="137">
        <f t="shared" si="0"/>
        <v>0</v>
      </c>
      <c r="R30" s="143">
        <v>0</v>
      </c>
      <c r="S30" s="137">
        <f t="shared" si="1"/>
        <v>0</v>
      </c>
      <c r="T30" s="138">
        <f t="shared" si="9"/>
        <v>0</v>
      </c>
      <c r="U30" s="248"/>
      <c r="V30" s="137">
        <f t="shared" si="2"/>
        <v>44740</v>
      </c>
      <c r="W30" s="138">
        <f t="shared" si="10"/>
        <v>3.8E-3</v>
      </c>
      <c r="X30" s="137">
        <f t="shared" si="3"/>
        <v>7382</v>
      </c>
      <c r="Y30" s="138">
        <f t="shared" si="14"/>
        <v>2.7000000000000001E-3</v>
      </c>
      <c r="Z30" s="139"/>
      <c r="AA30" s="137">
        <f t="shared" si="4"/>
        <v>44740</v>
      </c>
      <c r="AB30" s="138">
        <f t="shared" si="11"/>
        <v>2.2000000000000001E-3</v>
      </c>
      <c r="AC30" s="137">
        <f t="shared" si="5"/>
        <v>44724</v>
      </c>
      <c r="AD30" s="138">
        <f t="shared" si="12"/>
        <v>2.3E-3</v>
      </c>
      <c r="AE30" s="137">
        <f t="shared" si="6"/>
        <v>44574</v>
      </c>
      <c r="AF30" s="138">
        <f t="shared" si="16"/>
        <v>2.2000000000000001E-3</v>
      </c>
      <c r="AH30" s="254">
        <v>44740</v>
      </c>
      <c r="AI30" s="254">
        <f t="shared" si="7"/>
        <v>0</v>
      </c>
    </row>
    <row r="31" spans="1:35" ht="17.25" x14ac:dyDescent="0.3">
      <c r="A31" s="252" t="s">
        <v>203</v>
      </c>
      <c r="B31" s="136" t="s">
        <v>78</v>
      </c>
      <c r="C31" s="253">
        <v>560</v>
      </c>
      <c r="D31" s="253">
        <v>41</v>
      </c>
      <c r="E31" s="253">
        <v>6772</v>
      </c>
      <c r="F31" s="253">
        <v>1441</v>
      </c>
      <c r="G31" s="253">
        <v>12</v>
      </c>
      <c r="H31" s="253">
        <v>26966</v>
      </c>
      <c r="I31" s="253">
        <v>1099</v>
      </c>
      <c r="J31" s="253">
        <v>0</v>
      </c>
      <c r="K31" s="253">
        <v>0</v>
      </c>
      <c r="L31" s="253">
        <v>24</v>
      </c>
      <c r="M31" s="253">
        <v>15</v>
      </c>
      <c r="N31" s="253">
        <v>72</v>
      </c>
      <c r="O31" s="253">
        <f t="shared" si="8"/>
        <v>37002</v>
      </c>
      <c r="P31" s="248"/>
      <c r="Q31" s="137">
        <f t="shared" si="0"/>
        <v>0</v>
      </c>
      <c r="R31" s="143">
        <v>0</v>
      </c>
      <c r="S31" s="137">
        <f t="shared" si="1"/>
        <v>0</v>
      </c>
      <c r="T31" s="138">
        <f t="shared" si="9"/>
        <v>0</v>
      </c>
      <c r="U31" s="248"/>
      <c r="V31" s="137">
        <f t="shared" si="2"/>
        <v>37002</v>
      </c>
      <c r="W31" s="138">
        <f t="shared" si="10"/>
        <v>3.0999999999999999E-3</v>
      </c>
      <c r="X31" s="137">
        <f t="shared" si="3"/>
        <v>8213</v>
      </c>
      <c r="Y31" s="138">
        <f t="shared" si="14"/>
        <v>3.0999999999999999E-3</v>
      </c>
      <c r="Z31" s="139"/>
      <c r="AA31" s="137">
        <f t="shared" si="4"/>
        <v>37002</v>
      </c>
      <c r="AB31" s="138">
        <f t="shared" si="11"/>
        <v>1.9E-3</v>
      </c>
      <c r="AC31" s="137">
        <f t="shared" si="5"/>
        <v>36930</v>
      </c>
      <c r="AD31" s="138">
        <f t="shared" si="12"/>
        <v>1.9E-3</v>
      </c>
      <c r="AE31" s="137">
        <f t="shared" si="6"/>
        <v>36910</v>
      </c>
      <c r="AF31" s="138">
        <f t="shared" si="16"/>
        <v>1.9E-3</v>
      </c>
      <c r="AH31" s="254">
        <v>37002</v>
      </c>
      <c r="AI31" s="254">
        <f t="shared" si="7"/>
        <v>0</v>
      </c>
    </row>
    <row r="32" spans="1:35" ht="17.25" x14ac:dyDescent="0.3">
      <c r="A32" s="252" t="s">
        <v>202</v>
      </c>
      <c r="B32" s="136" t="s">
        <v>79</v>
      </c>
      <c r="C32" s="253">
        <v>22080</v>
      </c>
      <c r="D32" s="253">
        <v>1407</v>
      </c>
      <c r="E32" s="253">
        <v>217227</v>
      </c>
      <c r="F32" s="253">
        <v>46538</v>
      </c>
      <c r="G32" s="253">
        <v>2764</v>
      </c>
      <c r="H32" s="253">
        <v>945091</v>
      </c>
      <c r="I32" s="253">
        <v>38531</v>
      </c>
      <c r="J32" s="253">
        <v>15</v>
      </c>
      <c r="K32" s="253">
        <v>1024</v>
      </c>
      <c r="L32" s="253">
        <v>459</v>
      </c>
      <c r="M32" s="253">
        <v>0</v>
      </c>
      <c r="N32" s="253">
        <v>4058</v>
      </c>
      <c r="O32" s="253">
        <f t="shared" si="8"/>
        <v>1279194</v>
      </c>
      <c r="P32" s="248"/>
      <c r="Q32" s="137">
        <f t="shared" si="0"/>
        <v>1279194</v>
      </c>
      <c r="R32" s="143">
        <v>0.12609999999999999</v>
      </c>
      <c r="S32" s="137">
        <f t="shared" si="1"/>
        <v>263765</v>
      </c>
      <c r="T32" s="141">
        <f>ROUNDDOWN(S32/S$61,4)</f>
        <v>0.1361</v>
      </c>
      <c r="U32" s="248"/>
      <c r="V32" s="137">
        <f t="shared" si="2"/>
        <v>0</v>
      </c>
      <c r="W32" s="138">
        <f t="shared" si="10"/>
        <v>0</v>
      </c>
      <c r="X32" s="137">
        <f t="shared" si="3"/>
        <v>0</v>
      </c>
      <c r="Y32" s="138">
        <f t="shared" si="14"/>
        <v>0</v>
      </c>
      <c r="Z32" s="139"/>
      <c r="AA32" s="137">
        <f t="shared" si="4"/>
        <v>1279194</v>
      </c>
      <c r="AB32" s="138">
        <f t="shared" si="11"/>
        <v>6.4199999999999993E-2</v>
      </c>
      <c r="AC32" s="137">
        <f t="shared" si="5"/>
        <v>1275136</v>
      </c>
      <c r="AD32" s="138">
        <f t="shared" si="12"/>
        <v>6.4399999999999999E-2</v>
      </c>
      <c r="AE32" s="137">
        <f t="shared" si="6"/>
        <v>1274564</v>
      </c>
      <c r="AF32" s="138">
        <f t="shared" si="16"/>
        <v>6.4199999999999993E-2</v>
      </c>
      <c r="AH32" s="254">
        <v>1279194</v>
      </c>
      <c r="AI32" s="254">
        <f t="shared" si="7"/>
        <v>0</v>
      </c>
    </row>
    <row r="33" spans="1:35" ht="17.25" x14ac:dyDescent="0.3">
      <c r="A33" s="252" t="s">
        <v>202</v>
      </c>
      <c r="B33" s="136" t="s">
        <v>80</v>
      </c>
      <c r="C33" s="253">
        <v>1407</v>
      </c>
      <c r="D33" s="253">
        <v>130</v>
      </c>
      <c r="E33" s="253">
        <v>15180</v>
      </c>
      <c r="F33" s="253">
        <v>3030</v>
      </c>
      <c r="G33" s="253">
        <v>160</v>
      </c>
      <c r="H33" s="253">
        <v>69282</v>
      </c>
      <c r="I33" s="253">
        <v>2825</v>
      </c>
      <c r="J33" s="253">
        <v>8</v>
      </c>
      <c r="K33" s="253">
        <v>40</v>
      </c>
      <c r="L33" s="253">
        <v>38</v>
      </c>
      <c r="M33" s="253">
        <v>0</v>
      </c>
      <c r="N33" s="253">
        <v>106</v>
      </c>
      <c r="O33" s="253">
        <f t="shared" si="8"/>
        <v>92206</v>
      </c>
      <c r="P33" s="248"/>
      <c r="Q33" s="137">
        <f t="shared" si="0"/>
        <v>92206</v>
      </c>
      <c r="R33" s="143">
        <v>9.1000000000000004E-3</v>
      </c>
      <c r="S33" s="137">
        <f t="shared" si="1"/>
        <v>18210</v>
      </c>
      <c r="T33" s="138">
        <f t="shared" si="9"/>
        <v>9.4000000000000004E-3</v>
      </c>
      <c r="U33" s="248"/>
      <c r="V33" s="137">
        <f t="shared" si="2"/>
        <v>0</v>
      </c>
      <c r="W33" s="138">
        <f t="shared" si="10"/>
        <v>0</v>
      </c>
      <c r="X33" s="137">
        <f t="shared" si="3"/>
        <v>0</v>
      </c>
      <c r="Y33" s="138">
        <f t="shared" si="14"/>
        <v>0</v>
      </c>
      <c r="Z33" s="139"/>
      <c r="AA33" s="137">
        <f t="shared" si="4"/>
        <v>92206</v>
      </c>
      <c r="AB33" s="138">
        <f t="shared" si="11"/>
        <v>4.5999999999999999E-3</v>
      </c>
      <c r="AC33" s="137">
        <f t="shared" si="5"/>
        <v>92100</v>
      </c>
      <c r="AD33" s="138">
        <f t="shared" si="12"/>
        <v>4.7000000000000002E-3</v>
      </c>
      <c r="AE33" s="137">
        <f t="shared" si="6"/>
        <v>91878</v>
      </c>
      <c r="AF33" s="138">
        <f t="shared" si="16"/>
        <v>4.5999999999999999E-3</v>
      </c>
      <c r="AH33" s="254">
        <v>92206</v>
      </c>
      <c r="AI33" s="254">
        <f t="shared" si="7"/>
        <v>0</v>
      </c>
    </row>
    <row r="34" spans="1:35" ht="17.25" x14ac:dyDescent="0.3">
      <c r="A34" s="252" t="s">
        <v>203</v>
      </c>
      <c r="B34" s="136" t="s">
        <v>81</v>
      </c>
      <c r="C34" s="253">
        <v>196</v>
      </c>
      <c r="D34" s="253">
        <v>21</v>
      </c>
      <c r="E34" s="253">
        <v>1848</v>
      </c>
      <c r="F34" s="253">
        <v>423</v>
      </c>
      <c r="G34" s="253">
        <v>2</v>
      </c>
      <c r="H34" s="253">
        <v>6590</v>
      </c>
      <c r="I34" s="253">
        <v>269</v>
      </c>
      <c r="J34" s="253">
        <v>0</v>
      </c>
      <c r="K34" s="253">
        <v>0</v>
      </c>
      <c r="L34" s="253">
        <v>9</v>
      </c>
      <c r="M34" s="253">
        <v>3</v>
      </c>
      <c r="N34" s="253">
        <v>10</v>
      </c>
      <c r="O34" s="253">
        <f t="shared" si="8"/>
        <v>9371</v>
      </c>
      <c r="P34" s="248"/>
      <c r="Q34" s="137">
        <f t="shared" si="0"/>
        <v>0</v>
      </c>
      <c r="R34" s="143">
        <v>0</v>
      </c>
      <c r="S34" s="137">
        <f t="shared" si="1"/>
        <v>0</v>
      </c>
      <c r="T34" s="138">
        <f t="shared" si="9"/>
        <v>0</v>
      </c>
      <c r="U34" s="248"/>
      <c r="V34" s="137">
        <f t="shared" si="2"/>
        <v>9371</v>
      </c>
      <c r="W34" s="138">
        <f t="shared" si="10"/>
        <v>8.0000000000000004E-4</v>
      </c>
      <c r="X34" s="137">
        <f t="shared" si="3"/>
        <v>2271</v>
      </c>
      <c r="Y34" s="138">
        <f t="shared" si="14"/>
        <v>8.0000000000000004E-4</v>
      </c>
      <c r="Z34" s="139"/>
      <c r="AA34" s="137">
        <f t="shared" si="4"/>
        <v>9371</v>
      </c>
      <c r="AB34" s="138">
        <f t="shared" si="11"/>
        <v>5.0000000000000001E-4</v>
      </c>
      <c r="AC34" s="137">
        <f t="shared" si="5"/>
        <v>9361</v>
      </c>
      <c r="AD34" s="138">
        <f t="shared" si="12"/>
        <v>5.0000000000000001E-4</v>
      </c>
      <c r="AE34" s="137">
        <f t="shared" si="6"/>
        <v>9336</v>
      </c>
      <c r="AF34" s="138">
        <f t="shared" si="16"/>
        <v>5.0000000000000001E-4</v>
      </c>
      <c r="AH34" s="254">
        <v>9371</v>
      </c>
      <c r="AI34" s="254">
        <f t="shared" si="7"/>
        <v>0</v>
      </c>
    </row>
    <row r="35" spans="1:35" ht="17.25" x14ac:dyDescent="0.3">
      <c r="A35" s="252" t="s">
        <v>203</v>
      </c>
      <c r="B35" s="136" t="s">
        <v>82</v>
      </c>
      <c r="C35" s="253">
        <v>28174</v>
      </c>
      <c r="D35" s="253">
        <v>2347</v>
      </c>
      <c r="E35" s="253">
        <v>206319</v>
      </c>
      <c r="F35" s="253">
        <v>49405</v>
      </c>
      <c r="G35" s="253">
        <v>1007</v>
      </c>
      <c r="H35" s="253">
        <v>925373</v>
      </c>
      <c r="I35" s="253">
        <v>37727</v>
      </c>
      <c r="J35" s="253">
        <v>5</v>
      </c>
      <c r="K35" s="253">
        <v>599</v>
      </c>
      <c r="L35" s="253">
        <v>934</v>
      </c>
      <c r="M35" s="253">
        <v>0</v>
      </c>
      <c r="N35" s="253">
        <v>1990</v>
      </c>
      <c r="O35" s="253">
        <f t="shared" si="8"/>
        <v>1253880</v>
      </c>
      <c r="P35" s="248"/>
      <c r="Q35" s="137">
        <f t="shared" si="0"/>
        <v>0</v>
      </c>
      <c r="R35" s="143">
        <v>0</v>
      </c>
      <c r="S35" s="137">
        <f t="shared" si="1"/>
        <v>0</v>
      </c>
      <c r="T35" s="138">
        <f t="shared" si="9"/>
        <v>0</v>
      </c>
      <c r="U35" s="248"/>
      <c r="V35" s="137">
        <f t="shared" si="2"/>
        <v>1253880</v>
      </c>
      <c r="W35" s="141">
        <f>ROUNDUP(V35/V$61,4)</f>
        <v>0.1065</v>
      </c>
      <c r="X35" s="137">
        <f t="shared" si="3"/>
        <v>255724</v>
      </c>
      <c r="Y35" s="138">
        <f t="shared" si="14"/>
        <v>9.5100000000000004E-2</v>
      </c>
      <c r="Z35" s="139"/>
      <c r="AA35" s="137">
        <f t="shared" si="4"/>
        <v>1253880</v>
      </c>
      <c r="AB35" s="141">
        <f>ROUNDUP(AA35/AA$61,4)</f>
        <v>6.2899999999999998E-2</v>
      </c>
      <c r="AC35" s="137">
        <f t="shared" si="5"/>
        <v>1251890</v>
      </c>
      <c r="AD35" s="138">
        <f t="shared" si="12"/>
        <v>6.3200000000000006E-2</v>
      </c>
      <c r="AE35" s="137">
        <f t="shared" si="6"/>
        <v>1249592</v>
      </c>
      <c r="AF35" s="138">
        <f>ROUND(AE35/AE$61,4)</f>
        <v>6.3E-2</v>
      </c>
      <c r="AH35" s="254">
        <v>1253880</v>
      </c>
      <c r="AI35" s="254">
        <f t="shared" si="7"/>
        <v>0</v>
      </c>
    </row>
    <row r="36" spans="1:35" ht="17.25" x14ac:dyDescent="0.3">
      <c r="A36" s="252" t="s">
        <v>202</v>
      </c>
      <c r="B36" s="136" t="s">
        <v>83</v>
      </c>
      <c r="C36" s="253">
        <v>32609</v>
      </c>
      <c r="D36" s="253">
        <v>1150</v>
      </c>
      <c r="E36" s="253">
        <v>173178</v>
      </c>
      <c r="F36" s="253">
        <v>55308</v>
      </c>
      <c r="G36" s="253">
        <v>1986</v>
      </c>
      <c r="H36" s="253">
        <v>585891</v>
      </c>
      <c r="I36" s="253">
        <v>23887</v>
      </c>
      <c r="J36" s="253">
        <v>173</v>
      </c>
      <c r="K36" s="253">
        <v>916</v>
      </c>
      <c r="L36" s="253">
        <v>536</v>
      </c>
      <c r="M36" s="253">
        <v>0</v>
      </c>
      <c r="N36" s="253">
        <v>2917</v>
      </c>
      <c r="O36" s="253">
        <f t="shared" si="8"/>
        <v>878551</v>
      </c>
      <c r="P36" s="248"/>
      <c r="Q36" s="137">
        <f t="shared" si="0"/>
        <v>878551</v>
      </c>
      <c r="R36" s="143">
        <v>0.1096</v>
      </c>
      <c r="S36" s="137">
        <f t="shared" si="1"/>
        <v>228486</v>
      </c>
      <c r="T36" s="138">
        <f t="shared" si="9"/>
        <v>0.1179</v>
      </c>
      <c r="U36" s="248"/>
      <c r="V36" s="137">
        <f t="shared" si="2"/>
        <v>0</v>
      </c>
      <c r="W36" s="138">
        <f t="shared" si="10"/>
        <v>0</v>
      </c>
      <c r="X36" s="137">
        <f t="shared" si="3"/>
        <v>0</v>
      </c>
      <c r="Y36" s="138">
        <f t="shared" si="14"/>
        <v>0</v>
      </c>
      <c r="Z36" s="139"/>
      <c r="AA36" s="137">
        <f t="shared" si="4"/>
        <v>878551</v>
      </c>
      <c r="AB36" s="138">
        <f t="shared" si="11"/>
        <v>4.41E-2</v>
      </c>
      <c r="AC36" s="137">
        <f t="shared" si="5"/>
        <v>875634</v>
      </c>
      <c r="AD36" s="138">
        <f t="shared" si="12"/>
        <v>4.4200000000000003E-2</v>
      </c>
      <c r="AE36" s="137">
        <f t="shared" si="6"/>
        <v>874879</v>
      </c>
      <c r="AF36" s="138">
        <f t="shared" ref="AF36:AF40" si="17">ROUND(AE36/AE$61,4)</f>
        <v>4.41E-2</v>
      </c>
      <c r="AH36" s="254">
        <v>878551</v>
      </c>
      <c r="AI36" s="254">
        <f t="shared" si="7"/>
        <v>0</v>
      </c>
    </row>
    <row r="37" spans="1:35" ht="17.25" x14ac:dyDescent="0.3">
      <c r="A37" s="252" t="s">
        <v>203</v>
      </c>
      <c r="B37" s="136" t="s">
        <v>84</v>
      </c>
      <c r="C37" s="253">
        <v>561</v>
      </c>
      <c r="D37" s="253">
        <v>22</v>
      </c>
      <c r="E37" s="253">
        <v>4612</v>
      </c>
      <c r="F37" s="253">
        <v>907</v>
      </c>
      <c r="G37" s="253">
        <v>34</v>
      </c>
      <c r="H37" s="253">
        <v>19651</v>
      </c>
      <c r="I37" s="253">
        <v>801</v>
      </c>
      <c r="J37" s="253">
        <v>0</v>
      </c>
      <c r="K37" s="253">
        <v>8</v>
      </c>
      <c r="L37" s="253">
        <v>12</v>
      </c>
      <c r="M37" s="253">
        <v>4</v>
      </c>
      <c r="N37" s="253">
        <v>100</v>
      </c>
      <c r="O37" s="253">
        <f t="shared" si="8"/>
        <v>26712</v>
      </c>
      <c r="P37" s="248"/>
      <c r="Q37" s="137">
        <f t="shared" si="0"/>
        <v>0</v>
      </c>
      <c r="R37" s="143">
        <v>0</v>
      </c>
      <c r="S37" s="137">
        <f t="shared" si="1"/>
        <v>0</v>
      </c>
      <c r="T37" s="138">
        <f t="shared" si="9"/>
        <v>0</v>
      </c>
      <c r="U37" s="248"/>
      <c r="V37" s="137">
        <f t="shared" si="2"/>
        <v>26712</v>
      </c>
      <c r="W37" s="138">
        <f t="shared" si="10"/>
        <v>2.3E-3</v>
      </c>
      <c r="X37" s="137">
        <f t="shared" si="3"/>
        <v>5519</v>
      </c>
      <c r="Y37" s="138">
        <f t="shared" si="14"/>
        <v>2.0999999999999999E-3</v>
      </c>
      <c r="Z37" s="139"/>
      <c r="AA37" s="137">
        <f t="shared" si="4"/>
        <v>26712</v>
      </c>
      <c r="AB37" s="138">
        <f t="shared" si="11"/>
        <v>1.2999999999999999E-3</v>
      </c>
      <c r="AC37" s="137">
        <f t="shared" si="5"/>
        <v>26612</v>
      </c>
      <c r="AD37" s="138">
        <f t="shared" si="12"/>
        <v>1.2999999999999999E-3</v>
      </c>
      <c r="AE37" s="137">
        <f t="shared" si="6"/>
        <v>26640</v>
      </c>
      <c r="AF37" s="138">
        <f t="shared" si="17"/>
        <v>1.2999999999999999E-3</v>
      </c>
      <c r="AH37" s="254">
        <v>26712</v>
      </c>
      <c r="AI37" s="254">
        <f t="shared" si="7"/>
        <v>0</v>
      </c>
    </row>
    <row r="38" spans="1:35" ht="17.25" x14ac:dyDescent="0.3">
      <c r="A38" s="252" t="s">
        <v>203</v>
      </c>
      <c r="B38" s="136" t="s">
        <v>85</v>
      </c>
      <c r="C38" s="253">
        <v>42280</v>
      </c>
      <c r="D38" s="253">
        <v>4031</v>
      </c>
      <c r="E38" s="253">
        <v>237877</v>
      </c>
      <c r="F38" s="253">
        <v>69215</v>
      </c>
      <c r="G38" s="253">
        <v>1114</v>
      </c>
      <c r="H38" s="253">
        <v>913561</v>
      </c>
      <c r="I38" s="253">
        <v>37246</v>
      </c>
      <c r="J38" s="253">
        <v>5</v>
      </c>
      <c r="K38" s="253">
        <v>279</v>
      </c>
      <c r="L38" s="253">
        <v>1974</v>
      </c>
      <c r="M38" s="253">
        <v>0</v>
      </c>
      <c r="N38" s="253">
        <v>60</v>
      </c>
      <c r="O38" s="253">
        <f t="shared" si="8"/>
        <v>1307642</v>
      </c>
      <c r="P38" s="248"/>
      <c r="Q38" s="137">
        <f t="shared" si="0"/>
        <v>0</v>
      </c>
      <c r="R38" s="143">
        <v>0</v>
      </c>
      <c r="S38" s="137">
        <f t="shared" si="1"/>
        <v>0</v>
      </c>
      <c r="T38" s="138">
        <f t="shared" si="9"/>
        <v>0</v>
      </c>
      <c r="U38" s="248"/>
      <c r="V38" s="137">
        <f t="shared" si="2"/>
        <v>1307642</v>
      </c>
      <c r="W38" s="138">
        <f t="shared" si="10"/>
        <v>0.111</v>
      </c>
      <c r="X38" s="137">
        <f t="shared" si="3"/>
        <v>307092</v>
      </c>
      <c r="Y38" s="138">
        <f t="shared" si="14"/>
        <v>0.1142</v>
      </c>
      <c r="Z38" s="139"/>
      <c r="AA38" s="137">
        <f t="shared" si="4"/>
        <v>1307642</v>
      </c>
      <c r="AB38" s="138">
        <f t="shared" si="11"/>
        <v>6.5600000000000006E-2</v>
      </c>
      <c r="AC38" s="137">
        <f t="shared" si="5"/>
        <v>1307582</v>
      </c>
      <c r="AD38" s="138">
        <f t="shared" si="12"/>
        <v>6.6000000000000003E-2</v>
      </c>
      <c r="AE38" s="137">
        <f t="shared" si="6"/>
        <v>1300523</v>
      </c>
      <c r="AF38" s="138">
        <f t="shared" si="17"/>
        <v>6.5500000000000003E-2</v>
      </c>
      <c r="AH38" s="254">
        <v>1307642</v>
      </c>
      <c r="AI38" s="254">
        <f t="shared" si="7"/>
        <v>0</v>
      </c>
    </row>
    <row r="39" spans="1:35" ht="17.25" x14ac:dyDescent="0.3">
      <c r="A39" s="252" t="s">
        <v>202</v>
      </c>
      <c r="B39" s="136" t="s">
        <v>86</v>
      </c>
      <c r="C39" s="253">
        <v>27079</v>
      </c>
      <c r="D39" s="253">
        <v>1232</v>
      </c>
      <c r="E39" s="253">
        <v>316267</v>
      </c>
      <c r="F39" s="253">
        <v>52043</v>
      </c>
      <c r="G39" s="253">
        <v>2914</v>
      </c>
      <c r="H39" s="253">
        <v>948339</v>
      </c>
      <c r="I39" s="253">
        <v>38664</v>
      </c>
      <c r="J39" s="253">
        <v>101</v>
      </c>
      <c r="K39" s="253">
        <v>460</v>
      </c>
      <c r="L39" s="253">
        <v>686</v>
      </c>
      <c r="M39" s="253">
        <v>0</v>
      </c>
      <c r="N39" s="253">
        <v>3322</v>
      </c>
      <c r="O39" s="253">
        <f t="shared" si="8"/>
        <v>1391107</v>
      </c>
      <c r="P39" s="248"/>
      <c r="Q39" s="137">
        <f t="shared" si="0"/>
        <v>1391107</v>
      </c>
      <c r="R39" s="143">
        <v>0.16039999999999999</v>
      </c>
      <c r="S39" s="137">
        <f t="shared" si="1"/>
        <v>368310</v>
      </c>
      <c r="T39" s="138">
        <f t="shared" si="9"/>
        <v>0.19009999999999999</v>
      </c>
      <c r="U39" s="248"/>
      <c r="V39" s="137">
        <f t="shared" si="2"/>
        <v>0</v>
      </c>
      <c r="W39" s="138">
        <f t="shared" si="10"/>
        <v>0</v>
      </c>
      <c r="X39" s="137">
        <f t="shared" si="3"/>
        <v>0</v>
      </c>
      <c r="Y39" s="138">
        <f t="shared" si="14"/>
        <v>0</v>
      </c>
      <c r="Z39" s="139"/>
      <c r="AA39" s="137">
        <f t="shared" si="4"/>
        <v>1391107</v>
      </c>
      <c r="AB39" s="138">
        <f t="shared" si="11"/>
        <v>6.9800000000000001E-2</v>
      </c>
      <c r="AC39" s="137">
        <f t="shared" si="5"/>
        <v>1387785</v>
      </c>
      <c r="AD39" s="138">
        <f t="shared" si="12"/>
        <v>7.0099999999999996E-2</v>
      </c>
      <c r="AE39" s="137">
        <f t="shared" si="6"/>
        <v>1386275</v>
      </c>
      <c r="AF39" s="138">
        <f t="shared" si="17"/>
        <v>6.9900000000000004E-2</v>
      </c>
      <c r="AH39" s="254">
        <v>1391107</v>
      </c>
      <c r="AI39" s="254">
        <f t="shared" si="7"/>
        <v>0</v>
      </c>
    </row>
    <row r="40" spans="1:35" ht="17.25" x14ac:dyDescent="0.3">
      <c r="A40" s="252" t="s">
        <v>202</v>
      </c>
      <c r="B40" s="136" t="s">
        <v>87</v>
      </c>
      <c r="C40" s="253">
        <v>4802</v>
      </c>
      <c r="D40" s="253">
        <v>348</v>
      </c>
      <c r="E40" s="253">
        <v>85197</v>
      </c>
      <c r="F40" s="253">
        <v>5268</v>
      </c>
      <c r="G40" s="253">
        <v>1825</v>
      </c>
      <c r="H40" s="253">
        <v>225982</v>
      </c>
      <c r="I40" s="253">
        <v>9213</v>
      </c>
      <c r="J40" s="253">
        <v>12</v>
      </c>
      <c r="K40" s="253">
        <v>346</v>
      </c>
      <c r="L40" s="253">
        <v>368</v>
      </c>
      <c r="M40" s="253">
        <v>0</v>
      </c>
      <c r="N40" s="253">
        <v>4632</v>
      </c>
      <c r="O40" s="253">
        <f t="shared" si="8"/>
        <v>337993</v>
      </c>
      <c r="P40" s="248"/>
      <c r="Q40" s="137">
        <f t="shared" si="0"/>
        <v>337993</v>
      </c>
      <c r="R40" s="143">
        <v>5.8299999999999998E-2</v>
      </c>
      <c r="S40" s="137">
        <f t="shared" si="1"/>
        <v>90465</v>
      </c>
      <c r="T40" s="138">
        <f t="shared" si="9"/>
        <v>4.6699999999999998E-2</v>
      </c>
      <c r="U40" s="248"/>
      <c r="V40" s="137">
        <f t="shared" si="2"/>
        <v>0</v>
      </c>
      <c r="W40" s="138">
        <f t="shared" si="10"/>
        <v>0</v>
      </c>
      <c r="X40" s="137">
        <f t="shared" si="3"/>
        <v>0</v>
      </c>
      <c r="Y40" s="138">
        <f t="shared" si="14"/>
        <v>0</v>
      </c>
      <c r="Z40" s="139"/>
      <c r="AA40" s="137">
        <f t="shared" si="4"/>
        <v>337993</v>
      </c>
      <c r="AB40" s="138">
        <f t="shared" si="11"/>
        <v>1.7000000000000001E-2</v>
      </c>
      <c r="AC40" s="137">
        <f t="shared" si="5"/>
        <v>333361</v>
      </c>
      <c r="AD40" s="138">
        <f t="shared" si="12"/>
        <v>1.6799999999999999E-2</v>
      </c>
      <c r="AE40" s="137">
        <f t="shared" si="6"/>
        <v>335452</v>
      </c>
      <c r="AF40" s="138">
        <f t="shared" si="17"/>
        <v>1.6899999999999998E-2</v>
      </c>
      <c r="AH40" s="254">
        <v>337993</v>
      </c>
      <c r="AI40" s="254">
        <f t="shared" si="7"/>
        <v>0</v>
      </c>
    </row>
    <row r="41" spans="1:35" ht="17.25" x14ac:dyDescent="0.3">
      <c r="A41" s="252" t="s">
        <v>203</v>
      </c>
      <c r="B41" s="136" t="s">
        <v>88</v>
      </c>
      <c r="C41" s="253">
        <v>13743</v>
      </c>
      <c r="D41" s="253">
        <v>764</v>
      </c>
      <c r="E41" s="253">
        <v>78607</v>
      </c>
      <c r="F41" s="253">
        <v>24122</v>
      </c>
      <c r="G41" s="253">
        <v>696</v>
      </c>
      <c r="H41" s="253">
        <v>305705</v>
      </c>
      <c r="I41" s="253">
        <v>12464</v>
      </c>
      <c r="J41" s="253">
        <v>20</v>
      </c>
      <c r="K41" s="253">
        <v>109</v>
      </c>
      <c r="L41" s="253">
        <v>308</v>
      </c>
      <c r="M41" s="253">
        <v>0</v>
      </c>
      <c r="N41" s="253">
        <v>225</v>
      </c>
      <c r="O41" s="253">
        <f t="shared" si="8"/>
        <v>436763</v>
      </c>
      <c r="P41" s="248"/>
      <c r="Q41" s="137">
        <f t="shared" si="0"/>
        <v>0</v>
      </c>
      <c r="R41" s="143">
        <v>0</v>
      </c>
      <c r="S41" s="137">
        <f t="shared" si="1"/>
        <v>0</v>
      </c>
      <c r="T41" s="138">
        <f t="shared" si="9"/>
        <v>0</v>
      </c>
      <c r="U41" s="248"/>
      <c r="V41" s="137">
        <f t="shared" si="2"/>
        <v>436763</v>
      </c>
      <c r="W41" s="138">
        <f t="shared" si="10"/>
        <v>3.7100000000000001E-2</v>
      </c>
      <c r="X41" s="137">
        <f t="shared" si="3"/>
        <v>102729</v>
      </c>
      <c r="Y41" s="138">
        <f>ROUNDUP(X41/X$61,4)</f>
        <v>3.8300000000000001E-2</v>
      </c>
      <c r="Z41" s="139"/>
      <c r="AA41" s="137">
        <f t="shared" si="4"/>
        <v>436763</v>
      </c>
      <c r="AB41" s="138">
        <f>ROUND(AA41/AA$61,4)</f>
        <v>2.1899999999999999E-2</v>
      </c>
      <c r="AC41" s="137">
        <f t="shared" si="5"/>
        <v>436538</v>
      </c>
      <c r="AD41" s="141">
        <f>ROUNDUP(AC41/AC$61,4)</f>
        <v>2.2099999999999998E-2</v>
      </c>
      <c r="AE41" s="137">
        <f t="shared" si="6"/>
        <v>434995</v>
      </c>
      <c r="AF41" s="141">
        <f>ROUNDDOWN(AE41/AE$61,4)</f>
        <v>2.1899999999999999E-2</v>
      </c>
      <c r="AH41" s="254">
        <v>436763</v>
      </c>
      <c r="AI41" s="254">
        <f t="shared" si="7"/>
        <v>0</v>
      </c>
    </row>
    <row r="42" spans="1:35" ht="17.25" x14ac:dyDescent="0.3">
      <c r="A42" s="252" t="s">
        <v>202</v>
      </c>
      <c r="B42" s="136" t="s">
        <v>89</v>
      </c>
      <c r="C42" s="253">
        <v>1678</v>
      </c>
      <c r="D42" s="253">
        <v>142</v>
      </c>
      <c r="E42" s="253">
        <v>16868</v>
      </c>
      <c r="F42" s="253">
        <v>3042</v>
      </c>
      <c r="G42" s="253">
        <v>37</v>
      </c>
      <c r="H42" s="253">
        <v>64764</v>
      </c>
      <c r="I42" s="253">
        <v>2640</v>
      </c>
      <c r="J42" s="253">
        <v>0</v>
      </c>
      <c r="K42" s="253">
        <v>10</v>
      </c>
      <c r="L42" s="253">
        <v>63</v>
      </c>
      <c r="M42" s="253">
        <v>0</v>
      </c>
      <c r="N42" s="253">
        <v>385</v>
      </c>
      <c r="O42" s="253">
        <f t="shared" si="8"/>
        <v>89629</v>
      </c>
      <c r="P42" s="248"/>
      <c r="Q42" s="137">
        <f t="shared" si="0"/>
        <v>89629</v>
      </c>
      <c r="R42" s="143">
        <v>1.34E-2</v>
      </c>
      <c r="S42" s="137">
        <f t="shared" si="1"/>
        <v>19910</v>
      </c>
      <c r="T42" s="138">
        <f t="shared" si="9"/>
        <v>1.03E-2</v>
      </c>
      <c r="U42" s="248"/>
      <c r="V42" s="137">
        <f t="shared" si="2"/>
        <v>0</v>
      </c>
      <c r="W42" s="138">
        <f t="shared" si="10"/>
        <v>0</v>
      </c>
      <c r="X42" s="137">
        <f t="shared" si="3"/>
        <v>0</v>
      </c>
      <c r="Y42" s="138">
        <f t="shared" si="14"/>
        <v>0</v>
      </c>
      <c r="Z42" s="139"/>
      <c r="AA42" s="137">
        <f t="shared" si="4"/>
        <v>89629</v>
      </c>
      <c r="AB42" s="138">
        <f t="shared" si="11"/>
        <v>4.4999999999999997E-3</v>
      </c>
      <c r="AC42" s="137">
        <f t="shared" si="5"/>
        <v>89244</v>
      </c>
      <c r="AD42" s="138">
        <f t="shared" si="12"/>
        <v>4.4999999999999997E-3</v>
      </c>
      <c r="AE42" s="137">
        <f t="shared" si="6"/>
        <v>89387</v>
      </c>
      <c r="AF42" s="138">
        <f t="shared" ref="AF42:AF51" si="18">ROUND(AE42/AE$61,4)</f>
        <v>4.4999999999999997E-3</v>
      </c>
      <c r="AH42" s="254">
        <v>89629</v>
      </c>
      <c r="AI42" s="254">
        <f t="shared" si="7"/>
        <v>0</v>
      </c>
    </row>
    <row r="43" spans="1:35" ht="17.25" x14ac:dyDescent="0.3">
      <c r="A43" s="252" t="s">
        <v>202</v>
      </c>
      <c r="B43" s="136" t="s">
        <v>90</v>
      </c>
      <c r="C43" s="253">
        <v>1134</v>
      </c>
      <c r="D43" s="253">
        <v>70</v>
      </c>
      <c r="E43" s="253">
        <v>25836</v>
      </c>
      <c r="F43" s="253">
        <v>4187</v>
      </c>
      <c r="G43" s="253">
        <v>482</v>
      </c>
      <c r="H43" s="253">
        <v>153669</v>
      </c>
      <c r="I43" s="253">
        <v>6265</v>
      </c>
      <c r="J43" s="253">
        <v>2</v>
      </c>
      <c r="K43" s="253">
        <v>382</v>
      </c>
      <c r="L43" s="253">
        <v>91</v>
      </c>
      <c r="M43" s="253">
        <v>0</v>
      </c>
      <c r="N43" s="253">
        <v>193</v>
      </c>
      <c r="O43" s="253">
        <f t="shared" si="8"/>
        <v>192311</v>
      </c>
      <c r="P43" s="248"/>
      <c r="Q43" s="137">
        <f t="shared" si="0"/>
        <v>192311</v>
      </c>
      <c r="R43" s="143">
        <v>2.3599999999999999E-2</v>
      </c>
      <c r="S43" s="137">
        <f t="shared" si="1"/>
        <v>30023</v>
      </c>
      <c r="T43" s="138">
        <f t="shared" si="9"/>
        <v>1.55E-2</v>
      </c>
      <c r="U43" s="248"/>
      <c r="V43" s="137">
        <f t="shared" si="2"/>
        <v>0</v>
      </c>
      <c r="W43" s="138">
        <f t="shared" si="10"/>
        <v>0</v>
      </c>
      <c r="X43" s="137">
        <f t="shared" si="3"/>
        <v>0</v>
      </c>
      <c r="Y43" s="138">
        <f t="shared" si="14"/>
        <v>0</v>
      </c>
      <c r="Z43" s="139"/>
      <c r="AA43" s="137">
        <f t="shared" si="4"/>
        <v>192311</v>
      </c>
      <c r="AB43" s="138">
        <f t="shared" si="11"/>
        <v>9.5999999999999992E-3</v>
      </c>
      <c r="AC43" s="137">
        <f t="shared" si="5"/>
        <v>192118</v>
      </c>
      <c r="AD43" s="138">
        <f t="shared" si="12"/>
        <v>9.7000000000000003E-3</v>
      </c>
      <c r="AE43" s="137">
        <f t="shared" si="6"/>
        <v>191668</v>
      </c>
      <c r="AF43" s="138">
        <f t="shared" si="18"/>
        <v>9.7000000000000003E-3</v>
      </c>
      <c r="AH43" s="254">
        <v>192311</v>
      </c>
      <c r="AI43" s="254">
        <f t="shared" si="7"/>
        <v>0</v>
      </c>
    </row>
    <row r="44" spans="1:35" ht="17.25" x14ac:dyDescent="0.3">
      <c r="A44" s="252" t="s">
        <v>202</v>
      </c>
      <c r="B44" s="136" t="s">
        <v>91</v>
      </c>
      <c r="C44" s="253">
        <v>4521</v>
      </c>
      <c r="D44" s="253">
        <v>303</v>
      </c>
      <c r="E44" s="253">
        <v>41184</v>
      </c>
      <c r="F44" s="253">
        <v>6666</v>
      </c>
      <c r="G44" s="253">
        <v>203</v>
      </c>
      <c r="H44" s="253">
        <v>161337</v>
      </c>
      <c r="I44" s="253">
        <v>6578</v>
      </c>
      <c r="J44" s="253">
        <v>0</v>
      </c>
      <c r="K44" s="253">
        <v>19</v>
      </c>
      <c r="L44" s="253">
        <v>102</v>
      </c>
      <c r="M44" s="253">
        <v>0</v>
      </c>
      <c r="N44" s="253">
        <v>238</v>
      </c>
      <c r="O44" s="253">
        <f t="shared" si="8"/>
        <v>221151</v>
      </c>
      <c r="P44" s="248"/>
      <c r="Q44" s="137">
        <f t="shared" si="0"/>
        <v>221151</v>
      </c>
      <c r="R44" s="143">
        <v>2.4199999999999999E-2</v>
      </c>
      <c r="S44" s="137">
        <f t="shared" si="1"/>
        <v>47850</v>
      </c>
      <c r="T44" s="138">
        <f t="shared" si="9"/>
        <v>2.47E-2</v>
      </c>
      <c r="U44" s="248"/>
      <c r="V44" s="137">
        <f t="shared" si="2"/>
        <v>0</v>
      </c>
      <c r="W44" s="138">
        <f t="shared" si="10"/>
        <v>0</v>
      </c>
      <c r="X44" s="137">
        <f t="shared" si="3"/>
        <v>0</v>
      </c>
      <c r="Y44" s="138">
        <f t="shared" si="14"/>
        <v>0</v>
      </c>
      <c r="Z44" s="139"/>
      <c r="AA44" s="137">
        <f t="shared" si="4"/>
        <v>221151</v>
      </c>
      <c r="AB44" s="138">
        <f t="shared" si="11"/>
        <v>1.11E-2</v>
      </c>
      <c r="AC44" s="137">
        <f t="shared" si="5"/>
        <v>220913</v>
      </c>
      <c r="AD44" s="138">
        <f>ROUND(AC44/AC$61,4)</f>
        <v>1.12E-2</v>
      </c>
      <c r="AE44" s="137">
        <f t="shared" si="6"/>
        <v>220543</v>
      </c>
      <c r="AF44" s="138">
        <f t="shared" si="18"/>
        <v>1.11E-2</v>
      </c>
      <c r="AH44" s="254">
        <v>221151</v>
      </c>
      <c r="AI44" s="254">
        <f t="shared" si="7"/>
        <v>0</v>
      </c>
    </row>
    <row r="45" spans="1:35" ht="17.25" x14ac:dyDescent="0.3">
      <c r="A45" s="252" t="s">
        <v>202</v>
      </c>
      <c r="B45" s="136" t="s">
        <v>92</v>
      </c>
      <c r="C45" s="253">
        <v>8167</v>
      </c>
      <c r="D45" s="253">
        <v>633</v>
      </c>
      <c r="E45" s="253">
        <v>84486</v>
      </c>
      <c r="F45" s="253">
        <v>27217</v>
      </c>
      <c r="G45" s="253">
        <v>1153</v>
      </c>
      <c r="H45" s="253">
        <v>427725</v>
      </c>
      <c r="I45" s="253">
        <v>17438</v>
      </c>
      <c r="J45" s="253">
        <v>20</v>
      </c>
      <c r="K45" s="253">
        <v>947</v>
      </c>
      <c r="L45" s="253">
        <v>299</v>
      </c>
      <c r="M45" s="253">
        <v>0</v>
      </c>
      <c r="N45" s="253">
        <v>4500</v>
      </c>
      <c r="O45" s="253">
        <f t="shared" si="8"/>
        <v>572585</v>
      </c>
      <c r="P45" s="248"/>
      <c r="Q45" s="137">
        <f t="shared" si="0"/>
        <v>572585</v>
      </c>
      <c r="R45" s="143">
        <v>8.0600000000000005E-2</v>
      </c>
      <c r="S45" s="137">
        <f t="shared" si="1"/>
        <v>111703</v>
      </c>
      <c r="T45" s="138">
        <f t="shared" si="9"/>
        <v>5.7599999999999998E-2</v>
      </c>
      <c r="U45" s="248"/>
      <c r="V45" s="137">
        <f t="shared" si="2"/>
        <v>0</v>
      </c>
      <c r="W45" s="138">
        <f t="shared" si="10"/>
        <v>0</v>
      </c>
      <c r="X45" s="137">
        <f t="shared" si="3"/>
        <v>0</v>
      </c>
      <c r="Y45" s="138">
        <f t="shared" si="14"/>
        <v>0</v>
      </c>
      <c r="Z45" s="139"/>
      <c r="AA45" s="137">
        <f t="shared" si="4"/>
        <v>572585</v>
      </c>
      <c r="AB45" s="138">
        <f t="shared" si="11"/>
        <v>2.87E-2</v>
      </c>
      <c r="AC45" s="137">
        <f t="shared" si="5"/>
        <v>568085</v>
      </c>
      <c r="AD45" s="138">
        <f t="shared" si="12"/>
        <v>2.87E-2</v>
      </c>
      <c r="AE45" s="137">
        <f t="shared" si="6"/>
        <v>570500</v>
      </c>
      <c r="AF45" s="138">
        <f t="shared" si="18"/>
        <v>2.8799999999999999E-2</v>
      </c>
      <c r="AH45" s="254">
        <v>572585</v>
      </c>
      <c r="AI45" s="254">
        <f t="shared" si="7"/>
        <v>0</v>
      </c>
    </row>
    <row r="46" spans="1:35" ht="17.25" x14ac:dyDescent="0.3">
      <c r="A46" s="252" t="s">
        <v>202</v>
      </c>
      <c r="B46" s="136" t="s">
        <v>93</v>
      </c>
      <c r="C46" s="253">
        <v>2005</v>
      </c>
      <c r="D46" s="253">
        <v>70</v>
      </c>
      <c r="E46" s="253">
        <v>23999</v>
      </c>
      <c r="F46" s="253">
        <v>4090</v>
      </c>
      <c r="G46" s="253">
        <v>65</v>
      </c>
      <c r="H46" s="253">
        <v>80705</v>
      </c>
      <c r="I46" s="253">
        <v>3290</v>
      </c>
      <c r="J46" s="253">
        <v>1</v>
      </c>
      <c r="K46" s="253">
        <v>14</v>
      </c>
      <c r="L46" s="253">
        <v>37</v>
      </c>
      <c r="M46" s="253">
        <v>0</v>
      </c>
      <c r="N46" s="253">
        <v>182</v>
      </c>
      <c r="O46" s="253">
        <f t="shared" si="8"/>
        <v>114458</v>
      </c>
      <c r="P46" s="248"/>
      <c r="Q46" s="137">
        <f t="shared" si="0"/>
        <v>114458</v>
      </c>
      <c r="R46" s="143">
        <v>1.3599999999999999E-2</v>
      </c>
      <c r="S46" s="137">
        <f t="shared" si="1"/>
        <v>28089</v>
      </c>
      <c r="T46" s="138">
        <f t="shared" si="9"/>
        <v>1.4500000000000001E-2</v>
      </c>
      <c r="U46" s="248"/>
      <c r="V46" s="137">
        <f t="shared" si="2"/>
        <v>0</v>
      </c>
      <c r="W46" s="138">
        <f t="shared" si="10"/>
        <v>0</v>
      </c>
      <c r="X46" s="137">
        <f t="shared" si="3"/>
        <v>0</v>
      </c>
      <c r="Y46" s="138">
        <f t="shared" si="14"/>
        <v>0</v>
      </c>
      <c r="Z46" s="139"/>
      <c r="AA46" s="137">
        <f t="shared" si="4"/>
        <v>114458</v>
      </c>
      <c r="AB46" s="138">
        <f t="shared" si="11"/>
        <v>5.7000000000000002E-3</v>
      </c>
      <c r="AC46" s="137">
        <f t="shared" si="5"/>
        <v>114276</v>
      </c>
      <c r="AD46" s="138">
        <f t="shared" si="12"/>
        <v>5.7999999999999996E-3</v>
      </c>
      <c r="AE46" s="137">
        <f t="shared" si="6"/>
        <v>114286</v>
      </c>
      <c r="AF46" s="138">
        <f t="shared" si="18"/>
        <v>5.7999999999999996E-3</v>
      </c>
      <c r="AH46" s="254">
        <v>114458</v>
      </c>
      <c r="AI46" s="254">
        <f t="shared" si="7"/>
        <v>0</v>
      </c>
    </row>
    <row r="47" spans="1:35" ht="17.25" x14ac:dyDescent="0.3">
      <c r="A47" s="252" t="s">
        <v>203</v>
      </c>
      <c r="B47" s="136" t="s">
        <v>94</v>
      </c>
      <c r="C47" s="253">
        <v>2340</v>
      </c>
      <c r="D47" s="253">
        <v>321</v>
      </c>
      <c r="E47" s="253">
        <v>18907</v>
      </c>
      <c r="F47" s="253">
        <v>5656</v>
      </c>
      <c r="G47" s="253">
        <v>42</v>
      </c>
      <c r="H47" s="253">
        <v>67388</v>
      </c>
      <c r="I47" s="253">
        <v>2747</v>
      </c>
      <c r="J47" s="253">
        <v>0</v>
      </c>
      <c r="K47" s="253">
        <v>1</v>
      </c>
      <c r="L47" s="253">
        <v>107</v>
      </c>
      <c r="M47" s="253">
        <v>43</v>
      </c>
      <c r="N47" s="253">
        <v>179</v>
      </c>
      <c r="O47" s="253">
        <f t="shared" si="8"/>
        <v>97731</v>
      </c>
      <c r="P47" s="248"/>
      <c r="Q47" s="137">
        <f t="shared" si="0"/>
        <v>0</v>
      </c>
      <c r="R47" s="143">
        <v>0</v>
      </c>
      <c r="S47" s="137">
        <f t="shared" si="1"/>
        <v>0</v>
      </c>
      <c r="T47" s="138">
        <f t="shared" si="9"/>
        <v>0</v>
      </c>
      <c r="U47" s="248"/>
      <c r="V47" s="137">
        <f t="shared" si="2"/>
        <v>97731</v>
      </c>
      <c r="W47" s="138">
        <f t="shared" si="10"/>
        <v>8.3000000000000001E-3</v>
      </c>
      <c r="X47" s="137">
        <f t="shared" si="3"/>
        <v>24563</v>
      </c>
      <c r="Y47" s="138">
        <f t="shared" si="14"/>
        <v>9.1000000000000004E-3</v>
      </c>
      <c r="Z47" s="139"/>
      <c r="AA47" s="137">
        <f t="shared" si="4"/>
        <v>97731</v>
      </c>
      <c r="AB47" s="138">
        <f t="shared" si="11"/>
        <v>4.8999999999999998E-3</v>
      </c>
      <c r="AC47" s="137">
        <f t="shared" si="5"/>
        <v>97552</v>
      </c>
      <c r="AD47" s="138">
        <f t="shared" si="12"/>
        <v>4.8999999999999998E-3</v>
      </c>
      <c r="AE47" s="137">
        <f t="shared" si="6"/>
        <v>97218</v>
      </c>
      <c r="AF47" s="138">
        <f t="shared" si="18"/>
        <v>4.8999999999999998E-3</v>
      </c>
      <c r="AH47" s="254">
        <v>97731</v>
      </c>
      <c r="AI47" s="254">
        <f t="shared" si="7"/>
        <v>0</v>
      </c>
    </row>
    <row r="48" spans="1:35" ht="17.25" x14ac:dyDescent="0.3">
      <c r="A48" s="252" t="s">
        <v>203</v>
      </c>
      <c r="B48" s="136" t="s">
        <v>95</v>
      </c>
      <c r="C48" s="253">
        <v>40</v>
      </c>
      <c r="D48" s="253">
        <v>4</v>
      </c>
      <c r="E48" s="253">
        <v>213</v>
      </c>
      <c r="F48" s="253">
        <v>71</v>
      </c>
      <c r="G48" s="253">
        <v>0</v>
      </c>
      <c r="H48" s="253">
        <v>792</v>
      </c>
      <c r="I48" s="253">
        <v>32</v>
      </c>
      <c r="J48" s="253">
        <v>0</v>
      </c>
      <c r="K48" s="253">
        <v>0</v>
      </c>
      <c r="L48" s="253">
        <v>0</v>
      </c>
      <c r="M48" s="253">
        <v>0</v>
      </c>
      <c r="N48" s="253">
        <v>10</v>
      </c>
      <c r="O48" s="253">
        <f t="shared" si="8"/>
        <v>1162</v>
      </c>
      <c r="P48" s="248"/>
      <c r="Q48" s="137">
        <f t="shared" si="0"/>
        <v>0</v>
      </c>
      <c r="R48" s="143">
        <v>0</v>
      </c>
      <c r="S48" s="137">
        <f t="shared" si="1"/>
        <v>0</v>
      </c>
      <c r="T48" s="138">
        <f t="shared" si="9"/>
        <v>0</v>
      </c>
      <c r="U48" s="248"/>
      <c r="V48" s="137">
        <f t="shared" si="2"/>
        <v>1162</v>
      </c>
      <c r="W48" s="138">
        <f t="shared" si="10"/>
        <v>1E-4</v>
      </c>
      <c r="X48" s="137">
        <f t="shared" si="3"/>
        <v>284</v>
      </c>
      <c r="Y48" s="138">
        <f t="shared" si="14"/>
        <v>1E-4</v>
      </c>
      <c r="Z48" s="139"/>
      <c r="AA48" s="137">
        <f t="shared" si="4"/>
        <v>1162</v>
      </c>
      <c r="AB48" s="138">
        <f t="shared" si="11"/>
        <v>1E-4</v>
      </c>
      <c r="AC48" s="137">
        <f t="shared" si="5"/>
        <v>1152</v>
      </c>
      <c r="AD48" s="138">
        <f t="shared" si="12"/>
        <v>1E-4</v>
      </c>
      <c r="AE48" s="137">
        <f t="shared" si="6"/>
        <v>1158</v>
      </c>
      <c r="AF48" s="138">
        <f t="shared" si="18"/>
        <v>1E-4</v>
      </c>
      <c r="AH48" s="254">
        <v>1162</v>
      </c>
      <c r="AI48" s="254">
        <f t="shared" si="7"/>
        <v>0</v>
      </c>
    </row>
    <row r="49" spans="1:35" ht="17.25" x14ac:dyDescent="0.3">
      <c r="A49" s="252" t="s">
        <v>203</v>
      </c>
      <c r="B49" s="136" t="s">
        <v>96</v>
      </c>
      <c r="C49" s="253">
        <v>625</v>
      </c>
      <c r="D49" s="253">
        <v>65</v>
      </c>
      <c r="E49" s="253">
        <v>6115</v>
      </c>
      <c r="F49" s="253">
        <v>1714</v>
      </c>
      <c r="G49" s="253">
        <v>15</v>
      </c>
      <c r="H49" s="253">
        <v>19164</v>
      </c>
      <c r="I49" s="253">
        <v>781</v>
      </c>
      <c r="J49" s="253">
        <v>0</v>
      </c>
      <c r="K49" s="253">
        <v>1</v>
      </c>
      <c r="L49" s="253">
        <v>38</v>
      </c>
      <c r="M49" s="253">
        <v>1</v>
      </c>
      <c r="N49" s="253">
        <v>17</v>
      </c>
      <c r="O49" s="253">
        <f t="shared" si="8"/>
        <v>28536</v>
      </c>
      <c r="P49" s="248"/>
      <c r="Q49" s="137">
        <f t="shared" si="0"/>
        <v>0</v>
      </c>
      <c r="R49" s="143">
        <v>0</v>
      </c>
      <c r="S49" s="137">
        <f t="shared" si="1"/>
        <v>0</v>
      </c>
      <c r="T49" s="138">
        <f t="shared" si="9"/>
        <v>0</v>
      </c>
      <c r="U49" s="248"/>
      <c r="V49" s="137">
        <f t="shared" si="2"/>
        <v>28536</v>
      </c>
      <c r="W49" s="138">
        <f t="shared" si="10"/>
        <v>2.3999999999999998E-3</v>
      </c>
      <c r="X49" s="137">
        <f t="shared" si="3"/>
        <v>7829</v>
      </c>
      <c r="Y49" s="138">
        <f t="shared" si="14"/>
        <v>2.8999999999999998E-3</v>
      </c>
      <c r="Z49" s="139"/>
      <c r="AA49" s="137">
        <f t="shared" si="4"/>
        <v>28536</v>
      </c>
      <c r="AB49" s="138">
        <f t="shared" si="11"/>
        <v>1.4E-3</v>
      </c>
      <c r="AC49" s="137">
        <f t="shared" si="5"/>
        <v>28519</v>
      </c>
      <c r="AD49" s="138">
        <f t="shared" si="12"/>
        <v>1.4E-3</v>
      </c>
      <c r="AE49" s="137">
        <f t="shared" si="6"/>
        <v>28417</v>
      </c>
      <c r="AF49" s="138">
        <f t="shared" si="18"/>
        <v>1.4E-3</v>
      </c>
      <c r="AH49" s="254">
        <v>28536</v>
      </c>
      <c r="AI49" s="254">
        <f t="shared" si="7"/>
        <v>0</v>
      </c>
    </row>
    <row r="50" spans="1:35" ht="17.25" x14ac:dyDescent="0.3">
      <c r="A50" s="252" t="s">
        <v>202</v>
      </c>
      <c r="B50" s="136" t="s">
        <v>97</v>
      </c>
      <c r="C50" s="253">
        <v>4687</v>
      </c>
      <c r="D50" s="253">
        <v>292</v>
      </c>
      <c r="E50" s="253">
        <v>38463</v>
      </c>
      <c r="F50" s="253">
        <v>8734</v>
      </c>
      <c r="G50" s="253">
        <v>251</v>
      </c>
      <c r="H50" s="253">
        <v>130824</v>
      </c>
      <c r="I50" s="253">
        <v>5334</v>
      </c>
      <c r="J50" s="253">
        <v>1</v>
      </c>
      <c r="K50" s="253">
        <v>94</v>
      </c>
      <c r="L50" s="253">
        <v>108</v>
      </c>
      <c r="M50" s="253">
        <v>41</v>
      </c>
      <c r="N50" s="253">
        <v>241</v>
      </c>
      <c r="O50" s="253">
        <f t="shared" si="8"/>
        <v>189070</v>
      </c>
      <c r="P50" s="248"/>
      <c r="Q50" s="137">
        <f t="shared" si="0"/>
        <v>189070</v>
      </c>
      <c r="R50" s="143">
        <v>2.5700000000000001E-2</v>
      </c>
      <c r="S50" s="137">
        <f t="shared" si="1"/>
        <v>47197</v>
      </c>
      <c r="T50" s="138">
        <f t="shared" si="9"/>
        <v>2.4400000000000002E-2</v>
      </c>
      <c r="U50" s="248"/>
      <c r="V50" s="137">
        <f t="shared" si="2"/>
        <v>0</v>
      </c>
      <c r="W50" s="138">
        <f t="shared" si="10"/>
        <v>0</v>
      </c>
      <c r="X50" s="137">
        <f t="shared" si="3"/>
        <v>0</v>
      </c>
      <c r="Y50" s="138">
        <f t="shared" si="14"/>
        <v>0</v>
      </c>
      <c r="Z50" s="139"/>
      <c r="AA50" s="137">
        <f t="shared" si="4"/>
        <v>189070</v>
      </c>
      <c r="AB50" s="138">
        <f t="shared" si="11"/>
        <v>9.4999999999999998E-3</v>
      </c>
      <c r="AC50" s="137">
        <f t="shared" si="5"/>
        <v>188829</v>
      </c>
      <c r="AD50" s="138">
        <f t="shared" si="12"/>
        <v>9.4999999999999998E-3</v>
      </c>
      <c r="AE50" s="137">
        <f t="shared" si="6"/>
        <v>188378</v>
      </c>
      <c r="AF50" s="138">
        <f t="shared" si="18"/>
        <v>9.4999999999999998E-3</v>
      </c>
      <c r="AH50" s="254">
        <v>189070</v>
      </c>
      <c r="AI50" s="254">
        <f t="shared" si="7"/>
        <v>0</v>
      </c>
    </row>
    <row r="51" spans="1:35" ht="17.25" x14ac:dyDescent="0.3">
      <c r="A51" s="252" t="s">
        <v>202</v>
      </c>
      <c r="B51" s="136" t="s">
        <v>98</v>
      </c>
      <c r="C51" s="253">
        <v>2082</v>
      </c>
      <c r="D51" s="253">
        <v>253</v>
      </c>
      <c r="E51" s="253">
        <v>27565</v>
      </c>
      <c r="F51" s="253">
        <v>5044</v>
      </c>
      <c r="G51" s="253">
        <v>191</v>
      </c>
      <c r="H51" s="253">
        <v>127853</v>
      </c>
      <c r="I51" s="253">
        <v>5213</v>
      </c>
      <c r="J51" s="253">
        <v>5</v>
      </c>
      <c r="K51" s="253">
        <v>55</v>
      </c>
      <c r="L51" s="253">
        <v>82</v>
      </c>
      <c r="M51" s="253">
        <v>63</v>
      </c>
      <c r="N51" s="253">
        <v>100</v>
      </c>
      <c r="O51" s="253">
        <f t="shared" si="8"/>
        <v>168506</v>
      </c>
      <c r="P51" s="248"/>
      <c r="Q51" s="137">
        <f t="shared" si="0"/>
        <v>168506</v>
      </c>
      <c r="R51" s="143">
        <v>2.12E-2</v>
      </c>
      <c r="S51" s="137">
        <f t="shared" si="1"/>
        <v>32609</v>
      </c>
      <c r="T51" s="138">
        <f t="shared" si="9"/>
        <v>1.6799999999999999E-2</v>
      </c>
      <c r="U51" s="248"/>
      <c r="V51" s="137">
        <f t="shared" si="2"/>
        <v>0</v>
      </c>
      <c r="W51" s="138">
        <f t="shared" si="10"/>
        <v>0</v>
      </c>
      <c r="X51" s="137">
        <f t="shared" si="3"/>
        <v>0</v>
      </c>
      <c r="Y51" s="138">
        <f t="shared" si="14"/>
        <v>0</v>
      </c>
      <c r="Z51" s="139"/>
      <c r="AA51" s="137">
        <f t="shared" si="4"/>
        <v>168506</v>
      </c>
      <c r="AB51" s="138">
        <f t="shared" si="11"/>
        <v>8.5000000000000006E-3</v>
      </c>
      <c r="AC51" s="137">
        <f t="shared" si="5"/>
        <v>168406</v>
      </c>
      <c r="AD51" s="138">
        <f t="shared" si="12"/>
        <v>8.5000000000000006E-3</v>
      </c>
      <c r="AE51" s="137">
        <f t="shared" si="6"/>
        <v>167917</v>
      </c>
      <c r="AF51" s="138">
        <f t="shared" si="18"/>
        <v>8.5000000000000006E-3</v>
      </c>
      <c r="AH51" s="254">
        <v>168506</v>
      </c>
      <c r="AI51" s="254">
        <f t="shared" si="7"/>
        <v>0</v>
      </c>
    </row>
    <row r="52" spans="1:35" ht="17.25" x14ac:dyDescent="0.3">
      <c r="A52" s="252" t="s">
        <v>203</v>
      </c>
      <c r="B52" s="136" t="s">
        <v>99</v>
      </c>
      <c r="C52" s="253">
        <v>10242</v>
      </c>
      <c r="D52" s="253">
        <v>489</v>
      </c>
      <c r="E52" s="253">
        <v>54362</v>
      </c>
      <c r="F52" s="253">
        <v>17397</v>
      </c>
      <c r="G52" s="253">
        <v>336</v>
      </c>
      <c r="H52" s="253">
        <v>247537</v>
      </c>
      <c r="I52" s="253">
        <v>10092</v>
      </c>
      <c r="J52" s="253">
        <v>19</v>
      </c>
      <c r="K52" s="253">
        <v>117</v>
      </c>
      <c r="L52" s="253">
        <v>102</v>
      </c>
      <c r="M52" s="253">
        <v>0</v>
      </c>
      <c r="N52" s="253">
        <v>183</v>
      </c>
      <c r="O52" s="253">
        <f t="shared" si="8"/>
        <v>340876</v>
      </c>
      <c r="P52" s="248"/>
      <c r="Q52" s="137">
        <f t="shared" si="0"/>
        <v>0</v>
      </c>
      <c r="R52" s="255">
        <v>0</v>
      </c>
      <c r="S52" s="137">
        <f t="shared" si="1"/>
        <v>0</v>
      </c>
      <c r="T52" s="138">
        <f t="shared" si="9"/>
        <v>0</v>
      </c>
      <c r="U52" s="248"/>
      <c r="V52" s="137">
        <f t="shared" si="2"/>
        <v>340876</v>
      </c>
      <c r="W52" s="138">
        <f t="shared" si="10"/>
        <v>2.8899999999999999E-2</v>
      </c>
      <c r="X52" s="137">
        <f t="shared" si="3"/>
        <v>71759</v>
      </c>
      <c r="Y52" s="141">
        <f>ROUNDUP(X52/X$61,4)</f>
        <v>2.6699999999999998E-2</v>
      </c>
      <c r="Z52" s="139"/>
      <c r="AA52" s="137">
        <f t="shared" si="4"/>
        <v>340876</v>
      </c>
      <c r="AB52" s="138">
        <f t="shared" si="11"/>
        <v>1.7100000000000001E-2</v>
      </c>
      <c r="AC52" s="137">
        <f t="shared" si="5"/>
        <v>340693</v>
      </c>
      <c r="AD52" s="138">
        <f>ROUND(AC52/AC$61,4)</f>
        <v>1.72E-2</v>
      </c>
      <c r="AE52" s="137">
        <f t="shared" si="6"/>
        <v>339949</v>
      </c>
      <c r="AF52" s="141">
        <f>ROUNDDOWN(AE52/AE$61,4)</f>
        <v>1.7100000000000001E-2</v>
      </c>
      <c r="AH52" s="254">
        <v>340876</v>
      </c>
      <c r="AI52" s="254">
        <f t="shared" si="7"/>
        <v>0</v>
      </c>
    </row>
    <row r="53" spans="1:35" ht="17.25" x14ac:dyDescent="0.3">
      <c r="A53" s="252" t="s">
        <v>203</v>
      </c>
      <c r="B53" s="136" t="s">
        <v>100</v>
      </c>
      <c r="C53" s="253">
        <v>2178</v>
      </c>
      <c r="D53" s="253">
        <v>86</v>
      </c>
      <c r="E53" s="253">
        <v>9074</v>
      </c>
      <c r="F53" s="253">
        <v>3095</v>
      </c>
      <c r="G53" s="253">
        <v>110</v>
      </c>
      <c r="H53" s="253">
        <v>43045</v>
      </c>
      <c r="I53" s="253">
        <v>1755</v>
      </c>
      <c r="J53" s="253">
        <v>2</v>
      </c>
      <c r="K53" s="253">
        <v>16</v>
      </c>
      <c r="L53" s="253">
        <v>6</v>
      </c>
      <c r="M53" s="253">
        <v>73</v>
      </c>
      <c r="N53" s="253">
        <v>6</v>
      </c>
      <c r="O53" s="253">
        <f t="shared" si="8"/>
        <v>59446</v>
      </c>
      <c r="P53" s="248"/>
      <c r="Q53" s="137">
        <f t="shared" si="0"/>
        <v>0</v>
      </c>
      <c r="R53" s="143">
        <v>0</v>
      </c>
      <c r="S53" s="137">
        <f t="shared" si="1"/>
        <v>0</v>
      </c>
      <c r="T53" s="138">
        <f t="shared" si="9"/>
        <v>0</v>
      </c>
      <c r="U53" s="248"/>
      <c r="V53" s="137">
        <f t="shared" si="2"/>
        <v>59446</v>
      </c>
      <c r="W53" s="138">
        <f t="shared" si="10"/>
        <v>5.0000000000000001E-3</v>
      </c>
      <c r="X53" s="137">
        <f t="shared" si="3"/>
        <v>12169</v>
      </c>
      <c r="Y53" s="138">
        <f t="shared" si="14"/>
        <v>4.4999999999999997E-3</v>
      </c>
      <c r="Z53" s="139"/>
      <c r="AA53" s="137">
        <f t="shared" si="4"/>
        <v>59446</v>
      </c>
      <c r="AB53" s="138">
        <f t="shared" si="11"/>
        <v>3.0000000000000001E-3</v>
      </c>
      <c r="AC53" s="137">
        <f t="shared" si="5"/>
        <v>59440</v>
      </c>
      <c r="AD53" s="138">
        <f t="shared" si="12"/>
        <v>3.0000000000000001E-3</v>
      </c>
      <c r="AE53" s="137">
        <f t="shared" si="6"/>
        <v>59171</v>
      </c>
      <c r="AF53" s="138">
        <f t="shared" ref="AF53:AF60" si="19">ROUND(AE53/AE$61,4)</f>
        <v>3.0000000000000001E-3</v>
      </c>
      <c r="AH53" s="254">
        <v>59446</v>
      </c>
      <c r="AI53" s="254">
        <f t="shared" si="7"/>
        <v>0</v>
      </c>
    </row>
    <row r="54" spans="1:35" ht="17.25" x14ac:dyDescent="0.3">
      <c r="A54" s="252" t="s">
        <v>203</v>
      </c>
      <c r="B54" s="136" t="s">
        <v>101</v>
      </c>
      <c r="C54" s="253">
        <v>1118</v>
      </c>
      <c r="D54" s="253">
        <v>92</v>
      </c>
      <c r="E54" s="253">
        <v>7882</v>
      </c>
      <c r="F54" s="253">
        <v>2237</v>
      </c>
      <c r="G54" s="253">
        <v>19</v>
      </c>
      <c r="H54" s="253">
        <v>29651</v>
      </c>
      <c r="I54" s="253">
        <v>1209</v>
      </c>
      <c r="J54" s="253">
        <v>0</v>
      </c>
      <c r="K54" s="253">
        <v>0</v>
      </c>
      <c r="L54" s="253">
        <v>13</v>
      </c>
      <c r="M54" s="253">
        <v>9</v>
      </c>
      <c r="N54" s="253">
        <v>13</v>
      </c>
      <c r="O54" s="253">
        <f t="shared" si="8"/>
        <v>42243</v>
      </c>
      <c r="P54" s="248"/>
      <c r="Q54" s="137">
        <f t="shared" si="0"/>
        <v>0</v>
      </c>
      <c r="R54" s="143">
        <v>0</v>
      </c>
      <c r="S54" s="137">
        <f t="shared" si="1"/>
        <v>0</v>
      </c>
      <c r="T54" s="138">
        <f t="shared" si="9"/>
        <v>0</v>
      </c>
      <c r="U54" s="248"/>
      <c r="V54" s="137">
        <f t="shared" si="2"/>
        <v>42243</v>
      </c>
      <c r="W54" s="138">
        <f t="shared" si="10"/>
        <v>3.5999999999999999E-3</v>
      </c>
      <c r="X54" s="137">
        <f t="shared" si="3"/>
        <v>10119</v>
      </c>
      <c r="Y54" s="138">
        <f t="shared" si="14"/>
        <v>3.8E-3</v>
      </c>
      <c r="Z54" s="139"/>
      <c r="AA54" s="137">
        <f t="shared" si="4"/>
        <v>42243</v>
      </c>
      <c r="AB54" s="138">
        <f t="shared" si="11"/>
        <v>2.0999999999999999E-3</v>
      </c>
      <c r="AC54" s="137">
        <f t="shared" si="5"/>
        <v>42230</v>
      </c>
      <c r="AD54" s="138">
        <f t="shared" si="12"/>
        <v>2.0999999999999999E-3</v>
      </c>
      <c r="AE54" s="137">
        <f t="shared" si="6"/>
        <v>42110</v>
      </c>
      <c r="AF54" s="138">
        <f t="shared" si="19"/>
        <v>2.0999999999999999E-3</v>
      </c>
      <c r="AH54" s="254">
        <v>42243</v>
      </c>
      <c r="AI54" s="254">
        <f t="shared" si="7"/>
        <v>0</v>
      </c>
    </row>
    <row r="55" spans="1:35" ht="17.25" x14ac:dyDescent="0.3">
      <c r="A55" s="252" t="s">
        <v>203</v>
      </c>
      <c r="B55" s="136" t="s">
        <v>102</v>
      </c>
      <c r="C55" s="253">
        <v>245</v>
      </c>
      <c r="D55" s="253">
        <v>15</v>
      </c>
      <c r="E55" s="253">
        <v>1773</v>
      </c>
      <c r="F55" s="253">
        <v>481</v>
      </c>
      <c r="G55" s="253">
        <v>2</v>
      </c>
      <c r="H55" s="253">
        <v>5453</v>
      </c>
      <c r="I55" s="253">
        <v>222</v>
      </c>
      <c r="J55" s="253">
        <v>0</v>
      </c>
      <c r="K55" s="253">
        <v>0</v>
      </c>
      <c r="L55" s="253">
        <v>3</v>
      </c>
      <c r="M55" s="253">
        <v>0</v>
      </c>
      <c r="N55" s="253">
        <v>5</v>
      </c>
      <c r="O55" s="253">
        <f t="shared" si="8"/>
        <v>8199</v>
      </c>
      <c r="P55" s="248"/>
      <c r="Q55" s="137">
        <f t="shared" si="0"/>
        <v>0</v>
      </c>
      <c r="R55" s="143">
        <v>0</v>
      </c>
      <c r="S55" s="137">
        <f t="shared" si="1"/>
        <v>0</v>
      </c>
      <c r="T55" s="138">
        <f t="shared" si="9"/>
        <v>0</v>
      </c>
      <c r="U55" s="248"/>
      <c r="V55" s="137">
        <f t="shared" si="2"/>
        <v>8199</v>
      </c>
      <c r="W55" s="138">
        <f t="shared" si="10"/>
        <v>6.9999999999999999E-4</v>
      </c>
      <c r="X55" s="137">
        <f t="shared" si="3"/>
        <v>2254</v>
      </c>
      <c r="Y55" s="138">
        <f t="shared" si="14"/>
        <v>8.0000000000000004E-4</v>
      </c>
      <c r="Z55" s="139"/>
      <c r="AA55" s="137">
        <f t="shared" si="4"/>
        <v>8199</v>
      </c>
      <c r="AB55" s="138">
        <f t="shared" si="11"/>
        <v>4.0000000000000002E-4</v>
      </c>
      <c r="AC55" s="137">
        <f t="shared" si="5"/>
        <v>8194</v>
      </c>
      <c r="AD55" s="138">
        <f t="shared" si="12"/>
        <v>4.0000000000000002E-4</v>
      </c>
      <c r="AE55" s="137">
        <f t="shared" si="6"/>
        <v>8179</v>
      </c>
      <c r="AF55" s="138">
        <f t="shared" si="19"/>
        <v>4.0000000000000002E-4</v>
      </c>
      <c r="AH55" s="254">
        <v>8199</v>
      </c>
      <c r="AI55" s="254">
        <f t="shared" si="7"/>
        <v>0</v>
      </c>
    </row>
    <row r="56" spans="1:35" ht="17.25" x14ac:dyDescent="0.3">
      <c r="A56" s="252" t="s">
        <v>202</v>
      </c>
      <c r="B56" s="136" t="s">
        <v>103</v>
      </c>
      <c r="C56" s="253">
        <v>18118</v>
      </c>
      <c r="D56" s="253">
        <v>714</v>
      </c>
      <c r="E56" s="253">
        <v>91469</v>
      </c>
      <c r="F56" s="253">
        <v>23266</v>
      </c>
      <c r="G56" s="253">
        <v>564</v>
      </c>
      <c r="H56" s="253">
        <v>266531</v>
      </c>
      <c r="I56" s="253">
        <v>10866</v>
      </c>
      <c r="J56" s="253">
        <v>0</v>
      </c>
      <c r="K56" s="253">
        <v>124</v>
      </c>
      <c r="L56" s="253">
        <v>469</v>
      </c>
      <c r="M56" s="253">
        <v>0</v>
      </c>
      <c r="N56" s="253">
        <v>237</v>
      </c>
      <c r="O56" s="253">
        <f t="shared" si="8"/>
        <v>412358</v>
      </c>
      <c r="P56" s="248"/>
      <c r="Q56" s="137">
        <f t="shared" si="0"/>
        <v>412358</v>
      </c>
      <c r="R56" s="143">
        <v>5.3800000000000001E-2</v>
      </c>
      <c r="S56" s="137">
        <f t="shared" si="1"/>
        <v>114735</v>
      </c>
      <c r="T56" s="138">
        <f t="shared" si="9"/>
        <v>5.9200000000000003E-2</v>
      </c>
      <c r="U56" s="248"/>
      <c r="V56" s="137">
        <f t="shared" si="2"/>
        <v>0</v>
      </c>
      <c r="W56" s="138">
        <f t="shared" si="10"/>
        <v>0</v>
      </c>
      <c r="X56" s="137">
        <f t="shared" si="3"/>
        <v>0</v>
      </c>
      <c r="Y56" s="138">
        <f t="shared" si="14"/>
        <v>0</v>
      </c>
      <c r="Z56" s="139"/>
      <c r="AA56" s="137">
        <f t="shared" si="4"/>
        <v>412358</v>
      </c>
      <c r="AB56" s="141">
        <f>ROUNDUP(AA56/AA$61,4)</f>
        <v>2.07E-2</v>
      </c>
      <c r="AC56" s="137">
        <f t="shared" si="5"/>
        <v>412121</v>
      </c>
      <c r="AD56" s="138">
        <f t="shared" si="12"/>
        <v>2.0799999999999999E-2</v>
      </c>
      <c r="AE56" s="137">
        <f t="shared" si="6"/>
        <v>410611</v>
      </c>
      <c r="AF56" s="138">
        <f t="shared" si="19"/>
        <v>2.07E-2</v>
      </c>
      <c r="AH56" s="254">
        <v>412358</v>
      </c>
      <c r="AI56" s="254">
        <f t="shared" si="7"/>
        <v>0</v>
      </c>
    </row>
    <row r="57" spans="1:35" ht="17.25" x14ac:dyDescent="0.3">
      <c r="A57" s="252" t="s">
        <v>203</v>
      </c>
      <c r="B57" s="136" t="s">
        <v>104</v>
      </c>
      <c r="C57" s="253">
        <v>383</v>
      </c>
      <c r="D57" s="253">
        <v>55</v>
      </c>
      <c r="E57" s="253">
        <v>4395</v>
      </c>
      <c r="F57" s="253">
        <v>959</v>
      </c>
      <c r="G57" s="253">
        <v>3</v>
      </c>
      <c r="H57" s="253">
        <v>14521</v>
      </c>
      <c r="I57" s="253">
        <v>592</v>
      </c>
      <c r="J57" s="253">
        <v>0</v>
      </c>
      <c r="K57" s="253">
        <v>0</v>
      </c>
      <c r="L57" s="253">
        <v>10</v>
      </c>
      <c r="M57" s="253">
        <v>1</v>
      </c>
      <c r="N57" s="253">
        <v>3</v>
      </c>
      <c r="O57" s="253">
        <f t="shared" si="8"/>
        <v>20922</v>
      </c>
      <c r="P57" s="248"/>
      <c r="Q57" s="137">
        <f t="shared" si="0"/>
        <v>0</v>
      </c>
      <c r="R57" s="143">
        <v>0</v>
      </c>
      <c r="S57" s="137">
        <f t="shared" si="1"/>
        <v>0</v>
      </c>
      <c r="T57" s="138">
        <f t="shared" si="9"/>
        <v>0</v>
      </c>
      <c r="U57" s="248"/>
      <c r="V57" s="137">
        <f t="shared" si="2"/>
        <v>20922</v>
      </c>
      <c r="W57" s="138">
        <f t="shared" si="10"/>
        <v>1.8E-3</v>
      </c>
      <c r="X57" s="137">
        <f t="shared" si="3"/>
        <v>5354</v>
      </c>
      <c r="Y57" s="138">
        <f t="shared" si="14"/>
        <v>2E-3</v>
      </c>
      <c r="Z57" s="139"/>
      <c r="AA57" s="137">
        <f t="shared" si="4"/>
        <v>20922</v>
      </c>
      <c r="AB57" s="138">
        <f t="shared" si="11"/>
        <v>1E-3</v>
      </c>
      <c r="AC57" s="137">
        <f t="shared" si="5"/>
        <v>20919</v>
      </c>
      <c r="AD57" s="138">
        <f t="shared" si="12"/>
        <v>1.1000000000000001E-3</v>
      </c>
      <c r="AE57" s="137">
        <f t="shared" si="6"/>
        <v>20853</v>
      </c>
      <c r="AF57" s="138">
        <f t="shared" si="19"/>
        <v>1.1000000000000001E-3</v>
      </c>
      <c r="AH57" s="254">
        <v>20922</v>
      </c>
      <c r="AI57" s="254">
        <f t="shared" si="7"/>
        <v>0</v>
      </c>
    </row>
    <row r="58" spans="1:35" ht="17.25" x14ac:dyDescent="0.3">
      <c r="A58" s="252" t="s">
        <v>202</v>
      </c>
      <c r="B58" s="136" t="s">
        <v>105</v>
      </c>
      <c r="C58" s="253">
        <v>5338</v>
      </c>
      <c r="D58" s="253">
        <v>366</v>
      </c>
      <c r="E58" s="253">
        <v>57156</v>
      </c>
      <c r="F58" s="253">
        <v>9094</v>
      </c>
      <c r="G58" s="253">
        <v>307</v>
      </c>
      <c r="H58" s="253">
        <v>243363</v>
      </c>
      <c r="I58" s="253">
        <v>9922</v>
      </c>
      <c r="J58" s="253">
        <v>2</v>
      </c>
      <c r="K58" s="253">
        <v>123</v>
      </c>
      <c r="L58" s="253">
        <v>768</v>
      </c>
      <c r="M58" s="253">
        <v>0</v>
      </c>
      <c r="N58" s="253">
        <v>88</v>
      </c>
      <c r="O58" s="253">
        <f t="shared" si="8"/>
        <v>326527</v>
      </c>
      <c r="P58" s="248"/>
      <c r="Q58" s="137">
        <f t="shared" si="0"/>
        <v>326527</v>
      </c>
      <c r="R58" s="143">
        <v>4.1300000000000003E-2</v>
      </c>
      <c r="S58" s="137">
        <f t="shared" si="1"/>
        <v>66250</v>
      </c>
      <c r="T58" s="138">
        <f t="shared" si="9"/>
        <v>3.4200000000000001E-2</v>
      </c>
      <c r="U58" s="248"/>
      <c r="V58" s="137">
        <f t="shared" si="2"/>
        <v>0</v>
      </c>
      <c r="W58" s="138">
        <f t="shared" si="10"/>
        <v>0</v>
      </c>
      <c r="X58" s="137">
        <f t="shared" si="3"/>
        <v>0</v>
      </c>
      <c r="Y58" s="138">
        <f t="shared" si="14"/>
        <v>0</v>
      </c>
      <c r="Z58" s="139"/>
      <c r="AA58" s="137">
        <f t="shared" si="4"/>
        <v>326527</v>
      </c>
      <c r="AB58" s="138">
        <f t="shared" si="11"/>
        <v>1.6400000000000001E-2</v>
      </c>
      <c r="AC58" s="137">
        <f t="shared" si="5"/>
        <v>326439</v>
      </c>
      <c r="AD58" s="138">
        <f t="shared" si="12"/>
        <v>1.6500000000000001E-2</v>
      </c>
      <c r="AE58" s="137">
        <f t="shared" si="6"/>
        <v>325086</v>
      </c>
      <c r="AF58" s="138">
        <f t="shared" si="19"/>
        <v>1.6400000000000001E-2</v>
      </c>
      <c r="AH58" s="254">
        <v>326527</v>
      </c>
      <c r="AI58" s="254">
        <f t="shared" si="7"/>
        <v>0</v>
      </c>
    </row>
    <row r="59" spans="1:35" ht="17.25" x14ac:dyDescent="0.3">
      <c r="A59" s="252" t="s">
        <v>202</v>
      </c>
      <c r="B59" s="136" t="s">
        <v>106</v>
      </c>
      <c r="C59" s="253">
        <v>1697</v>
      </c>
      <c r="D59" s="253">
        <v>245</v>
      </c>
      <c r="E59" s="253">
        <v>18473</v>
      </c>
      <c r="F59" s="253">
        <v>3550</v>
      </c>
      <c r="G59" s="253">
        <v>203</v>
      </c>
      <c r="H59" s="253">
        <v>59043</v>
      </c>
      <c r="I59" s="253">
        <v>2407</v>
      </c>
      <c r="J59" s="253">
        <v>4</v>
      </c>
      <c r="K59" s="253">
        <v>69</v>
      </c>
      <c r="L59" s="253">
        <v>75</v>
      </c>
      <c r="M59" s="253">
        <v>3</v>
      </c>
      <c r="N59" s="253">
        <v>35</v>
      </c>
      <c r="O59" s="253">
        <f t="shared" si="8"/>
        <v>85804</v>
      </c>
      <c r="P59" s="248"/>
      <c r="Q59" s="137">
        <f t="shared" si="0"/>
        <v>85804</v>
      </c>
      <c r="R59" s="143">
        <v>1.18E-2</v>
      </c>
      <c r="S59" s="137">
        <f t="shared" si="1"/>
        <v>22023</v>
      </c>
      <c r="T59" s="138">
        <f t="shared" si="9"/>
        <v>1.14E-2</v>
      </c>
      <c r="U59" s="248"/>
      <c r="V59" s="137">
        <f t="shared" si="2"/>
        <v>0</v>
      </c>
      <c r="W59" s="138">
        <f t="shared" si="10"/>
        <v>0</v>
      </c>
      <c r="X59" s="137">
        <f t="shared" si="3"/>
        <v>0</v>
      </c>
      <c r="Y59" s="138">
        <f t="shared" si="14"/>
        <v>0</v>
      </c>
      <c r="Z59" s="139"/>
      <c r="AA59" s="137">
        <f t="shared" si="4"/>
        <v>85804</v>
      </c>
      <c r="AB59" s="138">
        <f t="shared" si="11"/>
        <v>4.3E-3</v>
      </c>
      <c r="AC59" s="137">
        <f t="shared" si="5"/>
        <v>85769</v>
      </c>
      <c r="AD59" s="138">
        <f t="shared" si="12"/>
        <v>4.3E-3</v>
      </c>
      <c r="AE59" s="137">
        <f t="shared" si="6"/>
        <v>85278</v>
      </c>
      <c r="AF59" s="138">
        <f t="shared" si="19"/>
        <v>4.3E-3</v>
      </c>
      <c r="AH59" s="254">
        <v>85804</v>
      </c>
      <c r="AI59" s="254">
        <f t="shared" si="7"/>
        <v>0</v>
      </c>
    </row>
    <row r="60" spans="1:35" ht="17.25" x14ac:dyDescent="0.3">
      <c r="A60" s="252" t="s">
        <v>203</v>
      </c>
      <c r="B60" s="136" t="s">
        <v>107</v>
      </c>
      <c r="C60" s="253">
        <v>2229</v>
      </c>
      <c r="D60" s="253">
        <v>108</v>
      </c>
      <c r="E60" s="253">
        <v>11676</v>
      </c>
      <c r="F60" s="253">
        <v>3872</v>
      </c>
      <c r="G60" s="253">
        <v>55</v>
      </c>
      <c r="H60" s="253">
        <v>35088</v>
      </c>
      <c r="I60" s="253">
        <v>1431</v>
      </c>
      <c r="J60" s="253">
        <v>1</v>
      </c>
      <c r="K60" s="253">
        <v>4</v>
      </c>
      <c r="L60" s="253">
        <v>8</v>
      </c>
      <c r="M60" s="253">
        <v>11</v>
      </c>
      <c r="N60" s="253">
        <v>21</v>
      </c>
      <c r="O60" s="253">
        <f t="shared" si="8"/>
        <v>54504</v>
      </c>
      <c r="P60" s="248"/>
      <c r="Q60" s="137">
        <f t="shared" si="0"/>
        <v>0</v>
      </c>
      <c r="R60" s="143">
        <v>0</v>
      </c>
      <c r="S60" s="137">
        <f t="shared" si="1"/>
        <v>0</v>
      </c>
      <c r="T60" s="138">
        <f t="shared" si="9"/>
        <v>0</v>
      </c>
      <c r="U60" s="248"/>
      <c r="V60" s="137">
        <f t="shared" si="2"/>
        <v>54504</v>
      </c>
      <c r="W60" s="138">
        <f t="shared" si="10"/>
        <v>4.5999999999999999E-3</v>
      </c>
      <c r="X60" s="137">
        <f t="shared" si="3"/>
        <v>15548</v>
      </c>
      <c r="Y60" s="138">
        <f t="shared" si="14"/>
        <v>5.7999999999999996E-3</v>
      </c>
      <c r="Z60" s="139"/>
      <c r="AA60" s="137">
        <f t="shared" si="4"/>
        <v>54504</v>
      </c>
      <c r="AB60" s="138">
        <f t="shared" si="11"/>
        <v>2.7000000000000001E-3</v>
      </c>
      <c r="AC60" s="137">
        <f t="shared" si="5"/>
        <v>54483</v>
      </c>
      <c r="AD60" s="138">
        <f t="shared" si="12"/>
        <v>2.8E-3</v>
      </c>
      <c r="AE60" s="137">
        <f t="shared" si="6"/>
        <v>54322</v>
      </c>
      <c r="AF60" s="138">
        <f t="shared" si="19"/>
        <v>2.7000000000000001E-3</v>
      </c>
      <c r="AH60" s="254">
        <v>54504</v>
      </c>
      <c r="AI60" s="254">
        <f t="shared" si="7"/>
        <v>0</v>
      </c>
    </row>
    <row r="61" spans="1:35" ht="15.75" x14ac:dyDescent="0.25">
      <c r="B61" s="248"/>
      <c r="C61" s="256">
        <f>SUM(C3:C60)</f>
        <v>530598</v>
      </c>
      <c r="D61" s="256">
        <f t="shared" ref="D61:O61" si="20">SUM(D3:D60)</f>
        <v>33302</v>
      </c>
      <c r="E61" s="256">
        <f t="shared" si="20"/>
        <v>3549713</v>
      </c>
      <c r="F61" s="256">
        <f t="shared" si="20"/>
        <v>1076384</v>
      </c>
      <c r="G61" s="256">
        <f t="shared" si="20"/>
        <v>35352</v>
      </c>
      <c r="H61" s="256">
        <f t="shared" si="20"/>
        <v>13968254</v>
      </c>
      <c r="I61" s="256">
        <f t="shared" si="20"/>
        <v>569483</v>
      </c>
      <c r="J61" s="256">
        <f t="shared" si="20"/>
        <v>564</v>
      </c>
      <c r="K61" s="256">
        <f t="shared" si="20"/>
        <v>13975</v>
      </c>
      <c r="L61" s="256">
        <f t="shared" si="20"/>
        <v>23747</v>
      </c>
      <c r="M61" s="256">
        <f t="shared" si="20"/>
        <v>758</v>
      </c>
      <c r="N61" s="256">
        <f t="shared" si="20"/>
        <v>132642</v>
      </c>
      <c r="O61" s="256">
        <f t="shared" si="20"/>
        <v>19934772</v>
      </c>
      <c r="P61" s="248"/>
      <c r="Q61" s="145">
        <f t="shared" ref="Q61:T61" si="21">SUM(Q3:Q60)</f>
        <v>8157935</v>
      </c>
      <c r="R61" s="257">
        <f t="shared" si="21"/>
        <v>0.99999999999999989</v>
      </c>
      <c r="S61" s="145">
        <f t="shared" si="21"/>
        <v>1937716</v>
      </c>
      <c r="T61" s="146">
        <f t="shared" si="21"/>
        <v>0.99999999999999978</v>
      </c>
      <c r="U61" s="248"/>
      <c r="V61" s="145">
        <f>SUM(V3:V60)</f>
        <v>11776837</v>
      </c>
      <c r="W61" s="146">
        <f>SUM(W3:W60)</f>
        <v>1.0000000000000002</v>
      </c>
      <c r="X61" s="145">
        <f t="shared" ref="X61:Y61" si="22">SUM(X3:X60)</f>
        <v>2688381</v>
      </c>
      <c r="Y61" s="146">
        <f t="shared" si="22"/>
        <v>1</v>
      </c>
      <c r="Z61" s="147"/>
      <c r="AA61" s="145">
        <f t="shared" ref="AA61:AF61" si="23">SUM(AA3:AA60)</f>
        <v>19934772</v>
      </c>
      <c r="AB61" s="146">
        <f t="shared" si="23"/>
        <v>0.99999999999999978</v>
      </c>
      <c r="AC61" s="145">
        <f t="shared" si="23"/>
        <v>19802130</v>
      </c>
      <c r="AD61" s="146">
        <f t="shared" si="23"/>
        <v>1</v>
      </c>
      <c r="AE61" s="145">
        <f t="shared" si="23"/>
        <v>19841613</v>
      </c>
      <c r="AF61" s="146">
        <f t="shared" si="23"/>
        <v>1</v>
      </c>
      <c r="AH61" s="258">
        <f>SUM(AH3:AH60)</f>
        <v>19934772</v>
      </c>
      <c r="AI61" s="258">
        <f>SUM(AI3:AI60)</f>
        <v>0</v>
      </c>
    </row>
    <row r="62" spans="1:35" ht="15.75" x14ac:dyDescent="0.25">
      <c r="A62" s="152">
        <f>COUNTIF(A3:A60,"CA")</f>
        <v>40</v>
      </c>
      <c r="B62" s="248"/>
      <c r="C62" s="259">
        <f>ROUND(C61/$O$61,4)</f>
        <v>2.6599999999999999E-2</v>
      </c>
      <c r="D62" s="259">
        <f>ROUND(D61/$O$61,4)</f>
        <v>1.6999999999999999E-3</v>
      </c>
      <c r="E62" s="259">
        <f>ROUND(E61/$O$61,4)</f>
        <v>0.17810000000000001</v>
      </c>
      <c r="F62" s="259">
        <f>ROUND(F61/$O$61,4)</f>
        <v>5.3999999999999999E-2</v>
      </c>
      <c r="G62" s="259">
        <f>ROUND(G61/$O$61,4)</f>
        <v>1.8E-3</v>
      </c>
      <c r="H62" s="260">
        <f>ROUNDDOWN(H61/$O$61,4)</f>
        <v>0.7006</v>
      </c>
      <c r="I62" s="259">
        <f t="shared" ref="I62:N62" si="24">ROUND(I61/$O$61,4)</f>
        <v>2.86E-2</v>
      </c>
      <c r="J62" s="259">
        <f t="shared" si="24"/>
        <v>0</v>
      </c>
      <c r="K62" s="259">
        <f t="shared" si="24"/>
        <v>6.9999999999999999E-4</v>
      </c>
      <c r="L62" s="259">
        <f t="shared" si="24"/>
        <v>1.1999999999999999E-3</v>
      </c>
      <c r="M62" s="259">
        <f t="shared" si="24"/>
        <v>0</v>
      </c>
      <c r="N62" s="259">
        <f t="shared" si="24"/>
        <v>6.7000000000000002E-3</v>
      </c>
      <c r="O62" s="259">
        <f>SUM(C62:N62)</f>
        <v>1</v>
      </c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E62" s="248"/>
      <c r="AF62" s="248"/>
      <c r="AH62" s="261">
        <f>O61</f>
        <v>19934772</v>
      </c>
    </row>
    <row r="63" spans="1:35" ht="17.25" x14ac:dyDescent="0.3">
      <c r="A63" s="152">
        <f>COUNTIF(A3:A60,"CW")</f>
        <v>18</v>
      </c>
      <c r="B63" s="248"/>
      <c r="C63" s="262"/>
      <c r="D63" s="262"/>
      <c r="E63" s="378">
        <f>E62+F62</f>
        <v>0.2321</v>
      </c>
      <c r="F63" s="379"/>
      <c r="G63" s="262"/>
      <c r="H63" s="262"/>
      <c r="I63" s="262"/>
      <c r="J63" s="262"/>
      <c r="K63" s="262"/>
      <c r="L63" s="262"/>
      <c r="M63" s="262"/>
      <c r="N63" s="262"/>
      <c r="O63" s="262"/>
      <c r="P63" s="248"/>
      <c r="Q63" s="263">
        <v>8157935</v>
      </c>
      <c r="R63" s="248"/>
      <c r="S63" s="263">
        <v>1937716</v>
      </c>
      <c r="T63" s="248"/>
      <c r="U63" s="248"/>
      <c r="V63" s="263">
        <v>11776837</v>
      </c>
      <c r="W63" s="248"/>
      <c r="X63" s="263">
        <v>2688381</v>
      </c>
      <c r="Y63" s="248"/>
      <c r="Z63" s="248"/>
      <c r="AA63" s="263">
        <v>19934772</v>
      </c>
      <c r="AB63" s="248"/>
      <c r="AC63" s="263">
        <v>19802130</v>
      </c>
      <c r="AE63" s="263">
        <v>19841613</v>
      </c>
      <c r="AF63" s="248"/>
      <c r="AH63" s="264">
        <f>AH61-AH62</f>
        <v>0</v>
      </c>
    </row>
    <row r="64" spans="1:35" ht="17.25" x14ac:dyDescent="0.3">
      <c r="B64" s="248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5" t="s">
        <v>204</v>
      </c>
      <c r="O64" s="266">
        <v>5833295</v>
      </c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E64" s="248"/>
      <c r="AF64" s="248"/>
    </row>
    <row r="65" spans="1:32" ht="14.25" x14ac:dyDescent="0.3">
      <c r="B65" s="267" t="s">
        <v>205</v>
      </c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265" t="s">
        <v>206</v>
      </c>
      <c r="O65" s="266">
        <v>5943542</v>
      </c>
      <c r="V65" s="248"/>
      <c r="W65" s="248"/>
      <c r="X65" s="248"/>
      <c r="Y65" s="248"/>
      <c r="Z65" s="248"/>
      <c r="AA65" s="248"/>
      <c r="AB65" s="248"/>
      <c r="AE65" s="248"/>
      <c r="AF65" s="248"/>
    </row>
    <row r="66" spans="1:32" ht="13.5" x14ac:dyDescent="0.25"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265" t="s">
        <v>207</v>
      </c>
      <c r="O66" s="266">
        <v>8157935</v>
      </c>
      <c r="AA66" s="248"/>
      <c r="AB66" s="248"/>
    </row>
    <row r="67" spans="1:32" ht="13.5" x14ac:dyDescent="0.25"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268" t="s">
        <v>134</v>
      </c>
      <c r="O67" s="269">
        <f>SUM(O64:O66)</f>
        <v>19934772</v>
      </c>
      <c r="AA67" s="248"/>
      <c r="AB67" s="248"/>
    </row>
    <row r="68" spans="1:32" ht="13.5" x14ac:dyDescent="0.25"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AA68" s="248"/>
      <c r="AB68" s="248"/>
    </row>
    <row r="69" spans="1:32" ht="13.5" x14ac:dyDescent="0.25"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AA69" s="248"/>
      <c r="AB69" s="248"/>
    </row>
    <row r="70" spans="1:32" ht="13.5" x14ac:dyDescent="0.25">
      <c r="B70" s="270" t="s">
        <v>109</v>
      </c>
      <c r="C70" s="271">
        <v>530598</v>
      </c>
      <c r="D70" s="271">
        <v>33302</v>
      </c>
      <c r="E70" s="271">
        <v>3549713</v>
      </c>
      <c r="F70" s="271">
        <v>1076384</v>
      </c>
      <c r="G70" s="271">
        <v>35352</v>
      </c>
      <c r="H70" s="271">
        <v>13968254</v>
      </c>
      <c r="I70" s="271">
        <v>569483</v>
      </c>
      <c r="J70" s="271">
        <v>564</v>
      </c>
      <c r="K70" s="271">
        <v>13975</v>
      </c>
      <c r="L70" s="271">
        <v>23747</v>
      </c>
      <c r="M70" s="271">
        <v>758</v>
      </c>
      <c r="N70" s="271">
        <v>132642</v>
      </c>
      <c r="O70" s="271">
        <v>19934772</v>
      </c>
      <c r="AA70" s="248"/>
      <c r="AB70" s="248"/>
    </row>
    <row r="71" spans="1:32" ht="13.5" x14ac:dyDescent="0.25">
      <c r="B71" s="270" t="s">
        <v>110</v>
      </c>
      <c r="C71" s="272">
        <f>C61-C70</f>
        <v>0</v>
      </c>
      <c r="D71" s="272">
        <f t="shared" ref="D71:O71" si="25">D61-D70</f>
        <v>0</v>
      </c>
      <c r="E71" s="272">
        <f t="shared" si="25"/>
        <v>0</v>
      </c>
      <c r="F71" s="272">
        <f t="shared" si="25"/>
        <v>0</v>
      </c>
      <c r="G71" s="272">
        <f t="shared" si="25"/>
        <v>0</v>
      </c>
      <c r="H71" s="272">
        <f t="shared" si="25"/>
        <v>0</v>
      </c>
      <c r="I71" s="272">
        <f t="shared" si="25"/>
        <v>0</v>
      </c>
      <c r="J71" s="272">
        <f t="shared" si="25"/>
        <v>0</v>
      </c>
      <c r="K71" s="272">
        <f t="shared" si="25"/>
        <v>0</v>
      </c>
      <c r="L71" s="272">
        <f t="shared" si="25"/>
        <v>0</v>
      </c>
      <c r="M71" s="272">
        <f t="shared" si="25"/>
        <v>0</v>
      </c>
      <c r="N71" s="272">
        <f t="shared" si="25"/>
        <v>0</v>
      </c>
      <c r="O71" s="273">
        <f t="shared" si="25"/>
        <v>0</v>
      </c>
      <c r="AA71" s="248"/>
      <c r="AB71" s="248"/>
    </row>
    <row r="72" spans="1:32" ht="13.5" x14ac:dyDescent="0.25"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64"/>
      <c r="AA72" s="248"/>
      <c r="AB72" s="248"/>
    </row>
    <row r="73" spans="1:32" ht="13.5" x14ac:dyDescent="0.25">
      <c r="B73" s="270" t="s">
        <v>109</v>
      </c>
      <c r="C73" s="275">
        <v>2.6599999999999999E-2</v>
      </c>
      <c r="D73" s="275">
        <v>1.6999999999999999E-3</v>
      </c>
      <c r="E73" s="275">
        <v>0.2321</v>
      </c>
      <c r="F73" s="275">
        <v>0</v>
      </c>
      <c r="G73" s="275">
        <v>1.8E-3</v>
      </c>
      <c r="H73" s="275">
        <v>0.7006</v>
      </c>
      <c r="I73" s="275">
        <v>2.86E-2</v>
      </c>
      <c r="J73" s="275">
        <v>0</v>
      </c>
      <c r="K73" s="275">
        <v>6.9999999999999999E-4</v>
      </c>
      <c r="L73" s="275">
        <v>1.1999999999999999E-3</v>
      </c>
      <c r="M73" s="275">
        <v>0</v>
      </c>
      <c r="N73" s="275">
        <v>6.7000000000000002E-3</v>
      </c>
      <c r="O73" s="275">
        <v>1</v>
      </c>
      <c r="V73" s="248"/>
      <c r="W73" s="248"/>
      <c r="X73" s="248"/>
      <c r="Y73" s="248"/>
      <c r="Z73" s="248"/>
      <c r="AA73" s="248"/>
      <c r="AB73" s="248"/>
      <c r="AE73" s="248"/>
      <c r="AF73" s="248"/>
    </row>
    <row r="74" spans="1:32" ht="13.5" x14ac:dyDescent="0.25">
      <c r="B74" s="270" t="s">
        <v>110</v>
      </c>
      <c r="C74" s="276">
        <f>C62-C73</f>
        <v>0</v>
      </c>
      <c r="D74" s="276">
        <f t="shared" ref="D74:O74" si="26">D62-D73</f>
        <v>0</v>
      </c>
      <c r="E74" s="276">
        <f>E63-E73</f>
        <v>0</v>
      </c>
      <c r="F74" s="276">
        <f>F63-F73</f>
        <v>0</v>
      </c>
      <c r="G74" s="276">
        <f t="shared" si="26"/>
        <v>0</v>
      </c>
      <c r="H74" s="276">
        <f t="shared" si="26"/>
        <v>0</v>
      </c>
      <c r="I74" s="276">
        <f t="shared" si="26"/>
        <v>0</v>
      </c>
      <c r="J74" s="276">
        <f t="shared" si="26"/>
        <v>0</v>
      </c>
      <c r="K74" s="276">
        <f t="shared" si="26"/>
        <v>0</v>
      </c>
      <c r="L74" s="276">
        <f t="shared" si="26"/>
        <v>0</v>
      </c>
      <c r="M74" s="276">
        <f t="shared" si="26"/>
        <v>0</v>
      </c>
      <c r="N74" s="276">
        <f t="shared" si="26"/>
        <v>0</v>
      </c>
      <c r="O74" s="277">
        <f t="shared" si="26"/>
        <v>0</v>
      </c>
      <c r="V74" s="248"/>
      <c r="W74" s="248"/>
      <c r="X74" s="248"/>
      <c r="Y74" s="248"/>
      <c r="Z74" s="248"/>
      <c r="AA74" s="248"/>
      <c r="AB74" s="248"/>
      <c r="AE74" s="248"/>
      <c r="AF74" s="248"/>
    </row>
    <row r="75" spans="1:32" ht="13.5" x14ac:dyDescent="0.25"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V75" s="248"/>
      <c r="W75" s="248"/>
      <c r="X75" s="248"/>
      <c r="Y75" s="248"/>
      <c r="Z75" s="248"/>
      <c r="AA75" s="248"/>
      <c r="AB75" s="248"/>
      <c r="AE75" s="248"/>
      <c r="AF75" s="248"/>
    </row>
    <row r="76" spans="1:32" ht="17.25" x14ac:dyDescent="0.3">
      <c r="B76" s="248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48"/>
      <c r="AB76" s="248"/>
      <c r="AE76" s="248"/>
      <c r="AF76" s="248"/>
    </row>
    <row r="77" spans="1:32" ht="17.25" x14ac:dyDescent="0.3">
      <c r="B77" s="248"/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E77" s="248"/>
      <c r="AF77" s="248"/>
    </row>
    <row r="78" spans="1:32" ht="17.25" x14ac:dyDescent="0.3">
      <c r="B78" s="248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E78" s="248"/>
      <c r="AF78" s="248"/>
    </row>
    <row r="79" spans="1:32" ht="17.25" x14ac:dyDescent="0.3">
      <c r="A79" s="152"/>
      <c r="B79" s="248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E79" s="248"/>
      <c r="AF79" s="248"/>
    </row>
    <row r="80" spans="1:32" ht="17.25" x14ac:dyDescent="0.3">
      <c r="A80" s="152"/>
      <c r="B80" s="248"/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E80" s="248"/>
      <c r="AF80" s="248"/>
    </row>
    <row r="81" spans="2:32" ht="17.25" x14ac:dyDescent="0.3">
      <c r="B81" s="248"/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E81" s="248"/>
      <c r="AF81" s="248"/>
    </row>
    <row r="82" spans="2:32" ht="17.25" x14ac:dyDescent="0.3">
      <c r="B82" s="248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E82" s="248"/>
      <c r="AF82" s="248"/>
    </row>
    <row r="83" spans="2:32" ht="17.25" x14ac:dyDescent="0.3">
      <c r="B83" s="248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E83" s="248"/>
      <c r="AF83" s="248"/>
    </row>
  </sheetData>
  <mergeCells count="10">
    <mergeCell ref="AC2:AD2"/>
    <mergeCell ref="AE2:AF2"/>
    <mergeCell ref="AH2:AI2"/>
    <mergeCell ref="E63:F63"/>
    <mergeCell ref="E1:F1"/>
    <mergeCell ref="Q2:R2"/>
    <mergeCell ref="S2:T2"/>
    <mergeCell ref="V2:W2"/>
    <mergeCell ref="X2:Y2"/>
    <mergeCell ref="AA2:AB2"/>
  </mergeCells>
  <conditionalFormatting sqref="R61 T61">
    <cfRule type="cellIs" dxfId="2" priority="3" operator="greaterThan">
      <formula>1</formula>
    </cfRule>
  </conditionalFormatting>
  <conditionalFormatting sqref="W61 Y61">
    <cfRule type="cellIs" dxfId="1" priority="2" operator="greaterThan">
      <formula>1</formula>
    </cfRule>
  </conditionalFormatting>
  <conditionalFormatting sqref="AB61 AF61">
    <cfRule type="cellIs" dxfId="0" priority="1" operator="greaterThan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34D3-038C-40B4-ADEA-541DDAF324EC}">
  <sheetPr>
    <tabColor rgb="FF9E9EBE"/>
  </sheetPr>
  <dimension ref="A1:P29"/>
  <sheetViews>
    <sheetView workbookViewId="0"/>
  </sheetViews>
  <sheetFormatPr defaultColWidth="8.85546875" defaultRowHeight="12.75" x14ac:dyDescent="0.2"/>
  <cols>
    <col min="1" max="1" width="3.140625" style="149" customWidth="1"/>
    <col min="2" max="2" width="17.140625" style="149" customWidth="1"/>
    <col min="3" max="3" width="9" style="149" customWidth="1"/>
    <col min="4" max="4" width="8.85546875" style="149"/>
    <col min="5" max="5" width="8.42578125" style="149" bestFit="1" customWidth="1"/>
    <col min="6" max="6" width="8.85546875" style="149"/>
    <col min="7" max="7" width="10.42578125" style="149" customWidth="1"/>
    <col min="8" max="8" width="13" style="149" customWidth="1"/>
    <col min="9" max="9" width="12" style="149" customWidth="1"/>
    <col min="10" max="10" width="10.140625" style="149" customWidth="1"/>
    <col min="11" max="11" width="8.85546875" style="149"/>
    <col min="12" max="13" width="10.42578125" style="149" customWidth="1"/>
    <col min="14" max="14" width="8.85546875" style="149" customWidth="1"/>
    <col min="15" max="15" width="8.85546875" style="149"/>
    <col min="16" max="16" width="9.140625" style="149" customWidth="1"/>
    <col min="17" max="16384" width="8.85546875" style="149"/>
  </cols>
  <sheetData>
    <row r="1" spans="1:16" x14ac:dyDescent="0.2">
      <c r="A1" s="148" t="s">
        <v>209</v>
      </c>
    </row>
    <row r="2" spans="1:16" x14ac:dyDescent="0.2">
      <c r="O2" s="150"/>
    </row>
    <row r="3" spans="1:16" x14ac:dyDescent="0.2">
      <c r="C3" s="151"/>
    </row>
    <row r="4" spans="1:16" ht="13.5" thickBot="1" x14ac:dyDescent="0.25">
      <c r="B4" s="152" t="s">
        <v>210</v>
      </c>
      <c r="C4" s="152" t="s">
        <v>211</v>
      </c>
      <c r="D4" s="152" t="s">
        <v>212</v>
      </c>
      <c r="E4" s="152" t="s">
        <v>213</v>
      </c>
      <c r="F4" s="152" t="s">
        <v>214</v>
      </c>
      <c r="G4" s="152" t="s">
        <v>215</v>
      </c>
      <c r="H4" s="152" t="s">
        <v>216</v>
      </c>
      <c r="I4" s="152" t="s">
        <v>217</v>
      </c>
      <c r="J4" s="152" t="s">
        <v>218</v>
      </c>
      <c r="K4" s="152" t="s">
        <v>219</v>
      </c>
      <c r="L4" s="152" t="s">
        <v>220</v>
      </c>
      <c r="M4" s="152" t="s">
        <v>221</v>
      </c>
      <c r="N4" s="152"/>
      <c r="O4" s="152"/>
      <c r="P4" s="152"/>
    </row>
    <row r="5" spans="1:16" x14ac:dyDescent="0.2">
      <c r="A5" s="152">
        <v>5</v>
      </c>
      <c r="B5" s="153"/>
      <c r="C5" s="154" t="s">
        <v>134</v>
      </c>
      <c r="D5" s="154" t="s">
        <v>118</v>
      </c>
      <c r="E5" s="154"/>
      <c r="F5" s="154" t="s">
        <v>222</v>
      </c>
      <c r="G5" s="154" t="s">
        <v>223</v>
      </c>
      <c r="H5" s="154" t="s">
        <v>223</v>
      </c>
      <c r="I5" s="154" t="s">
        <v>118</v>
      </c>
      <c r="J5" s="154" t="s">
        <v>134</v>
      </c>
      <c r="K5" s="154" t="s">
        <v>224</v>
      </c>
      <c r="L5" s="154" t="s">
        <v>225</v>
      </c>
      <c r="M5" s="154"/>
      <c r="N5" s="152"/>
      <c r="O5" s="152"/>
      <c r="P5" s="152"/>
    </row>
    <row r="6" spans="1:16" ht="13.5" thickBot="1" x14ac:dyDescent="0.25">
      <c r="A6" s="152">
        <v>6</v>
      </c>
      <c r="B6" s="155" t="s">
        <v>44</v>
      </c>
      <c r="C6" s="155" t="s">
        <v>226</v>
      </c>
      <c r="D6" s="155" t="s">
        <v>226</v>
      </c>
      <c r="E6" s="155" t="s">
        <v>227</v>
      </c>
      <c r="F6" s="155" t="s">
        <v>228</v>
      </c>
      <c r="G6" s="155" t="s">
        <v>226</v>
      </c>
      <c r="H6" s="156" t="s">
        <v>229</v>
      </c>
      <c r="I6" s="155" t="s">
        <v>230</v>
      </c>
      <c r="J6" s="155" t="s">
        <v>231</v>
      </c>
      <c r="K6" s="155" t="s">
        <v>232</v>
      </c>
      <c r="L6" s="155" t="s">
        <v>232</v>
      </c>
      <c r="M6" s="155" t="s">
        <v>134</v>
      </c>
      <c r="N6" s="152"/>
      <c r="O6" s="157"/>
      <c r="P6" s="152"/>
    </row>
    <row r="7" spans="1:16" x14ac:dyDescent="0.2">
      <c r="A7" s="152">
        <v>7</v>
      </c>
      <c r="B7" s="158" t="s">
        <v>233</v>
      </c>
      <c r="C7" s="159">
        <v>9.4240000000000004E-2</v>
      </c>
      <c r="D7" s="160">
        <v>0.14069999999999999</v>
      </c>
      <c r="E7" s="161">
        <f>1.22222/18</f>
        <v>6.790111111111112E-2</v>
      </c>
      <c r="F7" s="161">
        <f>ROUND(SUM(C7:E7)/3,4)</f>
        <v>0.1009</v>
      </c>
      <c r="G7" s="162">
        <v>9.2920519528360807E-2</v>
      </c>
      <c r="H7" s="161">
        <v>9.2399999999999996E-2</v>
      </c>
      <c r="I7" s="161">
        <v>1.9999999999999998E-4</v>
      </c>
      <c r="J7" s="161">
        <f>ROUND(SUM(H7:I7),4)</f>
        <v>9.2600000000000002E-2</v>
      </c>
      <c r="K7" s="161">
        <f>ROUND($I7/$J7,4)</f>
        <v>2.2000000000000001E-3</v>
      </c>
      <c r="L7" s="161">
        <f>ROUND($H7/$J7,4)</f>
        <v>0.99780000000000002</v>
      </c>
      <c r="M7" s="161">
        <f>SUM(K7:L7)</f>
        <v>1</v>
      </c>
      <c r="N7" s="152"/>
      <c r="O7" s="181"/>
      <c r="P7" s="157"/>
    </row>
    <row r="8" spans="1:16" x14ac:dyDescent="0.2">
      <c r="A8" s="152">
        <v>8</v>
      </c>
      <c r="B8" s="158" t="s">
        <v>234</v>
      </c>
      <c r="C8" s="163">
        <v>4.5539999999999997E-2</v>
      </c>
      <c r="D8" s="161">
        <v>3.1800000000000002E-2</v>
      </c>
      <c r="E8" s="161">
        <f>1.22222/18</f>
        <v>6.790111111111112E-2</v>
      </c>
      <c r="F8" s="161">
        <f>ROUND(SUM(C8:E8)/3,4)</f>
        <v>4.8399999999999999E-2</v>
      </c>
      <c r="G8" s="164">
        <v>4.5927358507761362E-2</v>
      </c>
      <c r="H8" s="161">
        <v>4.58E-2</v>
      </c>
      <c r="I8" s="161">
        <v>2.0000000000000001E-4</v>
      </c>
      <c r="J8" s="161">
        <f t="shared" ref="J8:J24" si="0">ROUND(SUM(H8:I8),4)</f>
        <v>4.5999999999999999E-2</v>
      </c>
      <c r="K8" s="161">
        <f t="shared" ref="K8:K24" si="1">ROUND($I8/$J8,4)</f>
        <v>4.3E-3</v>
      </c>
      <c r="L8" s="161">
        <f t="shared" ref="L8:L24" si="2">ROUND($H8/$J8,4)</f>
        <v>0.99570000000000003</v>
      </c>
      <c r="M8" s="161">
        <f t="shared" ref="M8:M24" si="3">SUM(K8:L8)</f>
        <v>1</v>
      </c>
      <c r="N8" s="152"/>
      <c r="O8" s="181"/>
      <c r="P8" s="157"/>
    </row>
    <row r="9" spans="1:16" x14ac:dyDescent="0.2">
      <c r="A9" s="152">
        <v>9</v>
      </c>
      <c r="B9" s="158" t="s">
        <v>235</v>
      </c>
      <c r="C9" s="163">
        <v>8.7220000000000006E-2</v>
      </c>
      <c r="D9" s="161">
        <v>3.6600000000000001E-2</v>
      </c>
      <c r="E9" s="161">
        <f>1.22222/18</f>
        <v>6.790111111111112E-2</v>
      </c>
      <c r="F9" s="161">
        <f t="shared" ref="F9:F23" si="4">ROUND(SUM(C9:E9)/3,4)</f>
        <v>6.3899999999999998E-2</v>
      </c>
      <c r="G9" s="164">
        <v>8.8658268795201875E-2</v>
      </c>
      <c r="H9" s="161">
        <v>8.8400000000000006E-2</v>
      </c>
      <c r="I9" s="161">
        <v>2.0000000000000001E-4</v>
      </c>
      <c r="J9" s="161">
        <f t="shared" si="0"/>
        <v>8.8599999999999998E-2</v>
      </c>
      <c r="K9" s="161">
        <f t="shared" si="1"/>
        <v>2.3E-3</v>
      </c>
      <c r="L9" s="161">
        <f t="shared" si="2"/>
        <v>0.99770000000000003</v>
      </c>
      <c r="M9" s="161">
        <f t="shared" si="3"/>
        <v>1</v>
      </c>
      <c r="N9" s="152"/>
      <c r="O9" s="181"/>
      <c r="P9" s="157"/>
    </row>
    <row r="10" spans="1:16" x14ac:dyDescent="0.2">
      <c r="A10" s="152">
        <v>10</v>
      </c>
      <c r="B10" s="158" t="s">
        <v>236</v>
      </c>
      <c r="C10" s="163">
        <v>0.12348000000000001</v>
      </c>
      <c r="D10" s="161">
        <v>2.1299999999999999E-2</v>
      </c>
      <c r="E10" s="161">
        <f>1.22222/18</f>
        <v>6.790111111111112E-2</v>
      </c>
      <c r="F10" s="161">
        <f>ROUND(SUM(C10:E10)/3,3)</f>
        <v>7.0999999999999994E-2</v>
      </c>
      <c r="G10" s="164">
        <v>0.1263872940223924</v>
      </c>
      <c r="H10" s="161">
        <v>0.126</v>
      </c>
      <c r="I10" s="161">
        <v>2.0000000000000001E-4</v>
      </c>
      <c r="J10" s="161">
        <f t="shared" si="0"/>
        <v>0.12620000000000001</v>
      </c>
      <c r="K10" s="161">
        <f t="shared" si="1"/>
        <v>1.6000000000000001E-3</v>
      </c>
      <c r="L10" s="161">
        <f t="shared" si="2"/>
        <v>0.99839999999999995</v>
      </c>
      <c r="M10" s="161">
        <f t="shared" si="3"/>
        <v>1</v>
      </c>
      <c r="N10" s="152"/>
      <c r="O10" s="181"/>
      <c r="P10" s="157"/>
    </row>
    <row r="11" spans="1:16" x14ac:dyDescent="0.2">
      <c r="A11" s="152">
        <v>11</v>
      </c>
      <c r="B11" s="158" t="s">
        <v>237</v>
      </c>
      <c r="C11" s="163">
        <v>9.1500000000000001E-3</v>
      </c>
      <c r="D11" s="161">
        <v>1.2699999999999999E-2</v>
      </c>
      <c r="E11" s="161">
        <f>0.5/18</f>
        <v>2.7777777777777776E-2</v>
      </c>
      <c r="F11" s="161">
        <f t="shared" si="4"/>
        <v>1.6500000000000001E-2</v>
      </c>
      <c r="G11" s="164">
        <v>9.0502078362865949E-3</v>
      </c>
      <c r="H11" s="161">
        <v>8.9999999999999993E-3</v>
      </c>
      <c r="I11" s="161">
        <v>1E-4</v>
      </c>
      <c r="J11" s="161">
        <f t="shared" si="0"/>
        <v>9.1000000000000004E-3</v>
      </c>
      <c r="K11" s="161">
        <f t="shared" si="1"/>
        <v>1.0999999999999999E-2</v>
      </c>
      <c r="L11" s="161">
        <f t="shared" si="2"/>
        <v>0.98899999999999999</v>
      </c>
      <c r="M11" s="161">
        <f t="shared" si="3"/>
        <v>1</v>
      </c>
      <c r="N11" s="152"/>
      <c r="O11" s="181"/>
      <c r="P11" s="157"/>
    </row>
    <row r="12" spans="1:16" x14ac:dyDescent="0.2">
      <c r="A12" s="152">
        <v>12</v>
      </c>
      <c r="B12" s="158" t="s">
        <v>238</v>
      </c>
      <c r="C12" s="163">
        <v>0.11123</v>
      </c>
      <c r="D12" s="161">
        <v>0.1699</v>
      </c>
      <c r="E12" s="161">
        <f>1.22222/18</f>
        <v>6.790111111111112E-2</v>
      </c>
      <c r="F12" s="161">
        <f t="shared" si="4"/>
        <v>0.1163</v>
      </c>
      <c r="G12" s="164">
        <v>0.10955893427423262</v>
      </c>
      <c r="H12" s="161">
        <v>0.10920000000000001</v>
      </c>
      <c r="I12" s="161">
        <v>4.0000000000000002E-4</v>
      </c>
      <c r="J12" s="161">
        <f t="shared" si="0"/>
        <v>0.1096</v>
      </c>
      <c r="K12" s="161">
        <f t="shared" si="1"/>
        <v>3.5999999999999999E-3</v>
      </c>
      <c r="L12" s="161">
        <f t="shared" si="2"/>
        <v>0.99639999999999995</v>
      </c>
      <c r="M12" s="161">
        <f t="shared" si="3"/>
        <v>1</v>
      </c>
      <c r="N12" s="152"/>
      <c r="O12" s="181"/>
      <c r="P12" s="157"/>
    </row>
    <row r="13" spans="1:16" x14ac:dyDescent="0.2">
      <c r="A13" s="152">
        <v>13</v>
      </c>
      <c r="B13" s="158" t="s">
        <v>239</v>
      </c>
      <c r="C13" s="163">
        <v>0.15759999999999999</v>
      </c>
      <c r="D13" s="161">
        <v>4.9599999999999998E-2</v>
      </c>
      <c r="E13" s="161">
        <f>1.22222/18</f>
        <v>6.790111111111112E-2</v>
      </c>
      <c r="F13" s="161">
        <f t="shared" si="4"/>
        <v>9.1700000000000004E-2</v>
      </c>
      <c r="G13" s="164">
        <v>0.1606752448899518</v>
      </c>
      <c r="H13" s="161">
        <v>0.16009999999999999</v>
      </c>
      <c r="I13" s="161">
        <v>2.9999999999999997E-4</v>
      </c>
      <c r="J13" s="161">
        <f t="shared" si="0"/>
        <v>0.16039999999999999</v>
      </c>
      <c r="K13" s="161">
        <f t="shared" si="1"/>
        <v>1.9E-3</v>
      </c>
      <c r="L13" s="161">
        <f t="shared" si="2"/>
        <v>0.99809999999999999</v>
      </c>
      <c r="M13" s="161">
        <f t="shared" si="3"/>
        <v>1</v>
      </c>
      <c r="N13" s="152"/>
      <c r="O13" s="181"/>
      <c r="P13" s="157"/>
    </row>
    <row r="14" spans="1:16" x14ac:dyDescent="0.2">
      <c r="A14" s="152">
        <v>14</v>
      </c>
      <c r="B14" s="158" t="s">
        <v>240</v>
      </c>
      <c r="C14" s="163">
        <v>6.6989999999999994E-2</v>
      </c>
      <c r="D14" s="161">
        <v>0.38769999999999999</v>
      </c>
      <c r="E14" s="161">
        <f>1.22222/18</f>
        <v>6.790111111111112E-2</v>
      </c>
      <c r="F14" s="161">
        <f t="shared" si="4"/>
        <v>0.17419999999999999</v>
      </c>
      <c r="G14" s="164">
        <v>5.7876625924422997E-2</v>
      </c>
      <c r="H14" s="161">
        <v>5.7700000000000001E-2</v>
      </c>
      <c r="I14" s="161">
        <v>5.9999999999999995E-4</v>
      </c>
      <c r="J14" s="161">
        <f t="shared" si="0"/>
        <v>5.8299999999999998E-2</v>
      </c>
      <c r="K14" s="161">
        <f t="shared" si="1"/>
        <v>1.03E-2</v>
      </c>
      <c r="L14" s="161">
        <f t="shared" si="2"/>
        <v>0.98970000000000002</v>
      </c>
      <c r="M14" s="161">
        <f t="shared" si="3"/>
        <v>1</v>
      </c>
      <c r="N14" s="152"/>
      <c r="O14" s="181"/>
      <c r="P14" s="157"/>
    </row>
    <row r="15" spans="1:16" x14ac:dyDescent="0.2">
      <c r="A15" s="152">
        <v>15</v>
      </c>
      <c r="B15" s="158" t="s">
        <v>241</v>
      </c>
      <c r="C15" s="163">
        <v>1.312E-2</v>
      </c>
      <c r="D15" s="161">
        <v>5.3E-3</v>
      </c>
      <c r="E15" s="161">
        <f>0.5/18</f>
        <v>2.7777777777777776E-2</v>
      </c>
      <c r="F15" s="161">
        <f t="shared" si="4"/>
        <v>1.54E-2</v>
      </c>
      <c r="G15" s="164">
        <v>1.3346034706213599E-2</v>
      </c>
      <c r="H15" s="161">
        <v>1.3299999999999999E-2</v>
      </c>
      <c r="I15" s="161">
        <v>1E-4</v>
      </c>
      <c r="J15" s="161">
        <f t="shared" si="0"/>
        <v>1.34E-2</v>
      </c>
      <c r="K15" s="161">
        <f t="shared" si="1"/>
        <v>7.4999999999999997E-3</v>
      </c>
      <c r="L15" s="161">
        <f t="shared" si="2"/>
        <v>0.99250000000000005</v>
      </c>
      <c r="M15" s="161">
        <f t="shared" si="3"/>
        <v>1</v>
      </c>
      <c r="N15" s="152"/>
      <c r="O15" s="181"/>
      <c r="P15" s="157"/>
    </row>
    <row r="16" spans="1:16" x14ac:dyDescent="0.2">
      <c r="A16" s="152">
        <v>16</v>
      </c>
      <c r="B16" s="158" t="s">
        <v>242</v>
      </c>
      <c r="C16" s="163">
        <v>2.332E-2</v>
      </c>
      <c r="D16" s="161">
        <v>1.5299999999999999E-2</v>
      </c>
      <c r="E16" s="161">
        <f>1/18</f>
        <v>5.5555555555555552E-2</v>
      </c>
      <c r="F16" s="161">
        <f t="shared" si="4"/>
        <v>3.1399999999999997E-2</v>
      </c>
      <c r="G16" s="164">
        <v>2.3552220965515389E-2</v>
      </c>
      <c r="H16" s="161">
        <v>2.35E-2</v>
      </c>
      <c r="I16" s="161">
        <v>1E-4</v>
      </c>
      <c r="J16" s="161">
        <f t="shared" si="0"/>
        <v>2.3599999999999999E-2</v>
      </c>
      <c r="K16" s="161">
        <f t="shared" si="1"/>
        <v>4.1999999999999997E-3</v>
      </c>
      <c r="L16" s="161">
        <f t="shared" si="2"/>
        <v>0.99580000000000002</v>
      </c>
      <c r="M16" s="161">
        <f t="shared" si="3"/>
        <v>1</v>
      </c>
      <c r="N16" s="152"/>
      <c r="O16" s="181"/>
      <c r="P16" s="157"/>
    </row>
    <row r="17" spans="1:16" x14ac:dyDescent="0.2">
      <c r="A17" s="152">
        <v>17</v>
      </c>
      <c r="B17" s="158" t="s">
        <v>243</v>
      </c>
      <c r="C17" s="163">
        <v>2.3949999999999999E-2</v>
      </c>
      <c r="D17" s="161">
        <v>1.7000000000000001E-2</v>
      </c>
      <c r="E17" s="161">
        <f>1/18</f>
        <v>5.5555555555555552E-2</v>
      </c>
      <c r="F17" s="161">
        <f t="shared" si="4"/>
        <v>3.2199999999999999E-2</v>
      </c>
      <c r="G17" s="164">
        <v>2.4147957563600397E-2</v>
      </c>
      <c r="H17" s="161">
        <v>2.41E-2</v>
      </c>
      <c r="I17" s="161">
        <v>1E-4</v>
      </c>
      <c r="J17" s="161">
        <f t="shared" si="0"/>
        <v>2.4199999999999999E-2</v>
      </c>
      <c r="K17" s="161">
        <f t="shared" si="1"/>
        <v>4.1000000000000003E-3</v>
      </c>
      <c r="L17" s="161">
        <f t="shared" si="2"/>
        <v>0.99590000000000001</v>
      </c>
      <c r="M17" s="161">
        <f t="shared" si="3"/>
        <v>1</v>
      </c>
      <c r="N17" s="152"/>
      <c r="O17" s="181"/>
      <c r="P17" s="157"/>
    </row>
    <row r="18" spans="1:16" x14ac:dyDescent="0.2">
      <c r="A18" s="152">
        <v>18</v>
      </c>
      <c r="B18" s="158" t="s">
        <v>244</v>
      </c>
      <c r="C18" s="163">
        <v>8.0180000000000001E-2</v>
      </c>
      <c r="D18" s="161">
        <v>6.3799999999999996E-2</v>
      </c>
      <c r="E18" s="161">
        <f>1.22222/18</f>
        <v>6.790111111111112E-2</v>
      </c>
      <c r="F18" s="161">
        <f t="shared" si="4"/>
        <v>7.0599999999999996E-2</v>
      </c>
      <c r="G18" s="164">
        <v>8.0646043244145524E-2</v>
      </c>
      <c r="H18" s="161">
        <v>8.0399999999999999E-2</v>
      </c>
      <c r="I18" s="161">
        <v>2.0000000000000001E-4</v>
      </c>
      <c r="J18" s="161">
        <f t="shared" si="0"/>
        <v>8.0600000000000005E-2</v>
      </c>
      <c r="K18" s="161">
        <f t="shared" si="1"/>
        <v>2.5000000000000001E-3</v>
      </c>
      <c r="L18" s="161">
        <f t="shared" si="2"/>
        <v>0.99750000000000005</v>
      </c>
      <c r="M18" s="161">
        <f t="shared" si="3"/>
        <v>1</v>
      </c>
      <c r="N18" s="152"/>
      <c r="O18" s="181"/>
      <c r="P18" s="157"/>
    </row>
    <row r="19" spans="1:16" x14ac:dyDescent="0.2">
      <c r="A19" s="152">
        <v>19</v>
      </c>
      <c r="B19" s="158" t="s">
        <v>245</v>
      </c>
      <c r="C19" s="163">
        <v>1.3339999999999999E-2</v>
      </c>
      <c r="D19" s="161">
        <v>5.5999999999999999E-3</v>
      </c>
      <c r="E19" s="161">
        <f>0.5/18</f>
        <v>2.7777777777777776E-2</v>
      </c>
      <c r="F19" s="161">
        <f t="shared" si="4"/>
        <v>1.5599999999999999E-2</v>
      </c>
      <c r="G19" s="164">
        <v>1.3560921981529287E-2</v>
      </c>
      <c r="H19" s="161">
        <v>1.35E-2</v>
      </c>
      <c r="I19" s="161">
        <v>1E-4</v>
      </c>
      <c r="J19" s="161">
        <f t="shared" si="0"/>
        <v>1.3599999999999999E-2</v>
      </c>
      <c r="K19" s="161">
        <f t="shared" si="1"/>
        <v>7.4000000000000003E-3</v>
      </c>
      <c r="L19" s="161">
        <f t="shared" si="2"/>
        <v>0.99260000000000004</v>
      </c>
      <c r="M19" s="161">
        <f t="shared" si="3"/>
        <v>1</v>
      </c>
      <c r="N19" s="152"/>
      <c r="O19" s="181"/>
      <c r="P19" s="157"/>
    </row>
    <row r="20" spans="1:16" x14ac:dyDescent="0.2">
      <c r="A20" s="152">
        <v>20</v>
      </c>
      <c r="B20" s="158" t="s">
        <v>246</v>
      </c>
      <c r="C20" s="163">
        <v>2.5260000000000001E-2</v>
      </c>
      <c r="D20" s="161">
        <v>8.5000000000000006E-3</v>
      </c>
      <c r="E20" s="161">
        <f>1/18</f>
        <v>5.5555555555555552E-2</v>
      </c>
      <c r="F20" s="161">
        <f t="shared" si="4"/>
        <v>2.98E-2</v>
      </c>
      <c r="G20" s="164">
        <v>2.5733710537246969E-2</v>
      </c>
      <c r="H20" s="161">
        <v>2.5600000000000001E-2</v>
      </c>
      <c r="I20" s="161">
        <v>1E-4</v>
      </c>
      <c r="J20" s="161">
        <f t="shared" si="0"/>
        <v>2.5700000000000001E-2</v>
      </c>
      <c r="K20" s="161">
        <f t="shared" si="1"/>
        <v>3.8999999999999998E-3</v>
      </c>
      <c r="L20" s="161">
        <f t="shared" si="2"/>
        <v>0.99609999999999999</v>
      </c>
      <c r="M20" s="161">
        <f t="shared" si="3"/>
        <v>1</v>
      </c>
      <c r="N20" s="152"/>
      <c r="O20" s="181"/>
      <c r="P20" s="157"/>
    </row>
    <row r="21" spans="1:16" x14ac:dyDescent="0.2">
      <c r="A21" s="152">
        <v>21</v>
      </c>
      <c r="B21" s="158" t="s">
        <v>247</v>
      </c>
      <c r="C21" s="163">
        <v>2.0740000000000001E-2</v>
      </c>
      <c r="D21" s="161">
        <v>7.1999999999999998E-3</v>
      </c>
      <c r="E21" s="161">
        <f>1/18</f>
        <v>5.5555555555555552E-2</v>
      </c>
      <c r="F21" s="161">
        <f t="shared" si="4"/>
        <v>2.7799999999999998E-2</v>
      </c>
      <c r="G21" s="164">
        <v>2.1124186618086793E-2</v>
      </c>
      <c r="H21" s="161">
        <v>2.1100000000000001E-2</v>
      </c>
      <c r="I21" s="161">
        <v>1E-4</v>
      </c>
      <c r="J21" s="161">
        <f t="shared" si="0"/>
        <v>2.12E-2</v>
      </c>
      <c r="K21" s="161">
        <f t="shared" si="1"/>
        <v>4.7000000000000002E-3</v>
      </c>
      <c r="L21" s="161">
        <f t="shared" si="2"/>
        <v>0.99529999999999996</v>
      </c>
      <c r="M21" s="161">
        <f t="shared" si="3"/>
        <v>1</v>
      </c>
      <c r="N21" s="152"/>
      <c r="O21" s="181"/>
      <c r="P21" s="157"/>
    </row>
    <row r="22" spans="1:16" x14ac:dyDescent="0.2">
      <c r="A22" s="152">
        <v>22</v>
      </c>
      <c r="B22" s="158" t="s">
        <v>248</v>
      </c>
      <c r="C22" s="163">
        <v>5.2679999999999998E-2</v>
      </c>
      <c r="D22" s="161">
        <v>1.4999999999999999E-2</v>
      </c>
      <c r="E22" s="161">
        <f>1.22222/18</f>
        <v>6.790111111111112E-2</v>
      </c>
      <c r="F22" s="161">
        <f t="shared" si="4"/>
        <v>4.5199999999999997E-2</v>
      </c>
      <c r="G22" s="164">
        <v>5.3756354283883361E-2</v>
      </c>
      <c r="H22" s="161">
        <v>5.3600000000000002E-2</v>
      </c>
      <c r="I22" s="161">
        <v>2.0000000000000001E-4</v>
      </c>
      <c r="J22" s="161">
        <f t="shared" si="0"/>
        <v>5.3800000000000001E-2</v>
      </c>
      <c r="K22" s="161">
        <f t="shared" si="1"/>
        <v>3.7000000000000002E-3</v>
      </c>
      <c r="L22" s="161">
        <f t="shared" si="2"/>
        <v>0.99629999999999996</v>
      </c>
      <c r="M22" s="161">
        <f t="shared" si="3"/>
        <v>1</v>
      </c>
      <c r="N22" s="152"/>
      <c r="O22" s="181"/>
      <c r="P22" s="157"/>
    </row>
    <row r="23" spans="1:16" x14ac:dyDescent="0.2">
      <c r="A23" s="152">
        <v>23</v>
      </c>
      <c r="B23" s="158" t="s">
        <v>249</v>
      </c>
      <c r="C23" s="163">
        <v>4.0329999999999998E-2</v>
      </c>
      <c r="D23" s="161">
        <v>4.8999999999999998E-3</v>
      </c>
      <c r="E23" s="161">
        <f>1/18</f>
        <v>5.5555555555555552E-2</v>
      </c>
      <c r="F23" s="161">
        <f t="shared" si="4"/>
        <v>3.3599999999999998E-2</v>
      </c>
      <c r="G23" s="164">
        <v>4.1337020952468662E-2</v>
      </c>
      <c r="H23" s="161">
        <v>4.1200000000000001E-2</v>
      </c>
      <c r="I23" s="161">
        <v>1E-4</v>
      </c>
      <c r="J23" s="161">
        <f t="shared" si="0"/>
        <v>4.1300000000000003E-2</v>
      </c>
      <c r="K23" s="161">
        <f t="shared" si="1"/>
        <v>2.3999999999999998E-3</v>
      </c>
      <c r="L23" s="161">
        <f t="shared" si="2"/>
        <v>0.99760000000000004</v>
      </c>
      <c r="M23" s="161">
        <f t="shared" si="3"/>
        <v>1</v>
      </c>
      <c r="N23" s="152"/>
      <c r="O23" s="181"/>
      <c r="P23" s="157"/>
    </row>
    <row r="24" spans="1:16" ht="13.5" thickBot="1" x14ac:dyDescent="0.25">
      <c r="A24" s="152">
        <v>24</v>
      </c>
      <c r="B24" s="165" t="s">
        <v>250</v>
      </c>
      <c r="C24" s="166">
        <v>1.1610000000000001E-2</v>
      </c>
      <c r="D24" s="166">
        <v>7.1000000000000004E-3</v>
      </c>
      <c r="E24" s="166">
        <f>0.5/18</f>
        <v>2.7777777777777776E-2</v>
      </c>
      <c r="F24" s="166">
        <f>ROUND(SUM(C24:E24)/3,4)</f>
        <v>1.55E-2</v>
      </c>
      <c r="G24" s="166">
        <v>1.1741095368699557E-2</v>
      </c>
      <c r="H24" s="166">
        <v>1.17E-2</v>
      </c>
      <c r="I24" s="166">
        <v>1E-4</v>
      </c>
      <c r="J24" s="166">
        <f t="shared" si="0"/>
        <v>1.18E-2</v>
      </c>
      <c r="K24" s="166">
        <f t="shared" si="1"/>
        <v>8.5000000000000006E-3</v>
      </c>
      <c r="L24" s="166">
        <f t="shared" si="2"/>
        <v>0.99150000000000005</v>
      </c>
      <c r="M24" s="166">
        <f t="shared" si="3"/>
        <v>1</v>
      </c>
      <c r="N24" s="152"/>
      <c r="O24" s="181"/>
      <c r="P24" s="157"/>
    </row>
    <row r="25" spans="1:16" x14ac:dyDescent="0.2">
      <c r="C25" s="151">
        <f t="shared" ref="C25:J25" si="5">SUM(C7:C24)</f>
        <v>0.99997999999999998</v>
      </c>
      <c r="D25" s="151">
        <f t="shared" si="5"/>
        <v>0.99999999999999989</v>
      </c>
      <c r="E25" s="151">
        <f t="shared" si="5"/>
        <v>0.9999988888888891</v>
      </c>
      <c r="F25" s="151">
        <f t="shared" si="5"/>
        <v>1</v>
      </c>
      <c r="G25" s="151">
        <f t="shared" si="5"/>
        <v>1</v>
      </c>
      <c r="H25" s="151">
        <f t="shared" si="5"/>
        <v>0.99659999999999993</v>
      </c>
      <c r="I25" s="151">
        <f t="shared" si="5"/>
        <v>3.3999999999999985E-3</v>
      </c>
      <c r="J25" s="151">
        <f t="shared" si="5"/>
        <v>0.99999999999999989</v>
      </c>
      <c r="K25" s="151"/>
      <c r="L25" s="151"/>
      <c r="M25" s="151"/>
      <c r="N25" s="152"/>
      <c r="O25" s="157"/>
      <c r="P25" s="157"/>
    </row>
    <row r="26" spans="1:16" x14ac:dyDescent="0.2">
      <c r="I26" s="167"/>
      <c r="K26" s="151"/>
      <c r="N26" s="152"/>
      <c r="O26" s="152"/>
      <c r="P26" s="152"/>
    </row>
    <row r="27" spans="1:16" x14ac:dyDescent="0.2">
      <c r="H27" s="168"/>
      <c r="I27" s="168"/>
      <c r="N27" s="152"/>
      <c r="O27" s="152"/>
      <c r="P27" s="152"/>
    </row>
    <row r="28" spans="1:16" ht="15" x14ac:dyDescent="0.25">
      <c r="D28" s="151"/>
      <c r="H28" s="151"/>
      <c r="I28" s="169"/>
      <c r="N28" s="152"/>
      <c r="O28" s="152"/>
      <c r="P28" s="152"/>
    </row>
    <row r="29" spans="1:16" ht="15" x14ac:dyDescent="0.25">
      <c r="H29" s="169"/>
      <c r="I29" s="169"/>
    </row>
  </sheetData>
  <pageMargins left="0.45" right="0.2" top="1" bottom="1" header="0.5" footer="0.5"/>
  <pageSetup scale="96" orientation="landscape" r:id="rId1"/>
  <headerFooter alignWithMargins="0">
    <oddHeader>&amp;CCalWIN GA/GR Cost Sharing</oddHeader>
    <oddFooter>&amp;CEffective July 1, 2019</oddFooter>
  </headerFooter>
  <ignoredErrors>
    <ignoredError sqref="J7:J24" formulaRange="1"/>
    <ignoredError sqref="E10:F2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CA22-2123-4B03-B5C4-ED5565D1D5F6}">
  <sheetPr>
    <tabColor rgb="FF9E9EBE"/>
  </sheetPr>
  <dimension ref="A1:P29"/>
  <sheetViews>
    <sheetView workbookViewId="0"/>
  </sheetViews>
  <sheetFormatPr defaultColWidth="8.85546875" defaultRowHeight="12.75" x14ac:dyDescent="0.2"/>
  <cols>
    <col min="1" max="1" width="3.140625" style="149" customWidth="1"/>
    <col min="2" max="2" width="17.140625" style="149" customWidth="1"/>
    <col min="3" max="3" width="9" style="149" customWidth="1"/>
    <col min="4" max="4" width="8.85546875" style="149"/>
    <col min="5" max="5" width="8.42578125" style="149" bestFit="1" customWidth="1"/>
    <col min="6" max="6" width="8.85546875" style="149"/>
    <col min="7" max="7" width="10.42578125" style="149" customWidth="1"/>
    <col min="8" max="8" width="13" style="149" customWidth="1"/>
    <col min="9" max="9" width="12" style="149" customWidth="1"/>
    <col min="10" max="10" width="10.140625" style="149" customWidth="1"/>
    <col min="11" max="11" width="8.85546875" style="149"/>
    <col min="12" max="13" width="10.42578125" style="149" customWidth="1"/>
    <col min="14" max="14" width="8.85546875" style="149" customWidth="1"/>
    <col min="15" max="15" width="8.85546875" style="149"/>
    <col min="16" max="16" width="9.140625" style="149" customWidth="1"/>
    <col min="17" max="16384" width="8.85546875" style="149"/>
  </cols>
  <sheetData>
    <row r="1" spans="1:16" ht="15" x14ac:dyDescent="0.25">
      <c r="A1" s="148" t="s">
        <v>251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6" ht="15" x14ac:dyDescent="0.2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O2" s="150"/>
    </row>
    <row r="3" spans="1:16" ht="15" x14ac:dyDescent="0.25">
      <c r="A3" s="280"/>
      <c r="B3" s="280"/>
      <c r="C3" s="151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6" ht="15.75" thickBot="1" x14ac:dyDescent="0.3">
      <c r="A4" s="280"/>
      <c r="B4" s="152" t="s">
        <v>210</v>
      </c>
      <c r="C4" s="152" t="s">
        <v>211</v>
      </c>
      <c r="D4" s="152" t="s">
        <v>212</v>
      </c>
      <c r="E4" s="152" t="s">
        <v>213</v>
      </c>
      <c r="F4" s="152" t="s">
        <v>214</v>
      </c>
      <c r="G4" s="152" t="s">
        <v>215</v>
      </c>
      <c r="H4" s="152" t="s">
        <v>216</v>
      </c>
      <c r="I4" s="152" t="s">
        <v>217</v>
      </c>
      <c r="J4" s="152" t="s">
        <v>218</v>
      </c>
      <c r="K4" s="152" t="s">
        <v>219</v>
      </c>
      <c r="L4" s="152" t="s">
        <v>220</v>
      </c>
      <c r="M4" s="152" t="s">
        <v>221</v>
      </c>
      <c r="N4" s="152"/>
      <c r="O4" s="152"/>
      <c r="P4" s="152"/>
    </row>
    <row r="5" spans="1:16" x14ac:dyDescent="0.2">
      <c r="A5" s="152">
        <v>5</v>
      </c>
      <c r="B5" s="153"/>
      <c r="C5" s="154" t="s">
        <v>134</v>
      </c>
      <c r="D5" s="154" t="s">
        <v>118</v>
      </c>
      <c r="E5" s="154"/>
      <c r="F5" s="154" t="s">
        <v>222</v>
      </c>
      <c r="G5" s="154" t="s">
        <v>223</v>
      </c>
      <c r="H5" s="154" t="s">
        <v>223</v>
      </c>
      <c r="I5" s="154" t="s">
        <v>118</v>
      </c>
      <c r="J5" s="154" t="s">
        <v>134</v>
      </c>
      <c r="K5" s="154" t="s">
        <v>224</v>
      </c>
      <c r="L5" s="154" t="s">
        <v>225</v>
      </c>
      <c r="M5" s="154"/>
      <c r="N5" s="152"/>
      <c r="O5" s="152"/>
      <c r="P5" s="152"/>
    </row>
    <row r="6" spans="1:16" ht="13.5" thickBot="1" x14ac:dyDescent="0.25">
      <c r="A6" s="152">
        <v>6</v>
      </c>
      <c r="B6" s="155" t="s">
        <v>44</v>
      </c>
      <c r="C6" s="155" t="s">
        <v>226</v>
      </c>
      <c r="D6" s="155" t="s">
        <v>226</v>
      </c>
      <c r="E6" s="155" t="s">
        <v>227</v>
      </c>
      <c r="F6" s="155" t="s">
        <v>228</v>
      </c>
      <c r="G6" s="155" t="s">
        <v>226</v>
      </c>
      <c r="H6" s="156" t="s">
        <v>252</v>
      </c>
      <c r="I6" s="155" t="s">
        <v>253</v>
      </c>
      <c r="J6" s="155" t="s">
        <v>231</v>
      </c>
      <c r="K6" s="155" t="s">
        <v>232</v>
      </c>
      <c r="L6" s="155" t="s">
        <v>232</v>
      </c>
      <c r="M6" s="155" t="s">
        <v>134</v>
      </c>
      <c r="N6" s="152"/>
      <c r="O6" s="157"/>
      <c r="P6" s="152"/>
    </row>
    <row r="7" spans="1:16" x14ac:dyDescent="0.2">
      <c r="A7" s="152">
        <v>7</v>
      </c>
      <c r="B7" s="158" t="s">
        <v>233</v>
      </c>
      <c r="C7" s="159">
        <v>9.4240000000000004E-2</v>
      </c>
      <c r="D7" s="160">
        <v>0.14069999999999999</v>
      </c>
      <c r="E7" s="161">
        <v>6.790111111111112E-2</v>
      </c>
      <c r="F7" s="161">
        <v>0.1009</v>
      </c>
      <c r="G7" s="162">
        <v>9.2920519528360807E-2</v>
      </c>
      <c r="H7" s="161">
        <v>9.2499999999999999E-2</v>
      </c>
      <c r="I7" s="161">
        <v>3.0000000000000003E-4</v>
      </c>
      <c r="J7" s="161">
        <v>9.2799999999999994E-2</v>
      </c>
      <c r="K7" s="161">
        <v>3.2100000000000002E-3</v>
      </c>
      <c r="L7" s="161">
        <v>0.99680000000000002</v>
      </c>
      <c r="M7" s="161">
        <v>1.0000100000000001</v>
      </c>
      <c r="N7" s="152"/>
      <c r="O7" s="181"/>
      <c r="P7" s="157"/>
    </row>
    <row r="8" spans="1:16" x14ac:dyDescent="0.2">
      <c r="A8" s="152">
        <v>8</v>
      </c>
      <c r="B8" s="158" t="s">
        <v>234</v>
      </c>
      <c r="C8" s="163">
        <v>4.5539999999999997E-2</v>
      </c>
      <c r="D8" s="161">
        <v>3.1800000000000002E-2</v>
      </c>
      <c r="E8" s="161">
        <v>6.790111111111112E-2</v>
      </c>
      <c r="F8" s="161">
        <v>4.8399999999999999E-2</v>
      </c>
      <c r="G8" s="164">
        <v>4.5927358507761362E-2</v>
      </c>
      <c r="H8" s="161">
        <v>4.58E-2</v>
      </c>
      <c r="I8" s="161">
        <v>2.0000000000000001E-4</v>
      </c>
      <c r="J8" s="161">
        <v>4.5999999999999999E-2</v>
      </c>
      <c r="K8" s="161">
        <v>4.3E-3</v>
      </c>
      <c r="L8" s="161">
        <v>0.99570000000000003</v>
      </c>
      <c r="M8" s="161">
        <v>1</v>
      </c>
      <c r="N8" s="152"/>
      <c r="O8" s="181"/>
      <c r="P8" s="157"/>
    </row>
    <row r="9" spans="1:16" x14ac:dyDescent="0.2">
      <c r="A9" s="152">
        <v>9</v>
      </c>
      <c r="B9" s="158" t="s">
        <v>235</v>
      </c>
      <c r="C9" s="163">
        <v>8.7220000000000006E-2</v>
      </c>
      <c r="D9" s="161">
        <v>3.6600000000000001E-2</v>
      </c>
      <c r="E9" s="161">
        <v>6.790111111111112E-2</v>
      </c>
      <c r="F9" s="161">
        <v>6.3899999999999998E-2</v>
      </c>
      <c r="G9" s="164">
        <v>8.8658268795201875E-2</v>
      </c>
      <c r="H9" s="161">
        <v>8.8300000000000003E-2</v>
      </c>
      <c r="I9" s="161">
        <v>2.0000000000000001E-4</v>
      </c>
      <c r="J9" s="161">
        <v>8.8499999999999995E-2</v>
      </c>
      <c r="K9" s="161">
        <v>2.3E-3</v>
      </c>
      <c r="L9" s="161">
        <v>0.99770000000000003</v>
      </c>
      <c r="M9" s="161">
        <v>1</v>
      </c>
      <c r="N9" s="152"/>
      <c r="O9" s="181"/>
      <c r="P9" s="157"/>
    </row>
    <row r="10" spans="1:16" x14ac:dyDescent="0.2">
      <c r="A10" s="152">
        <v>10</v>
      </c>
      <c r="B10" s="158" t="s">
        <v>236</v>
      </c>
      <c r="C10" s="163">
        <v>0.12348000000000001</v>
      </c>
      <c r="D10" s="161">
        <v>2.1299999999999999E-2</v>
      </c>
      <c r="E10" s="161">
        <v>6.790111111111112E-2</v>
      </c>
      <c r="F10" s="161">
        <v>7.0999999999999994E-2</v>
      </c>
      <c r="G10" s="164">
        <v>0.1263872940223924</v>
      </c>
      <c r="H10" s="161">
        <v>0.12590000000000001</v>
      </c>
      <c r="I10" s="161">
        <v>2.0000000000000001E-4</v>
      </c>
      <c r="J10" s="161">
        <v>0.12609999999999999</v>
      </c>
      <c r="K10" s="161">
        <v>1.6000000000000001E-3</v>
      </c>
      <c r="L10" s="161">
        <v>0.99839999999999995</v>
      </c>
      <c r="M10" s="161">
        <v>1</v>
      </c>
      <c r="N10" s="152"/>
      <c r="O10" s="181"/>
      <c r="P10" s="157"/>
    </row>
    <row r="11" spans="1:16" x14ac:dyDescent="0.2">
      <c r="A11" s="152">
        <v>11</v>
      </c>
      <c r="B11" s="158" t="s">
        <v>237</v>
      </c>
      <c r="C11" s="163">
        <v>9.1500000000000001E-3</v>
      </c>
      <c r="D11" s="161">
        <v>1.2699999999999999E-2</v>
      </c>
      <c r="E11" s="161">
        <v>2.7777777777777776E-2</v>
      </c>
      <c r="F11" s="161">
        <v>1.6500000000000001E-2</v>
      </c>
      <c r="G11" s="164">
        <v>9.0502078362865949E-3</v>
      </c>
      <c r="H11" s="161">
        <v>8.9999999999999993E-3</v>
      </c>
      <c r="I11" s="161">
        <v>1E-4</v>
      </c>
      <c r="J11" s="161">
        <v>9.1000000000000004E-3</v>
      </c>
      <c r="K11" s="161">
        <v>1.0999999999999999E-2</v>
      </c>
      <c r="L11" s="161">
        <v>0.98899999999999999</v>
      </c>
      <c r="M11" s="161">
        <v>1</v>
      </c>
      <c r="N11" s="152"/>
      <c r="O11" s="181"/>
      <c r="P11" s="157"/>
    </row>
    <row r="12" spans="1:16" x14ac:dyDescent="0.2">
      <c r="A12" s="152">
        <v>12</v>
      </c>
      <c r="B12" s="158" t="s">
        <v>238</v>
      </c>
      <c r="C12" s="163">
        <v>0.11123</v>
      </c>
      <c r="D12" s="161">
        <v>0.1699</v>
      </c>
      <c r="E12" s="161">
        <v>6.790111111111112E-2</v>
      </c>
      <c r="F12" s="161">
        <v>0.1163</v>
      </c>
      <c r="G12" s="164">
        <v>0.10955893427423262</v>
      </c>
      <c r="H12" s="161">
        <v>0.10920000000000001</v>
      </c>
      <c r="I12" s="161">
        <v>4.0000000000000002E-4</v>
      </c>
      <c r="J12" s="161">
        <v>0.1096</v>
      </c>
      <c r="K12" s="161">
        <v>3.5999999999999999E-3</v>
      </c>
      <c r="L12" s="161">
        <v>0.99639999999999995</v>
      </c>
      <c r="M12" s="161">
        <v>1</v>
      </c>
      <c r="N12" s="152"/>
      <c r="O12" s="181"/>
      <c r="P12" s="157"/>
    </row>
    <row r="13" spans="1:16" x14ac:dyDescent="0.2">
      <c r="A13" s="152">
        <v>13</v>
      </c>
      <c r="B13" s="158" t="s">
        <v>239</v>
      </c>
      <c r="C13" s="163">
        <v>0.15759999999999999</v>
      </c>
      <c r="D13" s="161">
        <v>4.9599999999999998E-2</v>
      </c>
      <c r="E13" s="161">
        <v>6.790111111111112E-2</v>
      </c>
      <c r="F13" s="161">
        <v>9.1700000000000004E-2</v>
      </c>
      <c r="G13" s="164">
        <v>0.1606752448899518</v>
      </c>
      <c r="H13" s="161">
        <v>0.16009999999999999</v>
      </c>
      <c r="I13" s="161">
        <v>2.9999999999999997E-4</v>
      </c>
      <c r="J13" s="161">
        <v>0.16039999999999999</v>
      </c>
      <c r="K13" s="161">
        <v>1.9E-3</v>
      </c>
      <c r="L13" s="161">
        <v>0.99809999999999999</v>
      </c>
      <c r="M13" s="161">
        <v>1</v>
      </c>
      <c r="N13" s="152"/>
      <c r="O13" s="181"/>
      <c r="P13" s="157"/>
    </row>
    <row r="14" spans="1:16" x14ac:dyDescent="0.2">
      <c r="A14" s="152">
        <v>14</v>
      </c>
      <c r="B14" s="158" t="s">
        <v>240</v>
      </c>
      <c r="C14" s="163">
        <v>6.6989999999999994E-2</v>
      </c>
      <c r="D14" s="161">
        <v>0.38769999999999999</v>
      </c>
      <c r="E14" s="161">
        <v>6.790111111111112E-2</v>
      </c>
      <c r="F14" s="161">
        <v>0.17419999999999999</v>
      </c>
      <c r="G14" s="164">
        <v>5.7876625924422997E-2</v>
      </c>
      <c r="H14" s="161">
        <v>5.7700000000000001E-2</v>
      </c>
      <c r="I14" s="161">
        <v>5.9999999999999995E-4</v>
      </c>
      <c r="J14" s="161">
        <v>5.8299999999999998E-2</v>
      </c>
      <c r="K14" s="161">
        <v>1.03E-2</v>
      </c>
      <c r="L14" s="161">
        <v>0.98970000000000002</v>
      </c>
      <c r="M14" s="161">
        <v>1</v>
      </c>
      <c r="N14" s="152"/>
      <c r="O14" s="181"/>
      <c r="P14" s="157"/>
    </row>
    <row r="15" spans="1:16" x14ac:dyDescent="0.2">
      <c r="A15" s="152">
        <v>15</v>
      </c>
      <c r="B15" s="158" t="s">
        <v>241</v>
      </c>
      <c r="C15" s="163">
        <v>1.312E-2</v>
      </c>
      <c r="D15" s="161">
        <v>5.3E-3</v>
      </c>
      <c r="E15" s="161">
        <v>2.7777777777777776E-2</v>
      </c>
      <c r="F15" s="161">
        <v>1.54E-2</v>
      </c>
      <c r="G15" s="164">
        <v>1.3346034706213599E-2</v>
      </c>
      <c r="H15" s="161">
        <v>1.3299999999999999E-2</v>
      </c>
      <c r="I15" s="161">
        <v>1E-4</v>
      </c>
      <c r="J15" s="161">
        <v>1.34E-2</v>
      </c>
      <c r="K15" s="161">
        <v>7.4999999999999997E-3</v>
      </c>
      <c r="L15" s="161">
        <v>0.99250000000000005</v>
      </c>
      <c r="M15" s="161">
        <v>1</v>
      </c>
      <c r="N15" s="152"/>
      <c r="O15" s="181"/>
      <c r="P15" s="157"/>
    </row>
    <row r="16" spans="1:16" x14ac:dyDescent="0.2">
      <c r="A16" s="152">
        <v>16</v>
      </c>
      <c r="B16" s="158" t="s">
        <v>242</v>
      </c>
      <c r="C16" s="163">
        <v>2.332E-2</v>
      </c>
      <c r="D16" s="161">
        <v>1.5299999999999999E-2</v>
      </c>
      <c r="E16" s="161">
        <v>5.5555555555555552E-2</v>
      </c>
      <c r="F16" s="161">
        <v>3.1399999999999997E-2</v>
      </c>
      <c r="G16" s="164">
        <v>2.3552220965515389E-2</v>
      </c>
      <c r="H16" s="161">
        <v>2.35E-2</v>
      </c>
      <c r="I16" s="161">
        <v>1E-4</v>
      </c>
      <c r="J16" s="161">
        <v>2.3599999999999999E-2</v>
      </c>
      <c r="K16" s="161">
        <v>4.1999999999999997E-3</v>
      </c>
      <c r="L16" s="161">
        <v>0.99580000000000002</v>
      </c>
      <c r="M16" s="161">
        <v>1</v>
      </c>
      <c r="N16" s="152"/>
      <c r="O16" s="181"/>
      <c r="P16" s="157"/>
    </row>
    <row r="17" spans="1:16" x14ac:dyDescent="0.2">
      <c r="A17" s="152">
        <v>17</v>
      </c>
      <c r="B17" s="158" t="s">
        <v>243</v>
      </c>
      <c r="C17" s="163">
        <v>2.3949999999999999E-2</v>
      </c>
      <c r="D17" s="161">
        <v>1.7000000000000001E-2</v>
      </c>
      <c r="E17" s="161">
        <v>5.5555555555555552E-2</v>
      </c>
      <c r="F17" s="161">
        <v>3.2199999999999999E-2</v>
      </c>
      <c r="G17" s="164">
        <v>2.4147957563600397E-2</v>
      </c>
      <c r="H17" s="161">
        <v>2.41E-2</v>
      </c>
      <c r="I17" s="161">
        <v>1E-4</v>
      </c>
      <c r="J17" s="161">
        <v>2.4199999999999999E-2</v>
      </c>
      <c r="K17" s="161">
        <v>4.1000000000000003E-3</v>
      </c>
      <c r="L17" s="161">
        <v>0.99590000000000001</v>
      </c>
      <c r="M17" s="161">
        <v>1</v>
      </c>
      <c r="N17" s="152"/>
      <c r="O17" s="181"/>
      <c r="P17" s="157"/>
    </row>
    <row r="18" spans="1:16" x14ac:dyDescent="0.2">
      <c r="A18" s="152">
        <v>18</v>
      </c>
      <c r="B18" s="158" t="s">
        <v>244</v>
      </c>
      <c r="C18" s="163">
        <v>8.0180000000000001E-2</v>
      </c>
      <c r="D18" s="161">
        <v>6.3799999999999996E-2</v>
      </c>
      <c r="E18" s="161">
        <v>6.790111111111112E-2</v>
      </c>
      <c r="F18" s="161">
        <v>7.0599999999999996E-2</v>
      </c>
      <c r="G18" s="164">
        <v>8.0646043244145524E-2</v>
      </c>
      <c r="H18" s="161">
        <v>8.0399999999999999E-2</v>
      </c>
      <c r="I18" s="161">
        <v>2.0000000000000001E-4</v>
      </c>
      <c r="J18" s="161">
        <v>8.0600000000000005E-2</v>
      </c>
      <c r="K18" s="161">
        <v>2.5000000000000001E-3</v>
      </c>
      <c r="L18" s="161">
        <v>0.99750000000000005</v>
      </c>
      <c r="M18" s="161">
        <v>1</v>
      </c>
      <c r="N18" s="152"/>
      <c r="O18" s="181"/>
      <c r="P18" s="157"/>
    </row>
    <row r="19" spans="1:16" x14ac:dyDescent="0.2">
      <c r="A19" s="152">
        <v>19</v>
      </c>
      <c r="B19" s="158" t="s">
        <v>245</v>
      </c>
      <c r="C19" s="163">
        <v>1.3339999999999999E-2</v>
      </c>
      <c r="D19" s="161">
        <v>5.5999999999999999E-3</v>
      </c>
      <c r="E19" s="161">
        <v>2.7777777777777776E-2</v>
      </c>
      <c r="F19" s="161">
        <v>1.5599999999999999E-2</v>
      </c>
      <c r="G19" s="164">
        <v>1.3560921981529287E-2</v>
      </c>
      <c r="H19" s="161">
        <v>1.35E-2</v>
      </c>
      <c r="I19" s="161">
        <v>1E-4</v>
      </c>
      <c r="J19" s="161">
        <v>1.3599999999999999E-2</v>
      </c>
      <c r="K19" s="161">
        <v>7.4000000000000003E-3</v>
      </c>
      <c r="L19" s="161">
        <v>0.99260000000000004</v>
      </c>
      <c r="M19" s="161">
        <v>1</v>
      </c>
      <c r="N19" s="152"/>
      <c r="O19" s="181"/>
      <c r="P19" s="157"/>
    </row>
    <row r="20" spans="1:16" x14ac:dyDescent="0.2">
      <c r="A20" s="152">
        <v>20</v>
      </c>
      <c r="B20" s="158" t="s">
        <v>246</v>
      </c>
      <c r="C20" s="163">
        <v>2.5260000000000001E-2</v>
      </c>
      <c r="D20" s="161">
        <v>8.5000000000000006E-3</v>
      </c>
      <c r="E20" s="161">
        <v>5.5555555555555552E-2</v>
      </c>
      <c r="F20" s="161">
        <v>2.98E-2</v>
      </c>
      <c r="G20" s="164">
        <v>2.5733710537246969E-2</v>
      </c>
      <c r="H20" s="161">
        <v>2.5600000000000001E-2</v>
      </c>
      <c r="I20" s="161">
        <v>1E-4</v>
      </c>
      <c r="J20" s="161">
        <v>2.5700000000000001E-2</v>
      </c>
      <c r="K20" s="161">
        <v>3.8999999999999998E-3</v>
      </c>
      <c r="L20" s="161">
        <v>0.99609999999999999</v>
      </c>
      <c r="M20" s="161">
        <v>1</v>
      </c>
      <c r="N20" s="152"/>
      <c r="O20" s="181"/>
      <c r="P20" s="157"/>
    </row>
    <row r="21" spans="1:16" x14ac:dyDescent="0.2">
      <c r="A21" s="152">
        <v>21</v>
      </c>
      <c r="B21" s="158" t="s">
        <v>247</v>
      </c>
      <c r="C21" s="163">
        <v>2.0740000000000001E-2</v>
      </c>
      <c r="D21" s="161">
        <v>7.1999999999999998E-3</v>
      </c>
      <c r="E21" s="161">
        <v>5.5555555555555552E-2</v>
      </c>
      <c r="F21" s="161">
        <v>2.7799999999999998E-2</v>
      </c>
      <c r="G21" s="164">
        <v>2.1124186618086793E-2</v>
      </c>
      <c r="H21" s="161">
        <v>2.1100000000000001E-2</v>
      </c>
      <c r="I21" s="161">
        <v>1E-4</v>
      </c>
      <c r="J21" s="161">
        <v>2.12E-2</v>
      </c>
      <c r="K21" s="161">
        <v>4.7000000000000002E-3</v>
      </c>
      <c r="L21" s="161">
        <v>0.99529999999999996</v>
      </c>
      <c r="M21" s="161">
        <v>1</v>
      </c>
      <c r="N21" s="152"/>
      <c r="O21" s="181"/>
      <c r="P21" s="157"/>
    </row>
    <row r="22" spans="1:16" x14ac:dyDescent="0.2">
      <c r="A22" s="152">
        <v>22</v>
      </c>
      <c r="B22" s="158" t="s">
        <v>248</v>
      </c>
      <c r="C22" s="163">
        <v>5.2679999999999998E-2</v>
      </c>
      <c r="D22" s="161">
        <v>1.4999999999999999E-2</v>
      </c>
      <c r="E22" s="161">
        <v>6.790111111111112E-2</v>
      </c>
      <c r="F22" s="161">
        <v>4.5199999999999997E-2</v>
      </c>
      <c r="G22" s="164">
        <v>5.3756354283883361E-2</v>
      </c>
      <c r="H22" s="161">
        <v>5.3600000000000002E-2</v>
      </c>
      <c r="I22" s="161">
        <v>2.0000000000000001E-4</v>
      </c>
      <c r="J22" s="161">
        <v>5.3800000000000001E-2</v>
      </c>
      <c r="K22" s="161">
        <v>3.7000000000000002E-3</v>
      </c>
      <c r="L22" s="161">
        <v>0.99629999999999996</v>
      </c>
      <c r="M22" s="161">
        <v>1</v>
      </c>
      <c r="N22" s="152"/>
      <c r="O22" s="181"/>
      <c r="P22" s="157"/>
    </row>
    <row r="23" spans="1:16" x14ac:dyDescent="0.2">
      <c r="A23" s="152">
        <v>23</v>
      </c>
      <c r="B23" s="158" t="s">
        <v>249</v>
      </c>
      <c r="C23" s="163">
        <v>4.0329999999999998E-2</v>
      </c>
      <c r="D23" s="161">
        <v>4.8999999999999998E-3</v>
      </c>
      <c r="E23" s="161">
        <v>5.5555555555555552E-2</v>
      </c>
      <c r="F23" s="161">
        <v>3.3599999999999998E-2</v>
      </c>
      <c r="G23" s="164">
        <v>4.1337020952468662E-2</v>
      </c>
      <c r="H23" s="161">
        <v>4.1200000000000001E-2</v>
      </c>
      <c r="I23" s="161">
        <v>1E-4</v>
      </c>
      <c r="J23" s="161">
        <v>4.1300000000000003E-2</v>
      </c>
      <c r="K23" s="161">
        <v>2.3999999999999998E-3</v>
      </c>
      <c r="L23" s="161">
        <v>0.99760000000000004</v>
      </c>
      <c r="M23" s="161">
        <v>1</v>
      </c>
      <c r="N23" s="152"/>
      <c r="O23" s="181"/>
      <c r="P23" s="157"/>
    </row>
    <row r="24" spans="1:16" ht="13.5" thickBot="1" x14ac:dyDescent="0.25">
      <c r="A24" s="152">
        <v>24</v>
      </c>
      <c r="B24" s="165" t="s">
        <v>250</v>
      </c>
      <c r="C24" s="166">
        <v>1.1610000000000001E-2</v>
      </c>
      <c r="D24" s="166">
        <v>7.1000000000000004E-3</v>
      </c>
      <c r="E24" s="166">
        <v>2.7777777777777776E-2</v>
      </c>
      <c r="F24" s="166">
        <v>1.55E-2</v>
      </c>
      <c r="G24" s="166">
        <v>1.1741095368699557E-2</v>
      </c>
      <c r="H24" s="166">
        <v>1.17E-2</v>
      </c>
      <c r="I24" s="166">
        <v>1E-4</v>
      </c>
      <c r="J24" s="166">
        <v>1.18E-2</v>
      </c>
      <c r="K24" s="166">
        <v>8.5000000000000006E-3</v>
      </c>
      <c r="L24" s="166">
        <v>0.99150000000000005</v>
      </c>
      <c r="M24" s="166">
        <v>1</v>
      </c>
      <c r="N24" s="152"/>
      <c r="O24" s="181"/>
      <c r="P24" s="157"/>
    </row>
    <row r="25" spans="1:16" ht="15" x14ac:dyDescent="0.25">
      <c r="A25" s="280"/>
      <c r="B25" s="280"/>
      <c r="C25" s="151">
        <v>0.99997999999999998</v>
      </c>
      <c r="D25" s="151">
        <v>0.99999999999999989</v>
      </c>
      <c r="E25" s="151">
        <v>0.9999988888888891</v>
      </c>
      <c r="F25" s="151">
        <v>1</v>
      </c>
      <c r="G25" s="151">
        <v>1</v>
      </c>
      <c r="H25" s="151">
        <v>0.99649999999999994</v>
      </c>
      <c r="I25" s="151">
        <v>3.4999999999999988E-3</v>
      </c>
      <c r="J25" s="151">
        <v>0.99999999999999989</v>
      </c>
      <c r="K25" s="151"/>
      <c r="L25" s="151"/>
      <c r="M25" s="151"/>
      <c r="N25" s="152"/>
      <c r="O25" s="157"/>
      <c r="P25" s="157"/>
    </row>
    <row r="26" spans="1:16" x14ac:dyDescent="0.2">
      <c r="I26" s="167"/>
      <c r="K26" s="151"/>
      <c r="N26" s="152"/>
      <c r="O26" s="152"/>
      <c r="P26" s="152"/>
    </row>
    <row r="27" spans="1:16" x14ac:dyDescent="0.2">
      <c r="H27" s="168"/>
      <c r="I27" s="168"/>
      <c r="N27" s="152"/>
      <c r="O27" s="152"/>
      <c r="P27" s="152"/>
    </row>
    <row r="28" spans="1:16" ht="15" x14ac:dyDescent="0.25">
      <c r="D28" s="151"/>
      <c r="H28" s="151"/>
      <c r="I28" s="169"/>
      <c r="N28" s="152"/>
      <c r="O28" s="152"/>
      <c r="P28" s="152"/>
    </row>
    <row r="29" spans="1:16" ht="15" x14ac:dyDescent="0.25">
      <c r="H29" s="169"/>
      <c r="I29" s="169"/>
    </row>
  </sheetData>
  <pageMargins left="0.45" right="0.2" top="1" bottom="1" header="0.5" footer="0.5"/>
  <pageSetup scale="96" orientation="landscape" r:id="rId1"/>
  <headerFooter alignWithMargins="0">
    <oddHeader>&amp;CCalWIN GA/GR Cost Sharing</oddHeader>
    <oddFooter>&amp;CEffective July 1,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EC2E-610E-401E-9F58-CBA14994518F}">
  <dimension ref="A1:J104"/>
  <sheetViews>
    <sheetView zoomScale="90" zoomScaleNormal="90" workbookViewId="0">
      <pane xSplit="5" ySplit="3" topLeftCell="F4" activePane="bottomRight" state="frozen"/>
      <selection pane="topRight" activeCell="F30" sqref="F30"/>
      <selection pane="bottomLeft" activeCell="F30" sqref="F30"/>
      <selection pane="bottomRight" sqref="A1:E1"/>
    </sheetView>
  </sheetViews>
  <sheetFormatPr defaultColWidth="9.140625" defaultRowHeight="12.75" x14ac:dyDescent="0.2"/>
  <cols>
    <col min="1" max="1" width="22.140625" style="8" customWidth="1"/>
    <col min="2" max="2" width="19.140625" style="8" customWidth="1"/>
    <col min="3" max="3" width="19.28515625" style="8" customWidth="1"/>
    <col min="4" max="4" width="18.85546875" style="8" customWidth="1"/>
    <col min="5" max="5" width="19.28515625" style="8" customWidth="1"/>
    <col min="6" max="16384" width="9.140625" style="8"/>
  </cols>
  <sheetData>
    <row r="1" spans="1:10" ht="15.75" x14ac:dyDescent="0.25">
      <c r="A1" s="333" t="s">
        <v>42</v>
      </c>
      <c r="B1" s="333"/>
      <c r="C1" s="333"/>
      <c r="D1" s="333"/>
      <c r="E1" s="333"/>
    </row>
    <row r="2" spans="1:10" ht="33" customHeight="1" x14ac:dyDescent="0.2">
      <c r="A2" s="334" t="s">
        <v>43</v>
      </c>
      <c r="B2" s="334"/>
      <c r="C2" s="334"/>
      <c r="D2" s="334"/>
      <c r="E2" s="334"/>
      <c r="F2" s="115"/>
    </row>
    <row r="3" spans="1:10" ht="38.25" x14ac:dyDescent="0.2">
      <c r="A3" s="110" t="s">
        <v>44</v>
      </c>
      <c r="B3" s="110" t="s">
        <v>45</v>
      </c>
      <c r="C3" s="110" t="s">
        <v>46</v>
      </c>
      <c r="D3" s="111" t="s">
        <v>47</v>
      </c>
      <c r="E3" s="111" t="s">
        <v>48</v>
      </c>
    </row>
    <row r="4" spans="1:10" x14ac:dyDescent="0.2">
      <c r="A4" s="47" t="s">
        <v>49</v>
      </c>
      <c r="B4" s="21">
        <f>'SFY 23-24 Q1 Share by Project'!J4</f>
        <v>67481</v>
      </c>
      <c r="C4" s="21">
        <f>'SFY 23-24 Q1 Share by Project'!K4</f>
        <v>721</v>
      </c>
      <c r="D4" s="21">
        <f>'SFY 23-24 Q1 Share by Project'!L4</f>
        <v>9018</v>
      </c>
      <c r="E4" s="64">
        <f t="shared" ref="E4:E35" si="0">SUM(B4:D4)</f>
        <v>77220</v>
      </c>
      <c r="I4" s="53"/>
    </row>
    <row r="5" spans="1:10" x14ac:dyDescent="0.2">
      <c r="A5" s="47" t="s">
        <v>50</v>
      </c>
      <c r="B5" s="21">
        <f>'SFY 23-24 Q1 Share by Project'!J5</f>
        <v>0</v>
      </c>
      <c r="C5" s="21">
        <f>'SFY 23-24 Q1 Share by Project'!K5</f>
        <v>0</v>
      </c>
      <c r="D5" s="21">
        <f>'SFY 23-24 Q1 Share by Project'!L5</f>
        <v>0</v>
      </c>
      <c r="E5" s="64">
        <f t="shared" si="0"/>
        <v>0</v>
      </c>
      <c r="I5" s="53"/>
    </row>
    <row r="6" spans="1:10" x14ac:dyDescent="0.2">
      <c r="A6" s="47" t="s">
        <v>51</v>
      </c>
      <c r="B6" s="21">
        <f>'SFY 23-24 Q1 Share by Project'!J6</f>
        <v>1029</v>
      </c>
      <c r="C6" s="21">
        <f>'SFY 23-24 Q1 Share by Project'!K6</f>
        <v>15</v>
      </c>
      <c r="D6" s="21">
        <f>'SFY 23-24 Q1 Share by Project'!L6</f>
        <v>245</v>
      </c>
      <c r="E6" s="64">
        <f t="shared" si="0"/>
        <v>1289</v>
      </c>
      <c r="I6" s="53"/>
    </row>
    <row r="7" spans="1:10" x14ac:dyDescent="0.2">
      <c r="A7" s="47" t="s">
        <v>52</v>
      </c>
      <c r="B7" s="21">
        <f>'SFY 23-24 Q1 Share by Project'!J7</f>
        <v>9363</v>
      </c>
      <c r="C7" s="21">
        <f>'SFY 23-24 Q1 Share by Project'!K7</f>
        <v>137</v>
      </c>
      <c r="D7" s="21">
        <f>'SFY 23-24 Q1 Share by Project'!L7</f>
        <v>2256</v>
      </c>
      <c r="E7" s="64">
        <f t="shared" si="0"/>
        <v>11756</v>
      </c>
      <c r="I7" s="53"/>
      <c r="J7" s="8" t="s">
        <v>53</v>
      </c>
    </row>
    <row r="8" spans="1:10" x14ac:dyDescent="0.2">
      <c r="A8" s="47" t="s">
        <v>54</v>
      </c>
      <c r="B8" s="21">
        <f>'SFY 23-24 Q1 Share by Project'!J8</f>
        <v>1498</v>
      </c>
      <c r="C8" s="21">
        <f>'SFY 23-24 Q1 Share by Project'!K8</f>
        <v>22</v>
      </c>
      <c r="D8" s="21">
        <f>'SFY 23-24 Q1 Share by Project'!L8</f>
        <v>366</v>
      </c>
      <c r="E8" s="64">
        <f t="shared" si="0"/>
        <v>1886</v>
      </c>
      <c r="I8" s="53"/>
    </row>
    <row r="9" spans="1:10" x14ac:dyDescent="0.2">
      <c r="A9" s="47" t="s">
        <v>55</v>
      </c>
      <c r="B9" s="21">
        <f>'SFY 23-24 Q1 Share by Project'!J9</f>
        <v>1029</v>
      </c>
      <c r="C9" s="21">
        <f>'SFY 23-24 Q1 Share by Project'!K9</f>
        <v>15</v>
      </c>
      <c r="D9" s="21">
        <f>'SFY 23-24 Q1 Share by Project'!L9</f>
        <v>253</v>
      </c>
      <c r="E9" s="64">
        <f t="shared" si="0"/>
        <v>1297</v>
      </c>
      <c r="I9" s="53"/>
    </row>
    <row r="10" spans="1:10" x14ac:dyDescent="0.2">
      <c r="A10" s="47" t="s">
        <v>56</v>
      </c>
      <c r="B10" s="21">
        <f>'SFY 23-24 Q1 Share by Project'!J10</f>
        <v>19110</v>
      </c>
      <c r="C10" s="21">
        <f>'SFY 23-24 Q1 Share by Project'!K10</f>
        <v>193</v>
      </c>
      <c r="D10" s="21">
        <f>'SFY 23-24 Q1 Share by Project'!L10</f>
        <v>3440</v>
      </c>
      <c r="E10" s="64">
        <f t="shared" si="0"/>
        <v>22743</v>
      </c>
      <c r="I10" s="53"/>
    </row>
    <row r="11" spans="1:10" x14ac:dyDescent="0.2">
      <c r="A11" s="47" t="s">
        <v>57</v>
      </c>
      <c r="B11" s="21">
        <f>'SFY 23-24 Q1 Share by Project'!J11</f>
        <v>1499</v>
      </c>
      <c r="C11" s="21">
        <f>'SFY 23-24 Q1 Share by Project'!K11</f>
        <v>22</v>
      </c>
      <c r="D11" s="21">
        <f>'SFY 23-24 Q1 Share by Project'!L11</f>
        <v>365</v>
      </c>
      <c r="E11" s="64">
        <f t="shared" si="0"/>
        <v>1886</v>
      </c>
      <c r="I11" s="53"/>
    </row>
    <row r="12" spans="1:10" x14ac:dyDescent="0.2">
      <c r="A12" s="47" t="s">
        <v>58</v>
      </c>
      <c r="B12" s="21">
        <f>'SFY 23-24 Q1 Share by Project'!J12</f>
        <v>4400</v>
      </c>
      <c r="C12" s="21">
        <f>'SFY 23-24 Q1 Share by Project'!K12</f>
        <v>64</v>
      </c>
      <c r="D12" s="21">
        <f>'SFY 23-24 Q1 Share by Project'!L12</f>
        <v>1062</v>
      </c>
      <c r="E12" s="64">
        <f t="shared" si="0"/>
        <v>5526</v>
      </c>
      <c r="I12" s="53"/>
    </row>
    <row r="13" spans="1:10" x14ac:dyDescent="0.2">
      <c r="A13" s="47" t="s">
        <v>59</v>
      </c>
      <c r="B13" s="21">
        <f>'SFY 23-24 Q1 Share by Project'!J13</f>
        <v>87295</v>
      </c>
      <c r="C13" s="21">
        <f>'SFY 23-24 Q1 Share by Project'!K13</f>
        <v>951</v>
      </c>
      <c r="D13" s="21">
        <f>'SFY 23-24 Q1 Share by Project'!L13</f>
        <v>11472</v>
      </c>
      <c r="E13" s="64">
        <f t="shared" si="0"/>
        <v>99718</v>
      </c>
      <c r="I13" s="53"/>
    </row>
    <row r="14" spans="1:10" x14ac:dyDescent="0.2">
      <c r="A14" s="47" t="s">
        <v>60</v>
      </c>
      <c r="B14" s="21">
        <f>'SFY 23-24 Q1 Share by Project'!J14</f>
        <v>1405</v>
      </c>
      <c r="C14" s="21">
        <f>'SFY 23-24 Q1 Share by Project'!K14</f>
        <v>21</v>
      </c>
      <c r="D14" s="21">
        <f>'SFY 23-24 Q1 Share by Project'!L14</f>
        <v>339</v>
      </c>
      <c r="E14" s="64">
        <f t="shared" si="0"/>
        <v>1765</v>
      </c>
      <c r="I14" s="53"/>
    </row>
    <row r="15" spans="1:10" x14ac:dyDescent="0.2">
      <c r="A15" s="47" t="s">
        <v>61</v>
      </c>
      <c r="B15" s="21">
        <f>'SFY 23-24 Q1 Share by Project'!J15</f>
        <v>6929</v>
      </c>
      <c r="C15" s="21">
        <f>'SFY 23-24 Q1 Share by Project'!K15</f>
        <v>101</v>
      </c>
      <c r="D15" s="21">
        <f>'SFY 23-24 Q1 Share by Project'!L15</f>
        <v>1673</v>
      </c>
      <c r="E15" s="64">
        <f t="shared" si="0"/>
        <v>8703</v>
      </c>
      <c r="I15" s="53"/>
    </row>
    <row r="16" spans="1:10" x14ac:dyDescent="0.2">
      <c r="A16" s="47" t="s">
        <v>62</v>
      </c>
      <c r="B16" s="21">
        <f>'SFY 23-24 Q1 Share by Project'!J16</f>
        <v>11893</v>
      </c>
      <c r="C16" s="21">
        <f>'SFY 23-24 Q1 Share by Project'!K16</f>
        <v>174</v>
      </c>
      <c r="D16" s="21">
        <f>'SFY 23-24 Q1 Share by Project'!L16</f>
        <v>2866</v>
      </c>
      <c r="E16" s="64">
        <f t="shared" si="0"/>
        <v>14933</v>
      </c>
      <c r="I16" s="53"/>
    </row>
    <row r="17" spans="1:9" x14ac:dyDescent="0.2">
      <c r="A17" s="47" t="s">
        <v>63</v>
      </c>
      <c r="B17" s="21">
        <f>'SFY 23-24 Q1 Share by Project'!J17</f>
        <v>655</v>
      </c>
      <c r="C17" s="21">
        <f>'SFY 23-24 Q1 Share by Project'!K17</f>
        <v>10</v>
      </c>
      <c r="D17" s="21">
        <f>'SFY 23-24 Q1 Share by Project'!L17</f>
        <v>157</v>
      </c>
      <c r="E17" s="64">
        <f t="shared" si="0"/>
        <v>822</v>
      </c>
      <c r="I17" s="53"/>
    </row>
    <row r="18" spans="1:9" x14ac:dyDescent="0.2">
      <c r="A18" s="47" t="s">
        <v>64</v>
      </c>
      <c r="B18" s="21">
        <f>'SFY 23-24 Q1 Share by Project'!J18</f>
        <v>53086</v>
      </c>
      <c r="C18" s="21">
        <f>'SFY 23-24 Q1 Share by Project'!K18</f>
        <v>776</v>
      </c>
      <c r="D18" s="21">
        <f>'SFY 23-24 Q1 Share by Project'!L18</f>
        <v>12794</v>
      </c>
      <c r="E18" s="64">
        <f t="shared" si="0"/>
        <v>66656</v>
      </c>
      <c r="I18" s="53"/>
    </row>
    <row r="19" spans="1:9" x14ac:dyDescent="0.2">
      <c r="A19" s="47" t="s">
        <v>65</v>
      </c>
      <c r="B19" s="21">
        <f>'SFY 23-24 Q1 Share by Project'!J19</f>
        <v>7678</v>
      </c>
      <c r="C19" s="21">
        <f>'SFY 23-24 Q1 Share by Project'!K19</f>
        <v>112</v>
      </c>
      <c r="D19" s="21">
        <f>'SFY 23-24 Q1 Share by Project'!L19</f>
        <v>1848</v>
      </c>
      <c r="E19" s="64">
        <f t="shared" si="0"/>
        <v>9638</v>
      </c>
      <c r="I19" s="53"/>
    </row>
    <row r="20" spans="1:9" x14ac:dyDescent="0.2">
      <c r="A20" s="47" t="s">
        <v>66</v>
      </c>
      <c r="B20" s="21">
        <f>'SFY 23-24 Q1 Share by Project'!J20</f>
        <v>4027</v>
      </c>
      <c r="C20" s="21">
        <f>'SFY 23-24 Q1 Share by Project'!K20</f>
        <v>59</v>
      </c>
      <c r="D20" s="21">
        <f>'SFY 23-24 Q1 Share by Project'!L20</f>
        <v>966</v>
      </c>
      <c r="E20" s="64">
        <f t="shared" si="0"/>
        <v>5052</v>
      </c>
      <c r="I20" s="53"/>
    </row>
    <row r="21" spans="1:9" x14ac:dyDescent="0.2">
      <c r="A21" s="47" t="s">
        <v>67</v>
      </c>
      <c r="B21" s="21">
        <f>'SFY 23-24 Q1 Share by Project'!J21</f>
        <v>1030</v>
      </c>
      <c r="C21" s="21">
        <f>'SFY 23-24 Q1 Share by Project'!K21</f>
        <v>15</v>
      </c>
      <c r="D21" s="21">
        <f>'SFY 23-24 Q1 Share by Project'!L21</f>
        <v>253</v>
      </c>
      <c r="E21" s="64">
        <f t="shared" si="0"/>
        <v>1298</v>
      </c>
      <c r="I21" s="53"/>
    </row>
    <row r="22" spans="1:9" x14ac:dyDescent="0.2">
      <c r="A22" s="47" t="s">
        <v>68</v>
      </c>
      <c r="B22" s="21">
        <f>'SFY 23-24 Q1 Share by Project'!J22</f>
        <v>472496</v>
      </c>
      <c r="C22" s="21">
        <f>'SFY 23-24 Q1 Share by Project'!K22</f>
        <v>6912</v>
      </c>
      <c r="D22" s="21">
        <f>'SFY 23-24 Q1 Share by Project'!L22</f>
        <v>113876</v>
      </c>
      <c r="E22" s="64">
        <f t="shared" si="0"/>
        <v>593284</v>
      </c>
      <c r="I22" s="53"/>
    </row>
    <row r="23" spans="1:9" x14ac:dyDescent="0.2">
      <c r="A23" s="47" t="s">
        <v>69</v>
      </c>
      <c r="B23" s="21">
        <f>'SFY 23-24 Q1 Share by Project'!J23</f>
        <v>9176</v>
      </c>
      <c r="C23" s="21">
        <f>'SFY 23-24 Q1 Share by Project'!K23</f>
        <v>134</v>
      </c>
      <c r="D23" s="21">
        <f>'SFY 23-24 Q1 Share by Project'!L23</f>
        <v>2212</v>
      </c>
      <c r="E23" s="64">
        <f t="shared" si="0"/>
        <v>11522</v>
      </c>
      <c r="I23" s="53"/>
    </row>
    <row r="24" spans="1:9" x14ac:dyDescent="0.2">
      <c r="A24" s="47" t="s">
        <v>70</v>
      </c>
      <c r="B24" s="21">
        <f>'SFY 23-24 Q1 Share by Project'!J24</f>
        <v>5522</v>
      </c>
      <c r="C24" s="21">
        <f>'SFY 23-24 Q1 Share by Project'!K24</f>
        <v>81</v>
      </c>
      <c r="D24" s="21">
        <f>'SFY 23-24 Q1 Share by Project'!L24</f>
        <v>1332</v>
      </c>
      <c r="E24" s="64">
        <f t="shared" si="0"/>
        <v>6935</v>
      </c>
      <c r="I24" s="53"/>
    </row>
    <row r="25" spans="1:9" x14ac:dyDescent="0.2">
      <c r="A25" s="47" t="s">
        <v>71</v>
      </c>
      <c r="B25" s="21">
        <f>'SFY 23-24 Q1 Share by Project'!J25</f>
        <v>749</v>
      </c>
      <c r="C25" s="21">
        <f>'SFY 23-24 Q1 Share by Project'!K25</f>
        <v>11</v>
      </c>
      <c r="D25" s="21">
        <f>'SFY 23-24 Q1 Share by Project'!L25</f>
        <v>175</v>
      </c>
      <c r="E25" s="64">
        <f t="shared" si="0"/>
        <v>935</v>
      </c>
      <c r="I25" s="53"/>
    </row>
    <row r="26" spans="1:9" x14ac:dyDescent="0.2">
      <c r="A26" s="47" t="s">
        <v>72</v>
      </c>
      <c r="B26" s="21">
        <f>'SFY 23-24 Q1 Share by Project'!J26</f>
        <v>4588</v>
      </c>
      <c r="C26" s="21">
        <f>'SFY 23-24 Q1 Share by Project'!K26</f>
        <v>67</v>
      </c>
      <c r="D26" s="21">
        <f>'SFY 23-24 Q1 Share by Project'!L26</f>
        <v>1105</v>
      </c>
      <c r="E26" s="64">
        <f t="shared" si="0"/>
        <v>5760</v>
      </c>
      <c r="I26" s="53"/>
    </row>
    <row r="27" spans="1:9" x14ac:dyDescent="0.2">
      <c r="A27" s="47" t="s">
        <v>73</v>
      </c>
      <c r="B27" s="21">
        <f>'SFY 23-24 Q1 Share by Project'!J27</f>
        <v>16947</v>
      </c>
      <c r="C27" s="21">
        <f>'SFY 23-24 Q1 Share by Project'!K27</f>
        <v>248</v>
      </c>
      <c r="D27" s="21">
        <f>'SFY 23-24 Q1 Share by Project'!L27</f>
        <v>4084</v>
      </c>
      <c r="E27" s="64">
        <f t="shared" si="0"/>
        <v>21279</v>
      </c>
      <c r="I27" s="53"/>
    </row>
    <row r="28" spans="1:9" x14ac:dyDescent="0.2">
      <c r="A28" s="47" t="s">
        <v>74</v>
      </c>
      <c r="B28" s="21">
        <f>'SFY 23-24 Q1 Share by Project'!J28</f>
        <v>468</v>
      </c>
      <c r="C28" s="21">
        <f>'SFY 23-24 Q1 Share by Project'!K28</f>
        <v>7</v>
      </c>
      <c r="D28" s="21">
        <f>'SFY 23-24 Q1 Share by Project'!L28</f>
        <v>113</v>
      </c>
      <c r="E28" s="64">
        <f t="shared" si="0"/>
        <v>588</v>
      </c>
      <c r="I28" s="53"/>
    </row>
    <row r="29" spans="1:9" x14ac:dyDescent="0.2">
      <c r="A29" s="47" t="s">
        <v>75</v>
      </c>
      <c r="B29" s="21">
        <f>'SFY 23-24 Q1 Share by Project'!J29</f>
        <v>374</v>
      </c>
      <c r="C29" s="21">
        <f>'SFY 23-24 Q1 Share by Project'!K29</f>
        <v>5</v>
      </c>
      <c r="D29" s="21">
        <f>'SFY 23-24 Q1 Share by Project'!L29</f>
        <v>88</v>
      </c>
      <c r="E29" s="64">
        <f t="shared" si="0"/>
        <v>467</v>
      </c>
      <c r="I29" s="53"/>
    </row>
    <row r="30" spans="1:9" x14ac:dyDescent="0.2">
      <c r="A30" s="47" t="s">
        <v>76</v>
      </c>
      <c r="B30" s="21">
        <f>'SFY 23-24 Q1 Share by Project'!J30</f>
        <v>20775</v>
      </c>
      <c r="C30" s="21">
        <f>'SFY 23-24 Q1 Share by Project'!K30</f>
        <v>304</v>
      </c>
      <c r="D30" s="21">
        <f>'SFY 23-24 Q1 Share by Project'!L30</f>
        <v>5008</v>
      </c>
      <c r="E30" s="64">
        <f t="shared" si="0"/>
        <v>26087</v>
      </c>
      <c r="I30" s="53"/>
    </row>
    <row r="31" spans="1:9" x14ac:dyDescent="0.2">
      <c r="A31" s="47" t="s">
        <v>77</v>
      </c>
      <c r="B31" s="21">
        <f>'SFY 23-24 Q1 Share by Project'!J31</f>
        <v>3557</v>
      </c>
      <c r="C31" s="21">
        <f>'SFY 23-24 Q1 Share by Project'!K31</f>
        <v>52</v>
      </c>
      <c r="D31" s="21">
        <f>'SFY 23-24 Q1 Share by Project'!L31</f>
        <v>853</v>
      </c>
      <c r="E31" s="64">
        <f t="shared" si="0"/>
        <v>4462</v>
      </c>
      <c r="I31" s="53"/>
    </row>
    <row r="32" spans="1:9" x14ac:dyDescent="0.2">
      <c r="A32" s="47" t="s">
        <v>78</v>
      </c>
      <c r="B32" s="21">
        <f>'SFY 23-24 Q1 Share by Project'!J32</f>
        <v>2902</v>
      </c>
      <c r="C32" s="21">
        <f>'SFY 23-24 Q1 Share by Project'!K32</f>
        <v>42</v>
      </c>
      <c r="D32" s="21">
        <f>'SFY 23-24 Q1 Share by Project'!L32</f>
        <v>704</v>
      </c>
      <c r="E32" s="64">
        <f t="shared" si="0"/>
        <v>3648</v>
      </c>
      <c r="I32" s="53"/>
    </row>
    <row r="33" spans="1:9" x14ac:dyDescent="0.2">
      <c r="A33" s="47" t="s">
        <v>79</v>
      </c>
      <c r="B33" s="21">
        <f>'SFY 23-24 Q1 Share by Project'!J33</f>
        <v>53152</v>
      </c>
      <c r="C33" s="21">
        <f>'SFY 23-24 Q1 Share by Project'!K33</f>
        <v>538</v>
      </c>
      <c r="D33" s="21">
        <f>'SFY 23-24 Q1 Share by Project'!L33</f>
        <v>10190</v>
      </c>
      <c r="E33" s="64">
        <f t="shared" si="0"/>
        <v>63880</v>
      </c>
      <c r="I33" s="53"/>
    </row>
    <row r="34" spans="1:9" x14ac:dyDescent="0.2">
      <c r="A34" s="47" t="s">
        <v>80</v>
      </c>
      <c r="B34" s="21">
        <f>'SFY 23-24 Q1 Share by Project'!J34</f>
        <v>2933</v>
      </c>
      <c r="C34" s="21">
        <f>'SFY 23-24 Q1 Share by Project'!K34</f>
        <v>30</v>
      </c>
      <c r="D34" s="21">
        <f>'SFY 23-24 Q1 Share by Project'!L34</f>
        <v>644</v>
      </c>
      <c r="E34" s="64">
        <f t="shared" si="0"/>
        <v>3607</v>
      </c>
      <c r="I34" s="53"/>
    </row>
    <row r="35" spans="1:9" x14ac:dyDescent="0.2">
      <c r="A35" s="47" t="s">
        <v>81</v>
      </c>
      <c r="B35" s="21">
        <f>'SFY 23-24 Q1 Share by Project'!J35</f>
        <v>749</v>
      </c>
      <c r="C35" s="21">
        <f>'SFY 23-24 Q1 Share by Project'!K35</f>
        <v>11</v>
      </c>
      <c r="D35" s="21">
        <f>'SFY 23-24 Q1 Share by Project'!L35</f>
        <v>183</v>
      </c>
      <c r="E35" s="64">
        <f t="shared" si="0"/>
        <v>943</v>
      </c>
      <c r="I35" s="53"/>
    </row>
    <row r="36" spans="1:9" x14ac:dyDescent="0.2">
      <c r="A36" s="47" t="s">
        <v>82</v>
      </c>
      <c r="B36" s="21">
        <f>'SFY 23-24 Q1 Share by Project'!J36</f>
        <v>99689</v>
      </c>
      <c r="C36" s="21">
        <f>'SFY 23-24 Q1 Share by Project'!K36</f>
        <v>1458</v>
      </c>
      <c r="D36" s="21">
        <f>'SFY 23-24 Q1 Share by Project'!L36</f>
        <v>24029</v>
      </c>
      <c r="E36" s="64">
        <f t="shared" ref="E36:E61" si="1">SUM(B36:D36)</f>
        <v>125176</v>
      </c>
      <c r="I36" s="53"/>
    </row>
    <row r="37" spans="1:9" x14ac:dyDescent="0.2">
      <c r="A37" s="47" t="s">
        <v>83</v>
      </c>
      <c r="B37" s="21">
        <f>'SFY 23-24 Q1 Share by Project'!J37</f>
        <v>76080</v>
      </c>
      <c r="C37" s="21">
        <f>'SFY 23-24 Q1 Share by Project'!K37</f>
        <v>796</v>
      </c>
      <c r="D37" s="21">
        <f>'SFY 23-24 Q1 Share by Project'!L37</f>
        <v>10846</v>
      </c>
      <c r="E37" s="64">
        <f t="shared" si="1"/>
        <v>87722</v>
      </c>
      <c r="I37" s="53"/>
    </row>
    <row r="38" spans="1:9" x14ac:dyDescent="0.2">
      <c r="A38" s="47" t="s">
        <v>84</v>
      </c>
      <c r="B38" s="21">
        <f>'SFY 23-24 Q1 Share by Project'!J38</f>
        <v>2153</v>
      </c>
      <c r="C38" s="21">
        <f>'SFY 23-24 Q1 Share by Project'!K38</f>
        <v>32</v>
      </c>
      <c r="D38" s="21">
        <f>'SFY 23-24 Q1 Share by Project'!L38</f>
        <v>515</v>
      </c>
      <c r="E38" s="64">
        <f t="shared" si="1"/>
        <v>2700</v>
      </c>
      <c r="I38" s="53"/>
    </row>
    <row r="39" spans="1:9" x14ac:dyDescent="0.2">
      <c r="A39" s="47" t="s">
        <v>85</v>
      </c>
      <c r="B39" s="21">
        <f>'SFY 23-24 Q1 Share by Project'!J39</f>
        <v>103921</v>
      </c>
      <c r="C39" s="21">
        <f>'SFY 23-24 Q1 Share by Project'!K39</f>
        <v>1520</v>
      </c>
      <c r="D39" s="21">
        <f>'SFY 23-24 Q1 Share by Project'!L39</f>
        <v>25048</v>
      </c>
      <c r="E39" s="64">
        <f t="shared" si="1"/>
        <v>130489</v>
      </c>
      <c r="I39" s="53"/>
    </row>
    <row r="40" spans="1:9" x14ac:dyDescent="0.2">
      <c r="A40" s="47" t="s">
        <v>86</v>
      </c>
      <c r="B40" s="21">
        <f>'SFY 23-24 Q1 Share by Project'!J40</f>
        <v>56474</v>
      </c>
      <c r="C40" s="21">
        <f>'SFY 23-24 Q1 Share by Project'!K40</f>
        <v>571</v>
      </c>
      <c r="D40" s="21">
        <f>'SFY 23-24 Q1 Share by Project'!L40</f>
        <v>10950</v>
      </c>
      <c r="E40" s="64">
        <f t="shared" si="1"/>
        <v>67995</v>
      </c>
      <c r="I40" s="53"/>
    </row>
    <row r="41" spans="1:9" x14ac:dyDescent="0.2">
      <c r="A41" s="47" t="s">
        <v>87</v>
      </c>
      <c r="B41" s="21">
        <f>'SFY 23-24 Q1 Share by Project'!J41</f>
        <v>45388</v>
      </c>
      <c r="C41" s="21">
        <f>'SFY 23-24 Q1 Share by Project'!K41</f>
        <v>479</v>
      </c>
      <c r="D41" s="21">
        <f>'SFY 23-24 Q1 Share by Project'!L41</f>
        <v>5744</v>
      </c>
      <c r="E41" s="64">
        <f t="shared" si="1"/>
        <v>51611</v>
      </c>
      <c r="I41" s="53"/>
    </row>
    <row r="42" spans="1:9" x14ac:dyDescent="0.2">
      <c r="A42" s="47" t="s">
        <v>88</v>
      </c>
      <c r="B42" s="21">
        <f>'SFY 23-24 Q1 Share by Project'!J42</f>
        <v>34733</v>
      </c>
      <c r="C42" s="21">
        <f>'SFY 23-24 Q1 Share by Project'!K42</f>
        <v>508</v>
      </c>
      <c r="D42" s="21">
        <f>'SFY 23-24 Q1 Share by Project'!L42</f>
        <v>8370</v>
      </c>
      <c r="E42" s="64">
        <f t="shared" si="1"/>
        <v>43611</v>
      </c>
      <c r="I42" s="53"/>
    </row>
    <row r="43" spans="1:9" x14ac:dyDescent="0.2">
      <c r="A43" s="47" t="s">
        <v>89</v>
      </c>
      <c r="B43" s="21">
        <f>'SFY 23-24 Q1 Share by Project'!J43</f>
        <v>9797</v>
      </c>
      <c r="C43" s="21">
        <f>'SFY 23-24 Q1 Share by Project'!K43</f>
        <v>98</v>
      </c>
      <c r="D43" s="21">
        <f>'SFY 23-24 Q1 Share by Project'!L43</f>
        <v>1310</v>
      </c>
      <c r="E43" s="64">
        <f t="shared" si="1"/>
        <v>11205</v>
      </c>
      <c r="I43" s="53"/>
    </row>
    <row r="44" spans="1:9" x14ac:dyDescent="0.2">
      <c r="A44" s="47" t="s">
        <v>90</v>
      </c>
      <c r="B44" s="21">
        <f>'SFY 23-24 Q1 Share by Project'!J44</f>
        <v>12149</v>
      </c>
      <c r="C44" s="21">
        <f>'SFY 23-24 Q1 Share by Project'!K44</f>
        <v>128</v>
      </c>
      <c r="D44" s="21">
        <f>'SFY 23-24 Q1 Share by Project'!L44</f>
        <v>1930</v>
      </c>
      <c r="E44" s="64">
        <f t="shared" si="1"/>
        <v>14207</v>
      </c>
      <c r="I44" s="53"/>
    </row>
    <row r="45" spans="1:9" x14ac:dyDescent="0.2">
      <c r="A45" s="47" t="s">
        <v>91</v>
      </c>
      <c r="B45" s="21">
        <f>'SFY 23-24 Q1 Share by Project'!J45</f>
        <v>9712</v>
      </c>
      <c r="C45" s="21">
        <f>'SFY 23-24 Q1 Share by Project'!K45</f>
        <v>98</v>
      </c>
      <c r="D45" s="21">
        <f>'SFY 23-24 Q1 Share by Project'!L45</f>
        <v>1813</v>
      </c>
      <c r="E45" s="64">
        <f t="shared" si="1"/>
        <v>11623</v>
      </c>
      <c r="I45" s="53"/>
    </row>
    <row r="46" spans="1:9" x14ac:dyDescent="0.2">
      <c r="A46" s="47" t="s">
        <v>92</v>
      </c>
      <c r="B46" s="21">
        <f>'SFY 23-24 Q1 Share by Project'!J46</f>
        <v>24052</v>
      </c>
      <c r="C46" s="21">
        <f>'SFY 23-24 Q1 Share by Project'!K46</f>
        <v>243</v>
      </c>
      <c r="D46" s="21">
        <f>'SFY 23-24 Q1 Share by Project'!L46</f>
        <v>4585</v>
      </c>
      <c r="E46" s="64">
        <f t="shared" si="1"/>
        <v>28880</v>
      </c>
      <c r="I46" s="53"/>
    </row>
    <row r="47" spans="1:9" x14ac:dyDescent="0.2">
      <c r="A47" s="47" t="s">
        <v>93</v>
      </c>
      <c r="B47" s="21">
        <f>'SFY 23-24 Q1 Share by Project'!J47</f>
        <v>5915</v>
      </c>
      <c r="C47" s="21">
        <f>'SFY 23-24 Q1 Share by Project'!K47</f>
        <v>59</v>
      </c>
      <c r="D47" s="21">
        <f>'SFY 23-24 Q1 Share by Project'!L47</f>
        <v>1022</v>
      </c>
      <c r="E47" s="64">
        <f t="shared" si="1"/>
        <v>6996</v>
      </c>
      <c r="I47" s="53"/>
    </row>
    <row r="48" spans="1:9" x14ac:dyDescent="0.2">
      <c r="A48" s="112" t="s">
        <v>94</v>
      </c>
      <c r="B48" s="21">
        <f>'SFY 23-24 Q1 Share by Project'!J48</f>
        <v>7772</v>
      </c>
      <c r="C48" s="21">
        <f>'SFY 23-24 Q1 Share by Project'!K48</f>
        <v>114</v>
      </c>
      <c r="D48" s="21">
        <f>'SFY 23-24 Q1 Share by Project'!L48</f>
        <v>1873</v>
      </c>
      <c r="E48" s="64">
        <f t="shared" si="1"/>
        <v>9759</v>
      </c>
      <c r="I48" s="53"/>
    </row>
    <row r="49" spans="1:9" x14ac:dyDescent="0.2">
      <c r="A49" s="112" t="s">
        <v>95</v>
      </c>
      <c r="B49" s="21">
        <f>'SFY 23-24 Q1 Share by Project'!J49</f>
        <v>93</v>
      </c>
      <c r="C49" s="21">
        <f>'SFY 23-24 Q1 Share by Project'!K49</f>
        <v>1</v>
      </c>
      <c r="D49" s="21">
        <f>'SFY 23-24 Q1 Share by Project'!L49</f>
        <v>26</v>
      </c>
      <c r="E49" s="64">
        <f t="shared" si="1"/>
        <v>120</v>
      </c>
      <c r="I49" s="53"/>
    </row>
    <row r="50" spans="1:9" x14ac:dyDescent="0.2">
      <c r="A50" s="112" t="s">
        <v>96</v>
      </c>
      <c r="B50" s="21">
        <f>'SFY 23-24 Q1 Share by Project'!J50</f>
        <v>2247</v>
      </c>
      <c r="C50" s="21">
        <f>'SFY 23-24 Q1 Share by Project'!K50</f>
        <v>34</v>
      </c>
      <c r="D50" s="21">
        <f>'SFY 23-24 Q1 Share by Project'!L50</f>
        <v>540</v>
      </c>
      <c r="E50" s="64">
        <f t="shared" si="1"/>
        <v>2821</v>
      </c>
      <c r="I50" s="53"/>
    </row>
    <row r="51" spans="1:9" x14ac:dyDescent="0.2">
      <c r="A51" s="112" t="s">
        <v>97</v>
      </c>
      <c r="B51" s="21">
        <f>'SFY 23-24 Q1 Share by Project'!J51</f>
        <v>12189</v>
      </c>
      <c r="C51" s="21">
        <f>'SFY 23-24 Q1 Share by Project'!K51</f>
        <v>125</v>
      </c>
      <c r="D51" s="21">
        <f>'SFY 23-24 Q1 Share by Project'!L51</f>
        <v>1930</v>
      </c>
      <c r="E51" s="64">
        <f t="shared" si="1"/>
        <v>14244</v>
      </c>
      <c r="I51" s="53"/>
    </row>
    <row r="52" spans="1:9" x14ac:dyDescent="0.2">
      <c r="A52" s="112" t="s">
        <v>98</v>
      </c>
      <c r="B52" s="21">
        <f>'SFY 23-24 Q1 Share by Project'!J52</f>
        <v>12553</v>
      </c>
      <c r="C52" s="21">
        <f>'SFY 23-24 Q1 Share by Project'!K52</f>
        <v>126</v>
      </c>
      <c r="D52" s="21">
        <f>'SFY 23-24 Q1 Share by Project'!L52</f>
        <v>1892</v>
      </c>
      <c r="E52" s="64">
        <f t="shared" si="1"/>
        <v>14571</v>
      </c>
      <c r="I52" s="53"/>
    </row>
    <row r="53" spans="1:9" x14ac:dyDescent="0.2">
      <c r="A53" s="21" t="s">
        <v>99</v>
      </c>
      <c r="B53" s="21">
        <f>'SFY 23-24 Q1 Share by Project'!J53</f>
        <v>27052</v>
      </c>
      <c r="C53" s="21">
        <f>'SFY 23-24 Q1 Share by Project'!K53</f>
        <v>395</v>
      </c>
      <c r="D53" s="21">
        <f>'SFY 23-24 Q1 Share by Project'!L53</f>
        <v>6523</v>
      </c>
      <c r="E53" s="64">
        <f t="shared" si="1"/>
        <v>33970</v>
      </c>
      <c r="I53" s="53"/>
    </row>
    <row r="54" spans="1:9" x14ac:dyDescent="0.2">
      <c r="A54" s="112" t="s">
        <v>100</v>
      </c>
      <c r="B54" s="21">
        <f>'SFY 23-24 Q1 Share by Project'!J54</f>
        <v>4680</v>
      </c>
      <c r="C54" s="21">
        <f>'SFY 23-24 Q1 Share by Project'!K54</f>
        <v>68</v>
      </c>
      <c r="D54" s="21">
        <f>'SFY 23-24 Q1 Share by Project'!L54</f>
        <v>1131</v>
      </c>
      <c r="E54" s="64">
        <f t="shared" si="1"/>
        <v>5879</v>
      </c>
      <c r="I54" s="53"/>
    </row>
    <row r="55" spans="1:9" x14ac:dyDescent="0.2">
      <c r="A55" s="112" t="s">
        <v>101</v>
      </c>
      <c r="B55" s="21">
        <f>'SFY 23-24 Q1 Share by Project'!J55</f>
        <v>3371</v>
      </c>
      <c r="C55" s="21">
        <f>'SFY 23-24 Q1 Share by Project'!K55</f>
        <v>49</v>
      </c>
      <c r="D55" s="21">
        <f>'SFY 23-24 Q1 Share by Project'!L55</f>
        <v>810</v>
      </c>
      <c r="E55" s="64">
        <f t="shared" si="1"/>
        <v>4230</v>
      </c>
      <c r="I55" s="53"/>
    </row>
    <row r="56" spans="1:9" x14ac:dyDescent="0.2">
      <c r="A56" s="112" t="s">
        <v>102</v>
      </c>
      <c r="B56" s="21">
        <f>'SFY 23-24 Q1 Share by Project'!J56</f>
        <v>656</v>
      </c>
      <c r="C56" s="21">
        <f>'SFY 23-24 Q1 Share by Project'!K56</f>
        <v>9</v>
      </c>
      <c r="D56" s="21">
        <f>'SFY 23-24 Q1 Share by Project'!L56</f>
        <v>157</v>
      </c>
      <c r="E56" s="64">
        <f t="shared" si="1"/>
        <v>822</v>
      </c>
      <c r="I56" s="53"/>
    </row>
    <row r="57" spans="1:9" x14ac:dyDescent="0.2">
      <c r="A57" s="112" t="s">
        <v>103</v>
      </c>
      <c r="B57" s="21">
        <f>'SFY 23-24 Q1 Share by Project'!J57</f>
        <v>15996</v>
      </c>
      <c r="C57" s="21">
        <f>'SFY 23-24 Q1 Share by Project'!K57</f>
        <v>162</v>
      </c>
      <c r="D57" s="21">
        <f>'SFY 23-24 Q1 Share by Project'!L57</f>
        <v>3174</v>
      </c>
      <c r="E57" s="64">
        <f t="shared" si="1"/>
        <v>19332</v>
      </c>
      <c r="I57" s="53"/>
    </row>
    <row r="58" spans="1:9" x14ac:dyDescent="0.2">
      <c r="A58" s="112" t="s">
        <v>104</v>
      </c>
      <c r="B58" s="21">
        <f>'SFY 23-24 Q1 Share by Project'!J58</f>
        <v>1686</v>
      </c>
      <c r="C58" s="21">
        <f>'SFY 23-24 Q1 Share by Project'!K58</f>
        <v>25</v>
      </c>
      <c r="D58" s="21">
        <f>'SFY 23-24 Q1 Share by Project'!L58</f>
        <v>401</v>
      </c>
      <c r="E58" s="64">
        <f t="shared" si="1"/>
        <v>2112</v>
      </c>
      <c r="I58" s="53"/>
    </row>
    <row r="59" spans="1:9" x14ac:dyDescent="0.2">
      <c r="A59" s="112" t="s">
        <v>105</v>
      </c>
      <c r="B59" s="21">
        <f>'SFY 23-24 Q1 Share by Project'!J59</f>
        <v>13790</v>
      </c>
      <c r="C59" s="21">
        <f>'SFY 23-24 Q1 Share by Project'!K59</f>
        <v>139</v>
      </c>
      <c r="D59" s="21">
        <f>'SFY 23-24 Q1 Share by Project'!L59</f>
        <v>2623</v>
      </c>
      <c r="E59" s="64">
        <f t="shared" si="1"/>
        <v>16552</v>
      </c>
      <c r="I59" s="53"/>
    </row>
    <row r="60" spans="1:9" x14ac:dyDescent="0.2">
      <c r="A60" s="112" t="s">
        <v>106</v>
      </c>
      <c r="B60" s="21">
        <f>'SFY 23-24 Q1 Share by Project'!J60</f>
        <v>3518</v>
      </c>
      <c r="C60" s="21">
        <f>'SFY 23-24 Q1 Share by Project'!K60</f>
        <v>35</v>
      </c>
      <c r="D60" s="21">
        <f>'SFY 23-24 Q1 Share by Project'!L60</f>
        <v>679</v>
      </c>
      <c r="E60" s="64">
        <f t="shared" si="1"/>
        <v>4232</v>
      </c>
      <c r="I60" s="53"/>
    </row>
    <row r="61" spans="1:9" x14ac:dyDescent="0.2">
      <c r="A61" s="112" t="s">
        <v>107</v>
      </c>
      <c r="B61" s="21">
        <f>'SFY 23-24 Q1 Share by Project'!J61</f>
        <v>4308</v>
      </c>
      <c r="C61" s="21">
        <f>'SFY 23-24 Q1 Share by Project'!K61</f>
        <v>63</v>
      </c>
      <c r="D61" s="21">
        <f>'SFY 23-24 Q1 Share by Project'!L61</f>
        <v>1036</v>
      </c>
      <c r="E61" s="64">
        <f t="shared" si="1"/>
        <v>5407</v>
      </c>
      <c r="I61" s="53"/>
    </row>
    <row r="62" spans="1:9" ht="3.75" customHeight="1" x14ac:dyDescent="0.2">
      <c r="A62" s="29"/>
      <c r="B62" s="29"/>
      <c r="C62" s="29"/>
      <c r="D62" s="29"/>
      <c r="E62" s="29"/>
    </row>
    <row r="63" spans="1:9" x14ac:dyDescent="0.2">
      <c r="A63" s="31" t="s">
        <v>108</v>
      </c>
      <c r="B63" s="32">
        <f t="shared" ref="B63:E63" si="2">SUM(B4:B61)</f>
        <v>1463769</v>
      </c>
      <c r="C63" s="32">
        <f t="shared" si="2"/>
        <v>19185</v>
      </c>
      <c r="D63" s="32">
        <f t="shared" si="2"/>
        <v>308897</v>
      </c>
      <c r="E63" s="32">
        <f t="shared" si="2"/>
        <v>1791851</v>
      </c>
    </row>
    <row r="64" spans="1:9" x14ac:dyDescent="0.2">
      <c r="A64" s="113"/>
      <c r="B64" s="23"/>
      <c r="C64" s="23"/>
      <c r="D64" s="23"/>
      <c r="E64" s="23"/>
    </row>
    <row r="65" spans="1:5" s="36" customFormat="1" ht="16.5" hidden="1" x14ac:dyDescent="0.3">
      <c r="A65" s="178" t="s">
        <v>109</v>
      </c>
      <c r="B65" s="179">
        <f>'SFY 23-24 Q1 Share Calculations'!BF64</f>
        <v>1463769</v>
      </c>
      <c r="C65" s="179">
        <f>'SFY 23-24 Q1 Share Calculations'!BG64</f>
        <v>19185</v>
      </c>
      <c r="D65" s="179">
        <f>'SFY 23-24 Q1 Share Calculations'!BH64</f>
        <v>308897</v>
      </c>
      <c r="E65" s="179">
        <f>'SFY 23-24 Q1 Share Calculations'!BI64</f>
        <v>1791851</v>
      </c>
    </row>
    <row r="66" spans="1:5" s="36" customFormat="1" ht="16.5" hidden="1" x14ac:dyDescent="0.3">
      <c r="A66" s="178" t="s">
        <v>110</v>
      </c>
      <c r="B66" s="180">
        <f t="shared" ref="B66:E66" si="3">B63-B65</f>
        <v>0</v>
      </c>
      <c r="C66" s="180">
        <f t="shared" si="3"/>
        <v>0</v>
      </c>
      <c r="D66" s="180">
        <f t="shared" si="3"/>
        <v>0</v>
      </c>
      <c r="E66" s="180">
        <f t="shared" si="3"/>
        <v>0</v>
      </c>
    </row>
    <row r="67" spans="1:5" ht="15" hidden="1" x14ac:dyDescent="0.25">
      <c r="A67" s="114"/>
      <c r="B67" s="114"/>
      <c r="C67" s="114"/>
      <c r="D67" s="114"/>
      <c r="E67"/>
    </row>
    <row r="68" spans="1:5" ht="16.5" hidden="1" x14ac:dyDescent="0.3">
      <c r="A68" s="232" t="s">
        <v>111</v>
      </c>
      <c r="B68" s="233">
        <f>SUM('1a SFY 23-24 Q1 ABAWD'!L4)+SUM('2b SFY 23-24 Q1 CalSAWS MO'!X4:X75)+SUM('2d SFY 22-23 Q1 Adj-Late MO'!X4:X19)+SUM('3a SFY 23-24 Q1 CalWIN MO'!X4:X46)+SUM('3b SFY 22-23 Q1 Adj-Late MO'!X4:X26)</f>
        <v>1463769</v>
      </c>
      <c r="C68" s="233">
        <f>SUM('2b SFY 23-24 Q1 CalSAWS MO'!Y4:Y75)+SUM('2d SFY 22-23 Q1 Adj-Late MO'!Y4:Y19)+SUM('3a SFY 23-24 Q1 CalWIN MO'!Y4:Y46)+SUM('3b SFY 22-23 Q1 Adj-Late MO'!Y4:Y26)</f>
        <v>19185</v>
      </c>
      <c r="D68" s="233">
        <f>SUM('2b SFY 23-24 Q1 CalSAWS MO'!Z4:Z75)+SUM('2d SFY 22-23 Q1 Adj-Late MO'!Z4:Z19)+SUM('3a SFY 23-24 Q1 CalWIN MO'!Z4:Z46)+SUM('3b SFY 22-23 Q1 Adj-Late MO'!Z4:Z26)+'SFY 23-24 Q1 Share Calculations'!G64+'SFY 23-24 Q1 Share Calculations'!R64</f>
        <v>308897</v>
      </c>
      <c r="E68" s="233">
        <f>SUM(B68:D68)</f>
        <v>1791851</v>
      </c>
    </row>
    <row r="69" spans="1:5" ht="16.5" hidden="1" x14ac:dyDescent="0.3">
      <c r="A69" s="232" t="s">
        <v>110</v>
      </c>
      <c r="B69" s="300">
        <f t="shared" ref="B69:D69" si="4">B63-B68</f>
        <v>0</v>
      </c>
      <c r="C69" s="233">
        <f t="shared" si="4"/>
        <v>0</v>
      </c>
      <c r="D69" s="233">
        <f t="shared" si="4"/>
        <v>0</v>
      </c>
      <c r="E69" s="233">
        <f>SUM(B69:D69)</f>
        <v>0</v>
      </c>
    </row>
    <row r="70" spans="1:5" ht="15" x14ac:dyDescent="0.25">
      <c r="A70" s="114"/>
      <c r="B70" s="114"/>
      <c r="C70" s="114"/>
      <c r="D70" s="114"/>
      <c r="E70" s="114"/>
    </row>
    <row r="71" spans="1:5" ht="15" x14ac:dyDescent="0.25">
      <c r="A71" s="114"/>
      <c r="B71" s="287"/>
      <c r="C71" s="287"/>
      <c r="D71" s="287"/>
      <c r="E71" s="287"/>
    </row>
    <row r="72" spans="1:5" ht="15" x14ac:dyDescent="0.25">
      <c r="A72" s="114"/>
      <c r="B72" s="114"/>
      <c r="C72" s="114"/>
      <c r="D72" s="114"/>
      <c r="E72" s="114"/>
    </row>
    <row r="73" spans="1:5" ht="15" x14ac:dyDescent="0.25">
      <c r="A73" s="114"/>
      <c r="B73" s="114"/>
      <c r="C73" s="114"/>
      <c r="D73" s="114"/>
      <c r="E73" s="114"/>
    </row>
    <row r="74" spans="1:5" ht="15" x14ac:dyDescent="0.25">
      <c r="A74" s="114"/>
      <c r="B74" s="114"/>
      <c r="C74" s="114"/>
      <c r="D74" s="114"/>
      <c r="E74" s="114"/>
    </row>
    <row r="75" spans="1:5" ht="15" x14ac:dyDescent="0.25">
      <c r="A75" s="114"/>
      <c r="B75" s="114"/>
      <c r="C75" s="114"/>
      <c r="D75" s="114"/>
      <c r="E75" s="114"/>
    </row>
    <row r="76" spans="1:5" ht="15" x14ac:dyDescent="0.25">
      <c r="A76" s="114"/>
      <c r="B76" s="114"/>
      <c r="C76" s="114"/>
      <c r="D76" s="114"/>
      <c r="E76" s="114"/>
    </row>
    <row r="77" spans="1:5" ht="15" x14ac:dyDescent="0.25">
      <c r="A77" s="114"/>
      <c r="B77" s="114"/>
      <c r="C77" s="114"/>
      <c r="D77" s="114"/>
      <c r="E77" s="114"/>
    </row>
    <row r="78" spans="1:5" ht="15" x14ac:dyDescent="0.25">
      <c r="A78" s="114"/>
      <c r="B78" s="114"/>
      <c r="C78" s="114"/>
      <c r="D78" s="114"/>
      <c r="E78" s="114"/>
    </row>
    <row r="79" spans="1:5" x14ac:dyDescent="0.2">
      <c r="B79" s="53"/>
      <c r="C79" s="53"/>
      <c r="D79" s="53"/>
      <c r="E79" s="53"/>
    </row>
    <row r="82" spans="1:5" x14ac:dyDescent="0.2">
      <c r="E82" s="53"/>
    </row>
    <row r="86" spans="1:5" x14ac:dyDescent="0.2">
      <c r="B86" s="53"/>
      <c r="C86" s="53"/>
      <c r="D86" s="69"/>
      <c r="E86" s="53"/>
    </row>
    <row r="87" spans="1:5" x14ac:dyDescent="0.2">
      <c r="A87" s="104"/>
      <c r="D87" s="69"/>
    </row>
    <row r="88" spans="1:5" x14ac:dyDescent="0.2">
      <c r="A88" s="105"/>
      <c r="B88" s="69"/>
      <c r="C88" s="69"/>
      <c r="D88" s="69"/>
      <c r="E88" s="69"/>
    </row>
    <row r="89" spans="1:5" x14ac:dyDescent="0.2">
      <c r="A89" s="105"/>
      <c r="B89" s="69"/>
      <c r="C89" s="69"/>
      <c r="D89" s="69"/>
      <c r="E89" s="69"/>
    </row>
    <row r="90" spans="1:5" x14ac:dyDescent="0.2">
      <c r="A90" s="105"/>
      <c r="B90" s="69"/>
      <c r="C90" s="69"/>
      <c r="D90" s="69"/>
      <c r="E90" s="69"/>
    </row>
    <row r="91" spans="1:5" x14ac:dyDescent="0.2">
      <c r="B91" s="107"/>
      <c r="C91" s="107"/>
      <c r="D91" s="69"/>
      <c r="E91" s="107"/>
    </row>
    <row r="92" spans="1:5" x14ac:dyDescent="0.2">
      <c r="D92" s="69"/>
    </row>
    <row r="93" spans="1:5" x14ac:dyDescent="0.2">
      <c r="A93" s="104"/>
      <c r="B93" s="107"/>
      <c r="C93" s="107"/>
      <c r="D93" s="107"/>
    </row>
    <row r="94" spans="1:5" x14ac:dyDescent="0.2">
      <c r="A94" s="105"/>
      <c r="B94" s="107"/>
      <c r="C94" s="107"/>
      <c r="D94" s="107"/>
      <c r="E94" s="69"/>
    </row>
    <row r="95" spans="1:5" x14ac:dyDescent="0.2">
      <c r="A95" s="105"/>
      <c r="B95" s="107"/>
      <c r="C95" s="107"/>
      <c r="D95" s="107"/>
      <c r="E95" s="69"/>
    </row>
    <row r="96" spans="1:5" x14ac:dyDescent="0.2">
      <c r="A96" s="105"/>
      <c r="B96" s="107"/>
      <c r="C96" s="107"/>
      <c r="D96" s="107"/>
      <c r="E96" s="69"/>
    </row>
    <row r="97" spans="1:5" x14ac:dyDescent="0.2">
      <c r="B97" s="107"/>
      <c r="C97" s="107"/>
      <c r="D97" s="107"/>
      <c r="E97" s="107"/>
    </row>
    <row r="99" spans="1:5" x14ac:dyDescent="0.2">
      <c r="A99" s="39"/>
      <c r="B99" s="40"/>
      <c r="C99" s="40"/>
      <c r="D99" s="40"/>
      <c r="E99" s="40"/>
    </row>
    <row r="100" spans="1:5" x14ac:dyDescent="0.2">
      <c r="A100" s="41"/>
      <c r="B100" s="42"/>
      <c r="C100" s="42"/>
      <c r="D100" s="42"/>
      <c r="E100" s="42"/>
    </row>
    <row r="101" spans="1:5" x14ac:dyDescent="0.2">
      <c r="A101" s="41"/>
      <c r="B101" s="42"/>
      <c r="C101" s="42"/>
      <c r="D101" s="42"/>
      <c r="E101" s="42"/>
    </row>
    <row r="102" spans="1:5" x14ac:dyDescent="0.2">
      <c r="A102" s="41"/>
      <c r="B102" s="42"/>
      <c r="C102" s="42"/>
      <c r="D102" s="42"/>
      <c r="E102" s="42"/>
    </row>
    <row r="103" spans="1:5" x14ac:dyDescent="0.2">
      <c r="A103" s="40"/>
      <c r="B103" s="43"/>
      <c r="C103" s="43"/>
      <c r="D103" s="43"/>
      <c r="E103" s="43"/>
    </row>
    <row r="104" spans="1:5" x14ac:dyDescent="0.2">
      <c r="A104" s="44"/>
      <c r="B104" s="42"/>
      <c r="C104" s="42"/>
      <c r="D104" s="42"/>
      <c r="E104" s="42"/>
    </row>
  </sheetData>
  <mergeCells count="2">
    <mergeCell ref="A1:E1"/>
    <mergeCell ref="A2:E2"/>
  </mergeCells>
  <conditionalFormatting sqref="B64:E64"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" right="0.7" top="0.75" bottom="0.75" header="0.3" footer="0.3"/>
  <pageSetup orientation="portrait" r:id="rId1"/>
  <ignoredErrors>
    <ignoredError sqref="B63 C63 D63:E63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24D3-1F10-4CEA-B93C-111E6D138E99}">
  <dimension ref="A1:P76"/>
  <sheetViews>
    <sheetView zoomScale="90" zoomScaleNormal="90" workbookViewId="0">
      <pane xSplit="1" ySplit="3" topLeftCell="B4" activePane="bottomRight" state="frozen"/>
      <selection pane="topRight" activeCell="F30" sqref="F30"/>
      <selection pane="bottomLeft" activeCell="F30" sqref="F30"/>
      <selection pane="bottomRight" sqref="A1:M1"/>
    </sheetView>
  </sheetViews>
  <sheetFormatPr defaultColWidth="9.140625" defaultRowHeight="12.75" x14ac:dyDescent="0.2"/>
  <cols>
    <col min="1" max="1" width="15.42578125" style="8" customWidth="1"/>
    <col min="2" max="2" width="13.140625" style="8" customWidth="1"/>
    <col min="3" max="4" width="13.28515625" style="8" customWidth="1"/>
    <col min="5" max="6" width="13.85546875" style="8" customWidth="1"/>
    <col min="7" max="7" width="12.42578125" style="8" customWidth="1"/>
    <col min="8" max="8" width="13" style="8" customWidth="1"/>
    <col min="9" max="9" width="13.5703125" style="8" customWidth="1"/>
    <col min="10" max="10" width="14.28515625" style="8" customWidth="1"/>
    <col min="11" max="11" width="13.28515625" style="8" customWidth="1"/>
    <col min="12" max="12" width="12.140625" style="8" bestFit="1" customWidth="1"/>
    <col min="13" max="13" width="13.5703125" style="8" customWidth="1"/>
    <col min="14" max="14" width="10.7109375" style="7" hidden="1" customWidth="1"/>
    <col min="15" max="16384" width="9.140625" style="8"/>
  </cols>
  <sheetData>
    <row r="1" spans="1:14" s="5" customFormat="1" ht="21" customHeight="1" thickBot="1" x14ac:dyDescent="0.3">
      <c r="A1" s="341" t="s">
        <v>112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4"/>
    </row>
    <row r="2" spans="1:14" ht="39" thickBot="1" x14ac:dyDescent="0.25">
      <c r="A2" s="116"/>
      <c r="B2" s="283" t="s">
        <v>113</v>
      </c>
      <c r="C2" s="335" t="s">
        <v>114</v>
      </c>
      <c r="D2" s="336"/>
      <c r="E2" s="337"/>
      <c r="F2" s="282" t="s">
        <v>115</v>
      </c>
      <c r="G2" s="335" t="s">
        <v>116</v>
      </c>
      <c r="H2" s="336"/>
      <c r="I2" s="337"/>
      <c r="J2" s="338" t="s">
        <v>117</v>
      </c>
      <c r="K2" s="339"/>
      <c r="L2" s="340"/>
      <c r="M2" s="6"/>
    </row>
    <row r="3" spans="1:14" ht="46.5" customHeight="1" thickBot="1" x14ac:dyDescent="0.25">
      <c r="A3" s="286" t="s">
        <v>44</v>
      </c>
      <c r="B3" s="11" t="s">
        <v>45</v>
      </c>
      <c r="C3" s="9" t="s">
        <v>45</v>
      </c>
      <c r="D3" s="12" t="s">
        <v>46</v>
      </c>
      <c r="E3" s="10" t="s">
        <v>118</v>
      </c>
      <c r="F3" s="13" t="s">
        <v>118</v>
      </c>
      <c r="G3" s="14" t="s">
        <v>45</v>
      </c>
      <c r="H3" s="15" t="s">
        <v>46</v>
      </c>
      <c r="I3" s="16" t="s">
        <v>118</v>
      </c>
      <c r="J3" s="17" t="s">
        <v>45</v>
      </c>
      <c r="K3" s="12" t="s">
        <v>46</v>
      </c>
      <c r="L3" s="18" t="s">
        <v>118</v>
      </c>
      <c r="M3" s="10" t="s">
        <v>48</v>
      </c>
      <c r="N3" s="222" t="s">
        <v>109</v>
      </c>
    </row>
    <row r="4" spans="1:14" x14ac:dyDescent="0.2">
      <c r="A4" s="19" t="s">
        <v>49</v>
      </c>
      <c r="B4" s="20">
        <f>'SFY 23-24 Q1 Share Calculations'!C6</f>
        <v>0</v>
      </c>
      <c r="C4" s="20">
        <f>'SFY 23-24 Q1 Share Calculations'!BA6</f>
        <v>67481</v>
      </c>
      <c r="D4" s="21">
        <f>'SFY 23-24 Q1 Share Calculations'!BB6</f>
        <v>721</v>
      </c>
      <c r="E4" s="21">
        <f>'SFY 23-24 Q1 Share Calculations'!BC6</f>
        <v>6573</v>
      </c>
      <c r="F4" s="183">
        <f>'SFY 23-24 Q1 Share Calculations'!G6+'SFY 23-24 Q1 Share Calculations'!R6</f>
        <v>2445</v>
      </c>
      <c r="G4" s="183">
        <f>'SFY 23-24 Q1 Share Calculations'!K6+'SFY 23-24 Q1 Share Calculations'!V6</f>
        <v>0</v>
      </c>
      <c r="H4" s="183">
        <f>'SFY 23-24 Q1 Share Calculations'!L6+'SFY 23-24 Q1 Share Calculations'!W6</f>
        <v>0</v>
      </c>
      <c r="I4" s="223">
        <f>'SFY 23-24 Q1 Share Calculations'!M6+'SFY 23-24 Q1 Share Calculations'!X6</f>
        <v>0</v>
      </c>
      <c r="J4" s="21">
        <f>B4+C4+G4</f>
        <v>67481</v>
      </c>
      <c r="K4" s="22">
        <f>D4+H4</f>
        <v>721</v>
      </c>
      <c r="L4" s="22">
        <f t="shared" ref="L4:L35" si="0">E4+F4+I4</f>
        <v>9018</v>
      </c>
      <c r="M4" s="22">
        <f t="shared" ref="M4:M35" si="1">SUM(J4:L4)</f>
        <v>77220</v>
      </c>
      <c r="N4" s="98">
        <f t="shared" ref="N4:N35" si="2">SUM(B4:I4)-SUM(J4:L4)</f>
        <v>0</v>
      </c>
    </row>
    <row r="5" spans="1:14" x14ac:dyDescent="0.2">
      <c r="A5" s="24" t="s">
        <v>50</v>
      </c>
      <c r="B5" s="20">
        <f>'SFY 23-24 Q1 Share Calculations'!C7</f>
        <v>0</v>
      </c>
      <c r="C5" s="20">
        <f>'SFY 23-24 Q1 Share Calculations'!BA7</f>
        <v>0</v>
      </c>
      <c r="D5" s="21">
        <f>'SFY 23-24 Q1 Share Calculations'!BB7</f>
        <v>0</v>
      </c>
      <c r="E5" s="21">
        <f>'SFY 23-24 Q1 Share Calculations'!BC7</f>
        <v>0</v>
      </c>
      <c r="F5" s="183">
        <f>'SFY 23-24 Q1 Share Calculations'!G7+'SFY 23-24 Q1 Share Calculations'!R7</f>
        <v>0</v>
      </c>
      <c r="G5" s="183">
        <f>'SFY 23-24 Q1 Share Calculations'!K7+'SFY 23-24 Q1 Share Calculations'!V7</f>
        <v>0</v>
      </c>
      <c r="H5" s="183">
        <f>'SFY 23-24 Q1 Share Calculations'!L7+'SFY 23-24 Q1 Share Calculations'!W7</f>
        <v>0</v>
      </c>
      <c r="I5" s="223">
        <f>'SFY 23-24 Q1 Share Calculations'!M7+'SFY 23-24 Q1 Share Calculations'!X7</f>
        <v>0</v>
      </c>
      <c r="J5" s="21">
        <f t="shared" ref="J5:J61" si="3">B5+C5+G5</f>
        <v>0</v>
      </c>
      <c r="K5" s="22">
        <f t="shared" ref="K5:K61" si="4">D5+H5</f>
        <v>0</v>
      </c>
      <c r="L5" s="22">
        <f t="shared" si="0"/>
        <v>0</v>
      </c>
      <c r="M5" s="22">
        <f t="shared" si="1"/>
        <v>0</v>
      </c>
      <c r="N5" s="98">
        <f t="shared" si="2"/>
        <v>0</v>
      </c>
    </row>
    <row r="6" spans="1:14" x14ac:dyDescent="0.2">
      <c r="A6" s="24" t="s">
        <v>51</v>
      </c>
      <c r="B6" s="20">
        <f>'SFY 23-24 Q1 Share Calculations'!C8</f>
        <v>1</v>
      </c>
      <c r="C6" s="20">
        <f>'SFY 23-24 Q1 Share Calculations'!BA8</f>
        <v>0</v>
      </c>
      <c r="D6" s="21">
        <f>'SFY 23-24 Q1 Share Calculations'!BB8</f>
        <v>0</v>
      </c>
      <c r="E6" s="21">
        <f>'SFY 23-24 Q1 Share Calculations'!BC8</f>
        <v>0</v>
      </c>
      <c r="F6" s="183">
        <f>'SFY 23-24 Q1 Share Calculations'!G8+'SFY 23-24 Q1 Share Calculations'!R8</f>
        <v>47</v>
      </c>
      <c r="G6" s="183">
        <f>'SFY 23-24 Q1 Share Calculations'!K8+'SFY 23-24 Q1 Share Calculations'!V8</f>
        <v>1028</v>
      </c>
      <c r="H6" s="183">
        <f>'SFY 23-24 Q1 Share Calculations'!L8+'SFY 23-24 Q1 Share Calculations'!W8</f>
        <v>15</v>
      </c>
      <c r="I6" s="223">
        <f>'SFY 23-24 Q1 Share Calculations'!M8+'SFY 23-24 Q1 Share Calculations'!X8</f>
        <v>198</v>
      </c>
      <c r="J6" s="21">
        <f t="shared" si="3"/>
        <v>1029</v>
      </c>
      <c r="K6" s="22">
        <f t="shared" si="4"/>
        <v>15</v>
      </c>
      <c r="L6" s="22">
        <f t="shared" si="0"/>
        <v>245</v>
      </c>
      <c r="M6" s="22">
        <f t="shared" si="1"/>
        <v>1289</v>
      </c>
      <c r="N6" s="98">
        <f t="shared" si="2"/>
        <v>0</v>
      </c>
    </row>
    <row r="7" spans="1:14" x14ac:dyDescent="0.2">
      <c r="A7" s="24" t="s">
        <v>52</v>
      </c>
      <c r="B7" s="20">
        <f>'SFY 23-24 Q1 Share Calculations'!C9</f>
        <v>15</v>
      </c>
      <c r="C7" s="20">
        <f>'SFY 23-24 Q1 Share Calculations'!BA9</f>
        <v>0</v>
      </c>
      <c r="D7" s="21">
        <f>'SFY 23-24 Q1 Share Calculations'!BB9</f>
        <v>0</v>
      </c>
      <c r="E7" s="21">
        <f>'SFY 23-24 Q1 Share Calculations'!BC9</f>
        <v>0</v>
      </c>
      <c r="F7" s="183">
        <f>'SFY 23-24 Q1 Share Calculations'!G9+'SFY 23-24 Q1 Share Calculations'!R9</f>
        <v>457</v>
      </c>
      <c r="G7" s="183">
        <f>'SFY 23-24 Q1 Share Calculations'!K9+'SFY 23-24 Q1 Share Calculations'!V9</f>
        <v>9348</v>
      </c>
      <c r="H7" s="183">
        <f>'SFY 23-24 Q1 Share Calculations'!L9+'SFY 23-24 Q1 Share Calculations'!W9</f>
        <v>137</v>
      </c>
      <c r="I7" s="223">
        <f>'SFY 23-24 Q1 Share Calculations'!M9+'SFY 23-24 Q1 Share Calculations'!X9</f>
        <v>1799</v>
      </c>
      <c r="J7" s="21">
        <f t="shared" si="3"/>
        <v>9363</v>
      </c>
      <c r="K7" s="22">
        <f t="shared" si="4"/>
        <v>137</v>
      </c>
      <c r="L7" s="22">
        <f t="shared" si="0"/>
        <v>2256</v>
      </c>
      <c r="M7" s="22">
        <f t="shared" si="1"/>
        <v>11756</v>
      </c>
      <c r="N7" s="98">
        <f t="shared" si="2"/>
        <v>0</v>
      </c>
    </row>
    <row r="8" spans="1:14" x14ac:dyDescent="0.2">
      <c r="A8" s="26" t="s">
        <v>54</v>
      </c>
      <c r="B8" s="20">
        <f>'SFY 23-24 Q1 Share Calculations'!C10</f>
        <v>2</v>
      </c>
      <c r="C8" s="20">
        <f>'SFY 23-24 Q1 Share Calculations'!BA10</f>
        <v>0</v>
      </c>
      <c r="D8" s="21">
        <f>'SFY 23-24 Q1 Share Calculations'!BB10</f>
        <v>0</v>
      </c>
      <c r="E8" s="21">
        <f>'SFY 23-24 Q1 Share Calculations'!BC10</f>
        <v>0</v>
      </c>
      <c r="F8" s="183">
        <f>'SFY 23-24 Q1 Share Calculations'!G10+'SFY 23-24 Q1 Share Calculations'!R10</f>
        <v>77</v>
      </c>
      <c r="G8" s="183">
        <f>'SFY 23-24 Q1 Share Calculations'!K10+'SFY 23-24 Q1 Share Calculations'!V10</f>
        <v>1496</v>
      </c>
      <c r="H8" s="183">
        <f>'SFY 23-24 Q1 Share Calculations'!L10+'SFY 23-24 Q1 Share Calculations'!W10</f>
        <v>22</v>
      </c>
      <c r="I8" s="223">
        <f>'SFY 23-24 Q1 Share Calculations'!M10+'SFY 23-24 Q1 Share Calculations'!X10</f>
        <v>289</v>
      </c>
      <c r="J8" s="21">
        <f t="shared" si="3"/>
        <v>1498</v>
      </c>
      <c r="K8" s="22">
        <f t="shared" si="4"/>
        <v>22</v>
      </c>
      <c r="L8" s="22">
        <f t="shared" si="0"/>
        <v>366</v>
      </c>
      <c r="M8" s="22">
        <f t="shared" si="1"/>
        <v>1886</v>
      </c>
      <c r="N8" s="98">
        <f t="shared" si="2"/>
        <v>0</v>
      </c>
    </row>
    <row r="9" spans="1:14" x14ac:dyDescent="0.2">
      <c r="A9" s="26" t="s">
        <v>55</v>
      </c>
      <c r="B9" s="20">
        <f>'SFY 23-24 Q1 Share Calculations'!C11</f>
        <v>1</v>
      </c>
      <c r="C9" s="20">
        <f>'SFY 23-24 Q1 Share Calculations'!BA11</f>
        <v>0</v>
      </c>
      <c r="D9" s="21">
        <f>'SFY 23-24 Q1 Share Calculations'!BB11</f>
        <v>0</v>
      </c>
      <c r="E9" s="21">
        <f>'SFY 23-24 Q1 Share Calculations'!BC11</f>
        <v>0</v>
      </c>
      <c r="F9" s="183">
        <f>'SFY 23-24 Q1 Share Calculations'!G11+'SFY 23-24 Q1 Share Calculations'!R11</f>
        <v>55</v>
      </c>
      <c r="G9" s="183">
        <f>'SFY 23-24 Q1 Share Calculations'!K11+'SFY 23-24 Q1 Share Calculations'!V11</f>
        <v>1028</v>
      </c>
      <c r="H9" s="183">
        <f>'SFY 23-24 Q1 Share Calculations'!L11+'SFY 23-24 Q1 Share Calculations'!W11</f>
        <v>15</v>
      </c>
      <c r="I9" s="223">
        <f>'SFY 23-24 Q1 Share Calculations'!M11+'SFY 23-24 Q1 Share Calculations'!X11</f>
        <v>198</v>
      </c>
      <c r="J9" s="21">
        <f t="shared" si="3"/>
        <v>1029</v>
      </c>
      <c r="K9" s="22">
        <f t="shared" si="4"/>
        <v>15</v>
      </c>
      <c r="L9" s="22">
        <f t="shared" si="0"/>
        <v>253</v>
      </c>
      <c r="M9" s="22">
        <f t="shared" si="1"/>
        <v>1297</v>
      </c>
      <c r="N9" s="98">
        <f t="shared" si="2"/>
        <v>0</v>
      </c>
    </row>
    <row r="10" spans="1:14" x14ac:dyDescent="0.2">
      <c r="A10" s="26" t="s">
        <v>56</v>
      </c>
      <c r="B10" s="20">
        <f>'SFY 23-24 Q1 Share Calculations'!C12</f>
        <v>0</v>
      </c>
      <c r="C10" s="20">
        <f>'SFY 23-24 Q1 Share Calculations'!BA12</f>
        <v>19110</v>
      </c>
      <c r="D10" s="21">
        <f>'SFY 23-24 Q1 Share Calculations'!BB12</f>
        <v>193</v>
      </c>
      <c r="E10" s="21">
        <f>'SFY 23-24 Q1 Share Calculations'!BC12</f>
        <v>1878</v>
      </c>
      <c r="F10" s="183">
        <f>'SFY 23-24 Q1 Share Calculations'!G12+'SFY 23-24 Q1 Share Calculations'!R12</f>
        <v>1562</v>
      </c>
      <c r="G10" s="183">
        <f>'SFY 23-24 Q1 Share Calculations'!K12+'SFY 23-24 Q1 Share Calculations'!V12</f>
        <v>0</v>
      </c>
      <c r="H10" s="183">
        <f>'SFY 23-24 Q1 Share Calculations'!L12+'SFY 23-24 Q1 Share Calculations'!W12</f>
        <v>0</v>
      </c>
      <c r="I10" s="223">
        <f>'SFY 23-24 Q1 Share Calculations'!M12+'SFY 23-24 Q1 Share Calculations'!X12</f>
        <v>0</v>
      </c>
      <c r="J10" s="21">
        <f t="shared" si="3"/>
        <v>19110</v>
      </c>
      <c r="K10" s="22">
        <f t="shared" si="4"/>
        <v>193</v>
      </c>
      <c r="L10" s="22">
        <f t="shared" si="0"/>
        <v>3440</v>
      </c>
      <c r="M10" s="22">
        <f t="shared" si="1"/>
        <v>22743</v>
      </c>
      <c r="N10" s="98">
        <f t="shared" si="2"/>
        <v>0</v>
      </c>
    </row>
    <row r="11" spans="1:14" x14ac:dyDescent="0.2">
      <c r="A11" s="26" t="s">
        <v>57</v>
      </c>
      <c r="B11" s="20">
        <f>'SFY 23-24 Q1 Share Calculations'!C13</f>
        <v>3</v>
      </c>
      <c r="C11" s="20">
        <f>'SFY 23-24 Q1 Share Calculations'!BA13</f>
        <v>0</v>
      </c>
      <c r="D11" s="21">
        <f>'SFY 23-24 Q1 Share Calculations'!BB13</f>
        <v>0</v>
      </c>
      <c r="E11" s="21">
        <f>'SFY 23-24 Q1 Share Calculations'!BC13</f>
        <v>0</v>
      </c>
      <c r="F11" s="183">
        <f>'SFY 23-24 Q1 Share Calculations'!G13+'SFY 23-24 Q1 Share Calculations'!R13</f>
        <v>77</v>
      </c>
      <c r="G11" s="183">
        <f>'SFY 23-24 Q1 Share Calculations'!K13+'SFY 23-24 Q1 Share Calculations'!V13</f>
        <v>1496</v>
      </c>
      <c r="H11" s="183">
        <f>'SFY 23-24 Q1 Share Calculations'!L13+'SFY 23-24 Q1 Share Calculations'!W13</f>
        <v>22</v>
      </c>
      <c r="I11" s="223">
        <f>'SFY 23-24 Q1 Share Calculations'!M13+'SFY 23-24 Q1 Share Calculations'!X13</f>
        <v>288</v>
      </c>
      <c r="J11" s="21">
        <f t="shared" si="3"/>
        <v>1499</v>
      </c>
      <c r="K11" s="22">
        <f t="shared" si="4"/>
        <v>22</v>
      </c>
      <c r="L11" s="22">
        <f t="shared" si="0"/>
        <v>365</v>
      </c>
      <c r="M11" s="22">
        <f t="shared" si="1"/>
        <v>1886</v>
      </c>
      <c r="N11" s="98">
        <f t="shared" si="2"/>
        <v>0</v>
      </c>
    </row>
    <row r="12" spans="1:14" x14ac:dyDescent="0.2">
      <c r="A12" s="26" t="s">
        <v>58</v>
      </c>
      <c r="B12" s="20">
        <f>'SFY 23-24 Q1 Share Calculations'!C14</f>
        <v>6</v>
      </c>
      <c r="C12" s="20">
        <f>'SFY 23-24 Q1 Share Calculations'!BA14</f>
        <v>0</v>
      </c>
      <c r="D12" s="21">
        <f>'SFY 23-24 Q1 Share Calculations'!BB14</f>
        <v>0</v>
      </c>
      <c r="E12" s="21">
        <f>'SFY 23-24 Q1 Share Calculations'!BC14</f>
        <v>0</v>
      </c>
      <c r="F12" s="183">
        <f>'SFY 23-24 Q1 Share Calculations'!G14+'SFY 23-24 Q1 Share Calculations'!R14</f>
        <v>217</v>
      </c>
      <c r="G12" s="183">
        <f>'SFY 23-24 Q1 Share Calculations'!K14+'SFY 23-24 Q1 Share Calculations'!V14</f>
        <v>4394</v>
      </c>
      <c r="H12" s="183">
        <f>'SFY 23-24 Q1 Share Calculations'!L14+'SFY 23-24 Q1 Share Calculations'!W14</f>
        <v>64</v>
      </c>
      <c r="I12" s="223">
        <f>'SFY 23-24 Q1 Share Calculations'!M14+'SFY 23-24 Q1 Share Calculations'!X14</f>
        <v>845</v>
      </c>
      <c r="J12" s="21">
        <f t="shared" si="3"/>
        <v>4400</v>
      </c>
      <c r="K12" s="22">
        <f t="shared" si="4"/>
        <v>64</v>
      </c>
      <c r="L12" s="22">
        <f t="shared" si="0"/>
        <v>1062</v>
      </c>
      <c r="M12" s="22">
        <f t="shared" si="1"/>
        <v>5526</v>
      </c>
      <c r="N12" s="98">
        <f t="shared" si="2"/>
        <v>0</v>
      </c>
    </row>
    <row r="13" spans="1:14" x14ac:dyDescent="0.2">
      <c r="A13" s="26" t="s">
        <v>59</v>
      </c>
      <c r="B13" s="20">
        <f>'SFY 23-24 Q1 Share Calculations'!C15</f>
        <v>0</v>
      </c>
      <c r="C13" s="20">
        <f>'SFY 23-24 Q1 Share Calculations'!BA15</f>
        <v>87295</v>
      </c>
      <c r="D13" s="21">
        <f>'SFY 23-24 Q1 Share Calculations'!BB15</f>
        <v>951</v>
      </c>
      <c r="E13" s="21">
        <f>'SFY 23-24 Q1 Share Calculations'!BC15</f>
        <v>8470</v>
      </c>
      <c r="F13" s="183">
        <f>'SFY 23-24 Q1 Share Calculations'!G15+'SFY 23-24 Q1 Share Calculations'!R15</f>
        <v>3002</v>
      </c>
      <c r="G13" s="183">
        <f>'SFY 23-24 Q1 Share Calculations'!K15+'SFY 23-24 Q1 Share Calculations'!V15</f>
        <v>0</v>
      </c>
      <c r="H13" s="183">
        <f>'SFY 23-24 Q1 Share Calculations'!L15+'SFY 23-24 Q1 Share Calculations'!W15</f>
        <v>0</v>
      </c>
      <c r="I13" s="223">
        <f>'SFY 23-24 Q1 Share Calculations'!M15+'SFY 23-24 Q1 Share Calculations'!X15</f>
        <v>0</v>
      </c>
      <c r="J13" s="21">
        <f t="shared" si="3"/>
        <v>87295</v>
      </c>
      <c r="K13" s="22">
        <f t="shared" si="4"/>
        <v>951</v>
      </c>
      <c r="L13" s="22">
        <f t="shared" si="0"/>
        <v>11472</v>
      </c>
      <c r="M13" s="22">
        <f t="shared" si="1"/>
        <v>99718</v>
      </c>
      <c r="N13" s="98">
        <f t="shared" si="2"/>
        <v>0</v>
      </c>
    </row>
    <row r="14" spans="1:14" x14ac:dyDescent="0.2">
      <c r="A14" s="26" t="s">
        <v>60</v>
      </c>
      <c r="B14" s="20">
        <f>'SFY 23-24 Q1 Share Calculations'!C16</f>
        <v>2</v>
      </c>
      <c r="C14" s="20">
        <f>'SFY 23-24 Q1 Share Calculations'!BA16</f>
        <v>0</v>
      </c>
      <c r="D14" s="21">
        <f>'SFY 23-24 Q1 Share Calculations'!BB16</f>
        <v>0</v>
      </c>
      <c r="E14" s="21">
        <f>'SFY 23-24 Q1 Share Calculations'!BC16</f>
        <v>0</v>
      </c>
      <c r="F14" s="183">
        <f>'SFY 23-24 Q1 Share Calculations'!G16+'SFY 23-24 Q1 Share Calculations'!R16</f>
        <v>69</v>
      </c>
      <c r="G14" s="183">
        <f>'SFY 23-24 Q1 Share Calculations'!K16+'SFY 23-24 Q1 Share Calculations'!V16</f>
        <v>1403</v>
      </c>
      <c r="H14" s="183">
        <f>'SFY 23-24 Q1 Share Calculations'!L16+'SFY 23-24 Q1 Share Calculations'!W16</f>
        <v>21</v>
      </c>
      <c r="I14" s="223">
        <f>'SFY 23-24 Q1 Share Calculations'!M16+'SFY 23-24 Q1 Share Calculations'!X16</f>
        <v>270</v>
      </c>
      <c r="J14" s="21">
        <f t="shared" si="3"/>
        <v>1405</v>
      </c>
      <c r="K14" s="22">
        <f t="shared" si="4"/>
        <v>21</v>
      </c>
      <c r="L14" s="22">
        <f t="shared" si="0"/>
        <v>339</v>
      </c>
      <c r="M14" s="22">
        <f t="shared" si="1"/>
        <v>1765</v>
      </c>
      <c r="N14" s="98">
        <f t="shared" si="2"/>
        <v>0</v>
      </c>
    </row>
    <row r="15" spans="1:14" x14ac:dyDescent="0.2">
      <c r="A15" s="26" t="s">
        <v>61</v>
      </c>
      <c r="B15" s="20">
        <f>'SFY 23-24 Q1 Share Calculations'!C17</f>
        <v>11</v>
      </c>
      <c r="C15" s="20">
        <f>'SFY 23-24 Q1 Share Calculations'!BA17</f>
        <v>0</v>
      </c>
      <c r="D15" s="21">
        <f>'SFY 23-24 Q1 Share Calculations'!BB17</f>
        <v>0</v>
      </c>
      <c r="E15" s="21">
        <f>'SFY 23-24 Q1 Share Calculations'!BC17</f>
        <v>0</v>
      </c>
      <c r="F15" s="183">
        <f>'SFY 23-24 Q1 Share Calculations'!G17+'SFY 23-24 Q1 Share Calculations'!R17</f>
        <v>341</v>
      </c>
      <c r="G15" s="183">
        <f>'SFY 23-24 Q1 Share Calculations'!K17+'SFY 23-24 Q1 Share Calculations'!V17</f>
        <v>6918</v>
      </c>
      <c r="H15" s="183">
        <f>'SFY 23-24 Q1 Share Calculations'!L17+'SFY 23-24 Q1 Share Calculations'!W17</f>
        <v>101</v>
      </c>
      <c r="I15" s="223">
        <f>'SFY 23-24 Q1 Share Calculations'!M17+'SFY 23-24 Q1 Share Calculations'!X17</f>
        <v>1332</v>
      </c>
      <c r="J15" s="21">
        <f t="shared" si="3"/>
        <v>6929</v>
      </c>
      <c r="K15" s="22">
        <f t="shared" si="4"/>
        <v>101</v>
      </c>
      <c r="L15" s="22">
        <f t="shared" si="0"/>
        <v>1673</v>
      </c>
      <c r="M15" s="22">
        <f t="shared" si="1"/>
        <v>8703</v>
      </c>
      <c r="N15" s="98">
        <f t="shared" si="2"/>
        <v>0</v>
      </c>
    </row>
    <row r="16" spans="1:14" x14ac:dyDescent="0.2">
      <c r="A16" s="26" t="s">
        <v>62</v>
      </c>
      <c r="B16" s="20">
        <f>'SFY 23-24 Q1 Share Calculations'!C18</f>
        <v>20</v>
      </c>
      <c r="C16" s="20">
        <f>'SFY 23-24 Q1 Share Calculations'!BA18</f>
        <v>0</v>
      </c>
      <c r="D16" s="21">
        <f>'SFY 23-24 Q1 Share Calculations'!BB18</f>
        <v>0</v>
      </c>
      <c r="E16" s="21">
        <f>'SFY 23-24 Q1 Share Calculations'!BC18</f>
        <v>0</v>
      </c>
      <c r="F16" s="183">
        <f>'SFY 23-24 Q1 Share Calculations'!G18+'SFY 23-24 Q1 Share Calculations'!R18</f>
        <v>581</v>
      </c>
      <c r="G16" s="183">
        <f>'SFY 23-24 Q1 Share Calculations'!K18+'SFY 23-24 Q1 Share Calculations'!V18</f>
        <v>11873</v>
      </c>
      <c r="H16" s="183">
        <f>'SFY 23-24 Q1 Share Calculations'!L18+'SFY 23-24 Q1 Share Calculations'!W18</f>
        <v>174</v>
      </c>
      <c r="I16" s="223">
        <f>'SFY 23-24 Q1 Share Calculations'!M18+'SFY 23-24 Q1 Share Calculations'!X18</f>
        <v>2285</v>
      </c>
      <c r="J16" s="21">
        <f t="shared" si="3"/>
        <v>11893</v>
      </c>
      <c r="K16" s="22">
        <f t="shared" si="4"/>
        <v>174</v>
      </c>
      <c r="L16" s="22">
        <f t="shared" si="0"/>
        <v>2866</v>
      </c>
      <c r="M16" s="22">
        <f t="shared" si="1"/>
        <v>14933</v>
      </c>
      <c r="N16" s="98">
        <f t="shared" si="2"/>
        <v>0</v>
      </c>
    </row>
    <row r="17" spans="1:14" x14ac:dyDescent="0.2">
      <c r="A17" s="26" t="s">
        <v>63</v>
      </c>
      <c r="B17" s="20">
        <f>'SFY 23-24 Q1 Share Calculations'!C19</f>
        <v>1</v>
      </c>
      <c r="C17" s="20">
        <f>'SFY 23-24 Q1 Share Calculations'!BA19</f>
        <v>0</v>
      </c>
      <c r="D17" s="21">
        <f>'SFY 23-24 Q1 Share Calculations'!BB19</f>
        <v>0</v>
      </c>
      <c r="E17" s="21">
        <f>'SFY 23-24 Q1 Share Calculations'!BC19</f>
        <v>0</v>
      </c>
      <c r="F17" s="183">
        <f>'SFY 23-24 Q1 Share Calculations'!G19+'SFY 23-24 Q1 Share Calculations'!R19</f>
        <v>31</v>
      </c>
      <c r="G17" s="183">
        <f>'SFY 23-24 Q1 Share Calculations'!K19+'SFY 23-24 Q1 Share Calculations'!V19</f>
        <v>654</v>
      </c>
      <c r="H17" s="183">
        <f>'SFY 23-24 Q1 Share Calculations'!L19+'SFY 23-24 Q1 Share Calculations'!W19</f>
        <v>10</v>
      </c>
      <c r="I17" s="223">
        <f>'SFY 23-24 Q1 Share Calculations'!M19+'SFY 23-24 Q1 Share Calculations'!X19</f>
        <v>126</v>
      </c>
      <c r="J17" s="21">
        <f t="shared" si="3"/>
        <v>655</v>
      </c>
      <c r="K17" s="22">
        <f t="shared" si="4"/>
        <v>10</v>
      </c>
      <c r="L17" s="22">
        <f t="shared" si="0"/>
        <v>157</v>
      </c>
      <c r="M17" s="22">
        <f t="shared" si="1"/>
        <v>822</v>
      </c>
      <c r="N17" s="98">
        <f t="shared" si="2"/>
        <v>0</v>
      </c>
    </row>
    <row r="18" spans="1:14" x14ac:dyDescent="0.2">
      <c r="A18" s="26" t="s">
        <v>64</v>
      </c>
      <c r="B18" s="20">
        <f>'SFY 23-24 Q1 Share Calculations'!C20</f>
        <v>78</v>
      </c>
      <c r="C18" s="20">
        <f>'SFY 23-24 Q1 Share Calculations'!BA20</f>
        <v>0</v>
      </c>
      <c r="D18" s="21">
        <f>'SFY 23-24 Q1 Share Calculations'!BB20</f>
        <v>0</v>
      </c>
      <c r="E18" s="21">
        <f>'SFY 23-24 Q1 Share Calculations'!BC20</f>
        <v>0</v>
      </c>
      <c r="F18" s="183">
        <f>'SFY 23-24 Q1 Share Calculations'!G20+'SFY 23-24 Q1 Share Calculations'!R20</f>
        <v>2592</v>
      </c>
      <c r="G18" s="183">
        <f>'SFY 23-24 Q1 Share Calculations'!K20+'SFY 23-24 Q1 Share Calculations'!V20</f>
        <v>53008</v>
      </c>
      <c r="H18" s="183">
        <f>'SFY 23-24 Q1 Share Calculations'!L20+'SFY 23-24 Q1 Share Calculations'!W20</f>
        <v>776</v>
      </c>
      <c r="I18" s="223">
        <f>'SFY 23-24 Q1 Share Calculations'!M20+'SFY 23-24 Q1 Share Calculations'!X20</f>
        <v>10202</v>
      </c>
      <c r="J18" s="21">
        <f t="shared" si="3"/>
        <v>53086</v>
      </c>
      <c r="K18" s="22">
        <f t="shared" si="4"/>
        <v>776</v>
      </c>
      <c r="L18" s="22">
        <f t="shared" si="0"/>
        <v>12794</v>
      </c>
      <c r="M18" s="22">
        <f t="shared" si="1"/>
        <v>66656</v>
      </c>
      <c r="N18" s="98">
        <f t="shared" si="2"/>
        <v>0</v>
      </c>
    </row>
    <row r="19" spans="1:14" x14ac:dyDescent="0.2">
      <c r="A19" s="26" t="s">
        <v>65</v>
      </c>
      <c r="B19" s="20">
        <f>'SFY 23-24 Q1 Share Calculations'!C21</f>
        <v>12</v>
      </c>
      <c r="C19" s="20">
        <f>'SFY 23-24 Q1 Share Calculations'!BA21</f>
        <v>0</v>
      </c>
      <c r="D19" s="21">
        <f>'SFY 23-24 Q1 Share Calculations'!BB21</f>
        <v>0</v>
      </c>
      <c r="E19" s="21">
        <f>'SFY 23-24 Q1 Share Calculations'!BC21</f>
        <v>0</v>
      </c>
      <c r="F19" s="183">
        <f>'SFY 23-24 Q1 Share Calculations'!G21+'SFY 23-24 Q1 Share Calculations'!R21</f>
        <v>372</v>
      </c>
      <c r="G19" s="183">
        <f>'SFY 23-24 Q1 Share Calculations'!K21+'SFY 23-24 Q1 Share Calculations'!V21</f>
        <v>7666</v>
      </c>
      <c r="H19" s="183">
        <f>'SFY 23-24 Q1 Share Calculations'!L21+'SFY 23-24 Q1 Share Calculations'!W21</f>
        <v>112</v>
      </c>
      <c r="I19" s="223">
        <f>'SFY 23-24 Q1 Share Calculations'!M21+'SFY 23-24 Q1 Share Calculations'!X21</f>
        <v>1476</v>
      </c>
      <c r="J19" s="21">
        <f t="shared" si="3"/>
        <v>7678</v>
      </c>
      <c r="K19" s="22">
        <f t="shared" si="4"/>
        <v>112</v>
      </c>
      <c r="L19" s="22">
        <f t="shared" si="0"/>
        <v>1848</v>
      </c>
      <c r="M19" s="22">
        <f t="shared" si="1"/>
        <v>9638</v>
      </c>
      <c r="N19" s="98">
        <f t="shared" si="2"/>
        <v>0</v>
      </c>
    </row>
    <row r="20" spans="1:14" x14ac:dyDescent="0.2">
      <c r="A20" s="26" t="s">
        <v>66</v>
      </c>
      <c r="B20" s="20">
        <f>'SFY 23-24 Q1 Share Calculations'!C22</f>
        <v>7</v>
      </c>
      <c r="C20" s="20">
        <f>'SFY 23-24 Q1 Share Calculations'!BA22</f>
        <v>0</v>
      </c>
      <c r="D20" s="21">
        <f>'SFY 23-24 Q1 Share Calculations'!BB22</f>
        <v>0</v>
      </c>
      <c r="E20" s="21">
        <f>'SFY 23-24 Q1 Share Calculations'!BC22</f>
        <v>0</v>
      </c>
      <c r="F20" s="183">
        <f>'SFY 23-24 Q1 Share Calculations'!G22+'SFY 23-24 Q1 Share Calculations'!R22</f>
        <v>193</v>
      </c>
      <c r="G20" s="183">
        <f>'SFY 23-24 Q1 Share Calculations'!K22+'SFY 23-24 Q1 Share Calculations'!V22</f>
        <v>4020</v>
      </c>
      <c r="H20" s="183">
        <f>'SFY 23-24 Q1 Share Calculations'!L22+'SFY 23-24 Q1 Share Calculations'!W22</f>
        <v>59</v>
      </c>
      <c r="I20" s="223">
        <f>'SFY 23-24 Q1 Share Calculations'!M22+'SFY 23-24 Q1 Share Calculations'!X22</f>
        <v>773</v>
      </c>
      <c r="J20" s="21">
        <f t="shared" si="3"/>
        <v>4027</v>
      </c>
      <c r="K20" s="22">
        <f t="shared" si="4"/>
        <v>59</v>
      </c>
      <c r="L20" s="22">
        <f t="shared" si="0"/>
        <v>966</v>
      </c>
      <c r="M20" s="22">
        <f t="shared" si="1"/>
        <v>5052</v>
      </c>
      <c r="N20" s="98">
        <f t="shared" si="2"/>
        <v>0</v>
      </c>
    </row>
    <row r="21" spans="1:14" x14ac:dyDescent="0.2">
      <c r="A21" s="26" t="s">
        <v>67</v>
      </c>
      <c r="B21" s="20">
        <f>'SFY 23-24 Q1 Share Calculations'!C23</f>
        <v>2</v>
      </c>
      <c r="C21" s="20">
        <f>'SFY 23-24 Q1 Share Calculations'!BA23</f>
        <v>0</v>
      </c>
      <c r="D21" s="21">
        <f>'SFY 23-24 Q1 Share Calculations'!BB23</f>
        <v>0</v>
      </c>
      <c r="E21" s="21">
        <f>'SFY 23-24 Q1 Share Calculations'!BC23</f>
        <v>0</v>
      </c>
      <c r="F21" s="183">
        <f>'SFY 23-24 Q1 Share Calculations'!G23+'SFY 23-24 Q1 Share Calculations'!R23</f>
        <v>55</v>
      </c>
      <c r="G21" s="183">
        <f>'SFY 23-24 Q1 Share Calculations'!K23+'SFY 23-24 Q1 Share Calculations'!V23</f>
        <v>1028</v>
      </c>
      <c r="H21" s="183">
        <f>'SFY 23-24 Q1 Share Calculations'!L23+'SFY 23-24 Q1 Share Calculations'!W23</f>
        <v>15</v>
      </c>
      <c r="I21" s="223">
        <f>'SFY 23-24 Q1 Share Calculations'!M23+'SFY 23-24 Q1 Share Calculations'!X23</f>
        <v>198</v>
      </c>
      <c r="J21" s="21">
        <f t="shared" si="3"/>
        <v>1030</v>
      </c>
      <c r="K21" s="22">
        <f t="shared" si="4"/>
        <v>15</v>
      </c>
      <c r="L21" s="22">
        <f t="shared" si="0"/>
        <v>253</v>
      </c>
      <c r="M21" s="22">
        <f t="shared" si="1"/>
        <v>1298</v>
      </c>
      <c r="N21" s="98">
        <f t="shared" si="2"/>
        <v>0</v>
      </c>
    </row>
    <row r="22" spans="1:14" x14ac:dyDescent="0.2">
      <c r="A22" s="26" t="s">
        <v>68</v>
      </c>
      <c r="B22" s="20">
        <f>'SFY 23-24 Q1 Share Calculations'!C24</f>
        <v>662</v>
      </c>
      <c r="C22" s="20">
        <f>'SFY 23-24 Q1 Share Calculations'!BA24</f>
        <v>0</v>
      </c>
      <c r="D22" s="21">
        <f>'SFY 23-24 Q1 Share Calculations'!BB24</f>
        <v>0</v>
      </c>
      <c r="E22" s="21">
        <f>'SFY 23-24 Q1 Share Calculations'!BC24</f>
        <v>0</v>
      </c>
      <c r="F22" s="183">
        <f>'SFY 23-24 Q1 Share Calculations'!G24+'SFY 23-24 Q1 Share Calculations'!R24</f>
        <v>23070</v>
      </c>
      <c r="G22" s="183">
        <f>'SFY 23-24 Q1 Share Calculations'!K24+'SFY 23-24 Q1 Share Calculations'!V24</f>
        <v>471834</v>
      </c>
      <c r="H22" s="183">
        <f>'SFY 23-24 Q1 Share Calculations'!L24+'SFY 23-24 Q1 Share Calculations'!W24</f>
        <v>6912</v>
      </c>
      <c r="I22" s="223">
        <f>'SFY 23-24 Q1 Share Calculations'!M24+'SFY 23-24 Q1 Share Calculations'!X24</f>
        <v>90806</v>
      </c>
      <c r="J22" s="21">
        <f t="shared" si="3"/>
        <v>472496</v>
      </c>
      <c r="K22" s="22">
        <f t="shared" si="4"/>
        <v>6912</v>
      </c>
      <c r="L22" s="22">
        <f t="shared" si="0"/>
        <v>113876</v>
      </c>
      <c r="M22" s="22">
        <f t="shared" si="1"/>
        <v>593284</v>
      </c>
      <c r="N22" s="98">
        <f t="shared" si="2"/>
        <v>0</v>
      </c>
    </row>
    <row r="23" spans="1:14" x14ac:dyDescent="0.2">
      <c r="A23" s="26" t="s">
        <v>69</v>
      </c>
      <c r="B23" s="20">
        <f>'SFY 23-24 Q1 Share Calculations'!C25</f>
        <v>14</v>
      </c>
      <c r="C23" s="20">
        <f>'SFY 23-24 Q1 Share Calculations'!BA25</f>
        <v>0</v>
      </c>
      <c r="D23" s="21">
        <f>'SFY 23-24 Q1 Share Calculations'!BB25</f>
        <v>0</v>
      </c>
      <c r="E23" s="21">
        <f>'SFY 23-24 Q1 Share Calculations'!BC25</f>
        <v>0</v>
      </c>
      <c r="F23" s="183">
        <f>'SFY 23-24 Q1 Share Calculations'!G25+'SFY 23-24 Q1 Share Calculations'!R25</f>
        <v>449</v>
      </c>
      <c r="G23" s="183">
        <f>'SFY 23-24 Q1 Share Calculations'!K25+'SFY 23-24 Q1 Share Calculations'!V25</f>
        <v>9162</v>
      </c>
      <c r="H23" s="183">
        <f>'SFY 23-24 Q1 Share Calculations'!L25+'SFY 23-24 Q1 Share Calculations'!W25</f>
        <v>134</v>
      </c>
      <c r="I23" s="223">
        <f>'SFY 23-24 Q1 Share Calculations'!M25+'SFY 23-24 Q1 Share Calculations'!X25</f>
        <v>1763</v>
      </c>
      <c r="J23" s="21">
        <f t="shared" si="3"/>
        <v>9176</v>
      </c>
      <c r="K23" s="22">
        <f t="shared" si="4"/>
        <v>134</v>
      </c>
      <c r="L23" s="22">
        <f t="shared" si="0"/>
        <v>2212</v>
      </c>
      <c r="M23" s="22">
        <f t="shared" si="1"/>
        <v>11522</v>
      </c>
      <c r="N23" s="98">
        <f t="shared" si="2"/>
        <v>0</v>
      </c>
    </row>
    <row r="24" spans="1:14" x14ac:dyDescent="0.2">
      <c r="A24" s="26" t="s">
        <v>70</v>
      </c>
      <c r="B24" s="20">
        <f>'SFY 23-24 Q1 Share Calculations'!C26</f>
        <v>6</v>
      </c>
      <c r="C24" s="20">
        <f>'SFY 23-24 Q1 Share Calculations'!BA26</f>
        <v>0</v>
      </c>
      <c r="D24" s="21">
        <f>'SFY 23-24 Q1 Share Calculations'!BB26</f>
        <v>0</v>
      </c>
      <c r="E24" s="21">
        <f>'SFY 23-24 Q1 Share Calculations'!BC26</f>
        <v>0</v>
      </c>
      <c r="F24" s="183">
        <f>'SFY 23-24 Q1 Share Calculations'!G26+'SFY 23-24 Q1 Share Calculations'!R26</f>
        <v>271</v>
      </c>
      <c r="G24" s="183">
        <f>'SFY 23-24 Q1 Share Calculations'!K26+'SFY 23-24 Q1 Share Calculations'!V26</f>
        <v>5516</v>
      </c>
      <c r="H24" s="183">
        <f>'SFY 23-24 Q1 Share Calculations'!L26+'SFY 23-24 Q1 Share Calculations'!W26</f>
        <v>81</v>
      </c>
      <c r="I24" s="223">
        <f>'SFY 23-24 Q1 Share Calculations'!M26+'SFY 23-24 Q1 Share Calculations'!X26</f>
        <v>1061</v>
      </c>
      <c r="J24" s="21">
        <f t="shared" si="3"/>
        <v>5522</v>
      </c>
      <c r="K24" s="22">
        <f t="shared" si="4"/>
        <v>81</v>
      </c>
      <c r="L24" s="22">
        <f t="shared" si="0"/>
        <v>1332</v>
      </c>
      <c r="M24" s="22">
        <f t="shared" si="1"/>
        <v>6935</v>
      </c>
      <c r="N24" s="98">
        <f t="shared" si="2"/>
        <v>0</v>
      </c>
    </row>
    <row r="25" spans="1:14" x14ac:dyDescent="0.2">
      <c r="A25" s="26" t="s">
        <v>71</v>
      </c>
      <c r="B25" s="20">
        <f>'SFY 23-24 Q1 Share Calculations'!C27</f>
        <v>1</v>
      </c>
      <c r="C25" s="20">
        <f>'SFY 23-24 Q1 Share Calculations'!BA27</f>
        <v>0</v>
      </c>
      <c r="D25" s="21">
        <f>'SFY 23-24 Q1 Share Calculations'!BB27</f>
        <v>0</v>
      </c>
      <c r="E25" s="21">
        <f>'SFY 23-24 Q1 Share Calculations'!BC27</f>
        <v>0</v>
      </c>
      <c r="F25" s="183">
        <f>'SFY 23-24 Q1 Share Calculations'!G27+'SFY 23-24 Q1 Share Calculations'!R27</f>
        <v>31</v>
      </c>
      <c r="G25" s="183">
        <f>'SFY 23-24 Q1 Share Calculations'!K27+'SFY 23-24 Q1 Share Calculations'!V27</f>
        <v>748</v>
      </c>
      <c r="H25" s="183">
        <f>'SFY 23-24 Q1 Share Calculations'!L27+'SFY 23-24 Q1 Share Calculations'!W27</f>
        <v>11</v>
      </c>
      <c r="I25" s="223">
        <f>'SFY 23-24 Q1 Share Calculations'!M27+'SFY 23-24 Q1 Share Calculations'!X27</f>
        <v>144</v>
      </c>
      <c r="J25" s="21">
        <f t="shared" si="3"/>
        <v>749</v>
      </c>
      <c r="K25" s="22">
        <f t="shared" si="4"/>
        <v>11</v>
      </c>
      <c r="L25" s="22">
        <f t="shared" si="0"/>
        <v>175</v>
      </c>
      <c r="M25" s="22">
        <f t="shared" si="1"/>
        <v>935</v>
      </c>
      <c r="N25" s="98">
        <f t="shared" si="2"/>
        <v>0</v>
      </c>
    </row>
    <row r="26" spans="1:14" x14ac:dyDescent="0.2">
      <c r="A26" s="26" t="s">
        <v>72</v>
      </c>
      <c r="B26" s="20">
        <f>'SFY 23-24 Q1 Share Calculations'!C28</f>
        <v>7</v>
      </c>
      <c r="C26" s="20">
        <f>'SFY 23-24 Q1 Share Calculations'!BA28</f>
        <v>0</v>
      </c>
      <c r="D26" s="21">
        <f>'SFY 23-24 Q1 Share Calculations'!BB28</f>
        <v>0</v>
      </c>
      <c r="E26" s="21">
        <f>'SFY 23-24 Q1 Share Calculations'!BC28</f>
        <v>0</v>
      </c>
      <c r="F26" s="183">
        <f>'SFY 23-24 Q1 Share Calculations'!G28+'SFY 23-24 Q1 Share Calculations'!R28</f>
        <v>224</v>
      </c>
      <c r="G26" s="183">
        <f>'SFY 23-24 Q1 Share Calculations'!K28+'SFY 23-24 Q1 Share Calculations'!V28</f>
        <v>4581</v>
      </c>
      <c r="H26" s="183">
        <f>'SFY 23-24 Q1 Share Calculations'!L28+'SFY 23-24 Q1 Share Calculations'!W28</f>
        <v>67</v>
      </c>
      <c r="I26" s="223">
        <f>'SFY 23-24 Q1 Share Calculations'!M28+'SFY 23-24 Q1 Share Calculations'!X28</f>
        <v>881</v>
      </c>
      <c r="J26" s="21">
        <f t="shared" si="3"/>
        <v>4588</v>
      </c>
      <c r="K26" s="22">
        <f t="shared" si="4"/>
        <v>67</v>
      </c>
      <c r="L26" s="22">
        <f t="shared" si="0"/>
        <v>1105</v>
      </c>
      <c r="M26" s="22">
        <f t="shared" si="1"/>
        <v>5760</v>
      </c>
      <c r="N26" s="98">
        <f t="shared" si="2"/>
        <v>0</v>
      </c>
    </row>
    <row r="27" spans="1:14" x14ac:dyDescent="0.2">
      <c r="A27" s="26" t="s">
        <v>73</v>
      </c>
      <c r="B27" s="20">
        <f>'SFY 23-24 Q1 Share Calculations'!C29</f>
        <v>26</v>
      </c>
      <c r="C27" s="20">
        <f>'SFY 23-24 Q1 Share Calculations'!BA29</f>
        <v>0</v>
      </c>
      <c r="D27" s="21">
        <f>'SFY 23-24 Q1 Share Calculations'!BB29</f>
        <v>0</v>
      </c>
      <c r="E27" s="21">
        <f>'SFY 23-24 Q1 Share Calculations'!BC29</f>
        <v>0</v>
      </c>
      <c r="F27" s="183">
        <f>'SFY 23-24 Q1 Share Calculations'!G29+'SFY 23-24 Q1 Share Calculations'!R29</f>
        <v>827</v>
      </c>
      <c r="G27" s="183">
        <f>'SFY 23-24 Q1 Share Calculations'!K29+'SFY 23-24 Q1 Share Calculations'!V29</f>
        <v>16921</v>
      </c>
      <c r="H27" s="183">
        <f>'SFY 23-24 Q1 Share Calculations'!L29+'SFY 23-24 Q1 Share Calculations'!W29</f>
        <v>248</v>
      </c>
      <c r="I27" s="223">
        <f>'SFY 23-24 Q1 Share Calculations'!M29+'SFY 23-24 Q1 Share Calculations'!X29</f>
        <v>3257</v>
      </c>
      <c r="J27" s="21">
        <f t="shared" si="3"/>
        <v>16947</v>
      </c>
      <c r="K27" s="22">
        <f t="shared" si="4"/>
        <v>248</v>
      </c>
      <c r="L27" s="22">
        <f t="shared" si="0"/>
        <v>4084</v>
      </c>
      <c r="M27" s="22">
        <f t="shared" si="1"/>
        <v>21279</v>
      </c>
      <c r="N27" s="98">
        <f t="shared" si="2"/>
        <v>0</v>
      </c>
    </row>
    <row r="28" spans="1:14" x14ac:dyDescent="0.2">
      <c r="A28" s="26" t="s">
        <v>74</v>
      </c>
      <c r="B28" s="20">
        <f>'SFY 23-24 Q1 Share Calculations'!C30</f>
        <v>1</v>
      </c>
      <c r="C28" s="20">
        <f>'SFY 23-24 Q1 Share Calculations'!BA30</f>
        <v>0</v>
      </c>
      <c r="D28" s="21">
        <f>'SFY 23-24 Q1 Share Calculations'!BB30</f>
        <v>0</v>
      </c>
      <c r="E28" s="21">
        <f>'SFY 23-24 Q1 Share Calculations'!BC30</f>
        <v>0</v>
      </c>
      <c r="F28" s="183">
        <f>'SFY 23-24 Q1 Share Calculations'!G30+'SFY 23-24 Q1 Share Calculations'!R30</f>
        <v>23</v>
      </c>
      <c r="G28" s="183">
        <f>'SFY 23-24 Q1 Share Calculations'!K30+'SFY 23-24 Q1 Share Calculations'!V30</f>
        <v>467</v>
      </c>
      <c r="H28" s="183">
        <f>'SFY 23-24 Q1 Share Calculations'!L30+'SFY 23-24 Q1 Share Calculations'!W30</f>
        <v>7</v>
      </c>
      <c r="I28" s="223">
        <f>'SFY 23-24 Q1 Share Calculations'!M30+'SFY 23-24 Q1 Share Calculations'!X30</f>
        <v>90</v>
      </c>
      <c r="J28" s="21">
        <f t="shared" si="3"/>
        <v>468</v>
      </c>
      <c r="K28" s="22">
        <f t="shared" si="4"/>
        <v>7</v>
      </c>
      <c r="L28" s="22">
        <f t="shared" si="0"/>
        <v>113</v>
      </c>
      <c r="M28" s="22">
        <f t="shared" si="1"/>
        <v>588</v>
      </c>
      <c r="N28" s="98">
        <f t="shared" si="2"/>
        <v>0</v>
      </c>
    </row>
    <row r="29" spans="1:14" x14ac:dyDescent="0.2">
      <c r="A29" s="26" t="s">
        <v>75</v>
      </c>
      <c r="B29" s="20">
        <f>'SFY 23-24 Q1 Share Calculations'!C31</f>
        <v>0</v>
      </c>
      <c r="C29" s="20">
        <f>'SFY 23-24 Q1 Share Calculations'!BA31</f>
        <v>0</v>
      </c>
      <c r="D29" s="21">
        <f>'SFY 23-24 Q1 Share Calculations'!BB31</f>
        <v>0</v>
      </c>
      <c r="E29" s="21">
        <f>'SFY 23-24 Q1 Share Calculations'!BC31</f>
        <v>0</v>
      </c>
      <c r="F29" s="183">
        <f>'SFY 23-24 Q1 Share Calculations'!G31+'SFY 23-24 Q1 Share Calculations'!R31</f>
        <v>16</v>
      </c>
      <c r="G29" s="183">
        <f>'SFY 23-24 Q1 Share Calculations'!K31+'SFY 23-24 Q1 Share Calculations'!V31</f>
        <v>374</v>
      </c>
      <c r="H29" s="183">
        <f>'SFY 23-24 Q1 Share Calculations'!L31+'SFY 23-24 Q1 Share Calculations'!W31</f>
        <v>5</v>
      </c>
      <c r="I29" s="223">
        <f>'SFY 23-24 Q1 Share Calculations'!M31+'SFY 23-24 Q1 Share Calculations'!X31</f>
        <v>72</v>
      </c>
      <c r="J29" s="21">
        <f t="shared" si="3"/>
        <v>374</v>
      </c>
      <c r="K29" s="22">
        <f t="shared" si="4"/>
        <v>5</v>
      </c>
      <c r="L29" s="22">
        <f t="shared" si="0"/>
        <v>88</v>
      </c>
      <c r="M29" s="22">
        <f t="shared" si="1"/>
        <v>467</v>
      </c>
      <c r="N29" s="98">
        <f t="shared" si="2"/>
        <v>0</v>
      </c>
    </row>
    <row r="30" spans="1:14" x14ac:dyDescent="0.2">
      <c r="A30" s="26" t="s">
        <v>76</v>
      </c>
      <c r="B30" s="20">
        <f>'SFY 23-24 Q1 Share Calculations'!C32</f>
        <v>20</v>
      </c>
      <c r="C30" s="20">
        <f>'SFY 23-24 Q1 Share Calculations'!BA32</f>
        <v>0</v>
      </c>
      <c r="D30" s="21">
        <f>'SFY 23-24 Q1 Share Calculations'!BB32</f>
        <v>0</v>
      </c>
      <c r="E30" s="21">
        <f>'SFY 23-24 Q1 Share Calculations'!BC32</f>
        <v>0</v>
      </c>
      <c r="F30" s="183">
        <f>'SFY 23-24 Q1 Share Calculations'!G32+'SFY 23-24 Q1 Share Calculations'!R32</f>
        <v>1014</v>
      </c>
      <c r="G30" s="183">
        <f>'SFY 23-24 Q1 Share Calculations'!K32+'SFY 23-24 Q1 Share Calculations'!V32</f>
        <v>20755</v>
      </c>
      <c r="H30" s="183">
        <f>'SFY 23-24 Q1 Share Calculations'!L32+'SFY 23-24 Q1 Share Calculations'!W32</f>
        <v>304</v>
      </c>
      <c r="I30" s="223">
        <f>'SFY 23-24 Q1 Share Calculations'!M32+'SFY 23-24 Q1 Share Calculations'!X32</f>
        <v>3994</v>
      </c>
      <c r="J30" s="21">
        <f t="shared" si="3"/>
        <v>20775</v>
      </c>
      <c r="K30" s="22">
        <f t="shared" si="4"/>
        <v>304</v>
      </c>
      <c r="L30" s="22">
        <f t="shared" si="0"/>
        <v>5008</v>
      </c>
      <c r="M30" s="22">
        <f t="shared" si="1"/>
        <v>26087</v>
      </c>
      <c r="N30" s="98">
        <f t="shared" si="2"/>
        <v>0</v>
      </c>
    </row>
    <row r="31" spans="1:14" x14ac:dyDescent="0.2">
      <c r="A31" s="26" t="s">
        <v>77</v>
      </c>
      <c r="B31" s="20">
        <f>'SFY 23-24 Q1 Share Calculations'!C33</f>
        <v>4</v>
      </c>
      <c r="C31" s="20">
        <f>'SFY 23-24 Q1 Share Calculations'!BA33</f>
        <v>0</v>
      </c>
      <c r="D31" s="21">
        <f>'SFY 23-24 Q1 Share Calculations'!BB33</f>
        <v>0</v>
      </c>
      <c r="E31" s="21">
        <f>'SFY 23-24 Q1 Share Calculations'!BC33</f>
        <v>0</v>
      </c>
      <c r="F31" s="183">
        <f>'SFY 23-24 Q1 Share Calculations'!G33+'SFY 23-24 Q1 Share Calculations'!R33</f>
        <v>170</v>
      </c>
      <c r="G31" s="183">
        <f>'SFY 23-24 Q1 Share Calculations'!K33+'SFY 23-24 Q1 Share Calculations'!V33</f>
        <v>3553</v>
      </c>
      <c r="H31" s="183">
        <f>'SFY 23-24 Q1 Share Calculations'!L33+'SFY 23-24 Q1 Share Calculations'!W33</f>
        <v>52</v>
      </c>
      <c r="I31" s="223">
        <f>'SFY 23-24 Q1 Share Calculations'!M33+'SFY 23-24 Q1 Share Calculations'!X33</f>
        <v>683</v>
      </c>
      <c r="J31" s="21">
        <f t="shared" si="3"/>
        <v>3557</v>
      </c>
      <c r="K31" s="22">
        <f t="shared" si="4"/>
        <v>52</v>
      </c>
      <c r="L31" s="22">
        <f t="shared" si="0"/>
        <v>853</v>
      </c>
      <c r="M31" s="22">
        <f t="shared" si="1"/>
        <v>4462</v>
      </c>
      <c r="N31" s="98">
        <f t="shared" si="2"/>
        <v>0</v>
      </c>
    </row>
    <row r="32" spans="1:14" x14ac:dyDescent="0.2">
      <c r="A32" s="26" t="s">
        <v>78</v>
      </c>
      <c r="B32" s="20">
        <f>'SFY 23-24 Q1 Share Calculations'!C34</f>
        <v>4</v>
      </c>
      <c r="C32" s="20">
        <f>'SFY 23-24 Q1 Share Calculations'!BA34</f>
        <v>0</v>
      </c>
      <c r="D32" s="21">
        <f>'SFY 23-24 Q1 Share Calculations'!BB34</f>
        <v>0</v>
      </c>
      <c r="E32" s="21">
        <f>'SFY 23-24 Q1 Share Calculations'!BC34</f>
        <v>0</v>
      </c>
      <c r="F32" s="183">
        <f>'SFY 23-24 Q1 Share Calculations'!G34+'SFY 23-24 Q1 Share Calculations'!R34</f>
        <v>147</v>
      </c>
      <c r="G32" s="183">
        <f>'SFY 23-24 Q1 Share Calculations'!K34+'SFY 23-24 Q1 Share Calculations'!V34</f>
        <v>2898</v>
      </c>
      <c r="H32" s="183">
        <f>'SFY 23-24 Q1 Share Calculations'!L34+'SFY 23-24 Q1 Share Calculations'!W34</f>
        <v>42</v>
      </c>
      <c r="I32" s="223">
        <f>'SFY 23-24 Q1 Share Calculations'!M34+'SFY 23-24 Q1 Share Calculations'!X34</f>
        <v>557</v>
      </c>
      <c r="J32" s="21">
        <f t="shared" si="3"/>
        <v>2902</v>
      </c>
      <c r="K32" s="22">
        <f t="shared" si="4"/>
        <v>42</v>
      </c>
      <c r="L32" s="22">
        <f t="shared" si="0"/>
        <v>704</v>
      </c>
      <c r="M32" s="22">
        <f t="shared" si="1"/>
        <v>3648</v>
      </c>
      <c r="N32" s="98">
        <f t="shared" si="2"/>
        <v>0</v>
      </c>
    </row>
    <row r="33" spans="1:14" x14ac:dyDescent="0.2">
      <c r="A33" s="26" t="s">
        <v>79</v>
      </c>
      <c r="B33" s="20">
        <f>'SFY 23-24 Q1 Share Calculations'!C35</f>
        <v>0</v>
      </c>
      <c r="C33" s="20">
        <f>'SFY 23-24 Q1 Share Calculations'!BA35</f>
        <v>53152</v>
      </c>
      <c r="D33" s="21">
        <f>'SFY 23-24 Q1 Share Calculations'!BB35</f>
        <v>538</v>
      </c>
      <c r="E33" s="21">
        <f>'SFY 23-24 Q1 Share Calculations'!BC35</f>
        <v>5222</v>
      </c>
      <c r="F33" s="183">
        <f>'SFY 23-24 Q1 Share Calculations'!G35+'SFY 23-24 Q1 Share Calculations'!R35</f>
        <v>4968</v>
      </c>
      <c r="G33" s="183">
        <f>'SFY 23-24 Q1 Share Calculations'!K35+'SFY 23-24 Q1 Share Calculations'!V35</f>
        <v>0</v>
      </c>
      <c r="H33" s="183">
        <f>'SFY 23-24 Q1 Share Calculations'!L35+'SFY 23-24 Q1 Share Calculations'!W35</f>
        <v>0</v>
      </c>
      <c r="I33" s="223">
        <f>'SFY 23-24 Q1 Share Calculations'!M35+'SFY 23-24 Q1 Share Calculations'!X35</f>
        <v>0</v>
      </c>
      <c r="J33" s="21">
        <f t="shared" si="3"/>
        <v>53152</v>
      </c>
      <c r="K33" s="22">
        <f t="shared" si="4"/>
        <v>538</v>
      </c>
      <c r="L33" s="22">
        <f t="shared" si="0"/>
        <v>10190</v>
      </c>
      <c r="M33" s="22">
        <f t="shared" si="1"/>
        <v>63880</v>
      </c>
      <c r="N33" s="98">
        <f t="shared" si="2"/>
        <v>0</v>
      </c>
    </row>
    <row r="34" spans="1:14" x14ac:dyDescent="0.2">
      <c r="A34" s="26" t="s">
        <v>80</v>
      </c>
      <c r="B34" s="20">
        <f>'SFY 23-24 Q1 Share Calculations'!C36</f>
        <v>0</v>
      </c>
      <c r="C34" s="20">
        <f>'SFY 23-24 Q1 Share Calculations'!BA36</f>
        <v>2933</v>
      </c>
      <c r="D34" s="21">
        <f>'SFY 23-24 Q1 Share Calculations'!BB36</f>
        <v>30</v>
      </c>
      <c r="E34" s="21">
        <f>'SFY 23-24 Q1 Share Calculations'!BC36</f>
        <v>288</v>
      </c>
      <c r="F34" s="183">
        <f>'SFY 23-24 Q1 Share Calculations'!G36+'SFY 23-24 Q1 Share Calculations'!R36</f>
        <v>356</v>
      </c>
      <c r="G34" s="183">
        <f>'SFY 23-24 Q1 Share Calculations'!K36+'SFY 23-24 Q1 Share Calculations'!V36</f>
        <v>0</v>
      </c>
      <c r="H34" s="183">
        <f>'SFY 23-24 Q1 Share Calculations'!L36+'SFY 23-24 Q1 Share Calculations'!W36</f>
        <v>0</v>
      </c>
      <c r="I34" s="223">
        <f>'SFY 23-24 Q1 Share Calculations'!M36+'SFY 23-24 Q1 Share Calculations'!X36</f>
        <v>0</v>
      </c>
      <c r="J34" s="21">
        <f t="shared" si="3"/>
        <v>2933</v>
      </c>
      <c r="K34" s="22">
        <f t="shared" si="4"/>
        <v>30</v>
      </c>
      <c r="L34" s="22">
        <f t="shared" si="0"/>
        <v>644</v>
      </c>
      <c r="M34" s="22">
        <f t="shared" si="1"/>
        <v>3607</v>
      </c>
      <c r="N34" s="98">
        <f t="shared" si="2"/>
        <v>0</v>
      </c>
    </row>
    <row r="35" spans="1:14" x14ac:dyDescent="0.2">
      <c r="A35" s="26" t="s">
        <v>81</v>
      </c>
      <c r="B35" s="20">
        <f>'SFY 23-24 Q1 Share Calculations'!C37</f>
        <v>1</v>
      </c>
      <c r="C35" s="20">
        <f>'SFY 23-24 Q1 Share Calculations'!BA37</f>
        <v>0</v>
      </c>
      <c r="D35" s="21">
        <f>'SFY 23-24 Q1 Share Calculations'!BB37</f>
        <v>0</v>
      </c>
      <c r="E35" s="21">
        <f>'SFY 23-24 Q1 Share Calculations'!BC37</f>
        <v>0</v>
      </c>
      <c r="F35" s="183">
        <f>'SFY 23-24 Q1 Share Calculations'!G37+'SFY 23-24 Q1 Share Calculations'!R37</f>
        <v>39</v>
      </c>
      <c r="G35" s="183">
        <f>'SFY 23-24 Q1 Share Calculations'!K37+'SFY 23-24 Q1 Share Calculations'!V37</f>
        <v>748</v>
      </c>
      <c r="H35" s="183">
        <f>'SFY 23-24 Q1 Share Calculations'!L37+'SFY 23-24 Q1 Share Calculations'!W37</f>
        <v>11</v>
      </c>
      <c r="I35" s="223">
        <f>'SFY 23-24 Q1 Share Calculations'!M37+'SFY 23-24 Q1 Share Calculations'!X37</f>
        <v>144</v>
      </c>
      <c r="J35" s="21">
        <f t="shared" si="3"/>
        <v>749</v>
      </c>
      <c r="K35" s="22">
        <f t="shared" si="4"/>
        <v>11</v>
      </c>
      <c r="L35" s="22">
        <f t="shared" si="0"/>
        <v>183</v>
      </c>
      <c r="M35" s="22">
        <f t="shared" si="1"/>
        <v>943</v>
      </c>
      <c r="N35" s="98">
        <f t="shared" si="2"/>
        <v>0</v>
      </c>
    </row>
    <row r="36" spans="1:14" x14ac:dyDescent="0.2">
      <c r="A36" s="26" t="s">
        <v>82</v>
      </c>
      <c r="B36" s="20">
        <f>'SFY 23-24 Q1 Share Calculations'!C38</f>
        <v>124</v>
      </c>
      <c r="C36" s="20">
        <f>'SFY 23-24 Q1 Share Calculations'!BA38</f>
        <v>0</v>
      </c>
      <c r="D36" s="21">
        <f>'SFY 23-24 Q1 Share Calculations'!BB38</f>
        <v>0</v>
      </c>
      <c r="E36" s="21">
        <f>'SFY 23-24 Q1 Share Calculations'!BC38</f>
        <v>0</v>
      </c>
      <c r="F36" s="183">
        <f>'SFY 23-24 Q1 Share Calculations'!G38+'SFY 23-24 Q1 Share Calculations'!R38</f>
        <v>4868</v>
      </c>
      <c r="G36" s="183">
        <f>'SFY 23-24 Q1 Share Calculations'!K38+'SFY 23-24 Q1 Share Calculations'!V38</f>
        <v>99565</v>
      </c>
      <c r="H36" s="183">
        <f>'SFY 23-24 Q1 Share Calculations'!L38+'SFY 23-24 Q1 Share Calculations'!W38</f>
        <v>1458</v>
      </c>
      <c r="I36" s="223">
        <f>'SFY 23-24 Q1 Share Calculations'!M38+'SFY 23-24 Q1 Share Calculations'!X38</f>
        <v>19161</v>
      </c>
      <c r="J36" s="21">
        <f t="shared" si="3"/>
        <v>99689</v>
      </c>
      <c r="K36" s="22">
        <f t="shared" si="4"/>
        <v>1458</v>
      </c>
      <c r="L36" s="22">
        <f t="shared" ref="L36:L61" si="5">E36+F36+I36</f>
        <v>24029</v>
      </c>
      <c r="M36" s="22">
        <f t="shared" ref="M36:M61" si="6">SUM(J36:L36)</f>
        <v>125176</v>
      </c>
      <c r="N36" s="98">
        <f t="shared" ref="N36:N61" si="7">SUM(B36:I36)-SUM(J36:L36)</f>
        <v>0</v>
      </c>
    </row>
    <row r="37" spans="1:14" x14ac:dyDescent="0.2">
      <c r="A37" s="26" t="s">
        <v>83</v>
      </c>
      <c r="B37" s="20">
        <f>'SFY 23-24 Q1 Share Calculations'!C39</f>
        <v>0</v>
      </c>
      <c r="C37" s="20">
        <f>'SFY 23-24 Q1 Share Calculations'!BA39</f>
        <v>76080</v>
      </c>
      <c r="D37" s="21">
        <f>'SFY 23-24 Q1 Share Calculations'!BB39</f>
        <v>796</v>
      </c>
      <c r="E37" s="21">
        <f>'SFY 23-24 Q1 Share Calculations'!BC39</f>
        <v>7434</v>
      </c>
      <c r="F37" s="183">
        <f>'SFY 23-24 Q1 Share Calculations'!G39+'SFY 23-24 Q1 Share Calculations'!R39</f>
        <v>3412</v>
      </c>
      <c r="G37" s="183">
        <f>'SFY 23-24 Q1 Share Calculations'!K39+'SFY 23-24 Q1 Share Calculations'!V39</f>
        <v>0</v>
      </c>
      <c r="H37" s="183">
        <f>'SFY 23-24 Q1 Share Calculations'!L39+'SFY 23-24 Q1 Share Calculations'!W39</f>
        <v>0</v>
      </c>
      <c r="I37" s="223">
        <f>'SFY 23-24 Q1 Share Calculations'!M39+'SFY 23-24 Q1 Share Calculations'!X39</f>
        <v>0</v>
      </c>
      <c r="J37" s="21">
        <f t="shared" si="3"/>
        <v>76080</v>
      </c>
      <c r="K37" s="22">
        <f t="shared" si="4"/>
        <v>796</v>
      </c>
      <c r="L37" s="22">
        <f t="shared" si="5"/>
        <v>10846</v>
      </c>
      <c r="M37" s="22">
        <f t="shared" si="6"/>
        <v>87722</v>
      </c>
      <c r="N37" s="98">
        <f t="shared" si="7"/>
        <v>0</v>
      </c>
    </row>
    <row r="38" spans="1:14" x14ac:dyDescent="0.2">
      <c r="A38" s="26" t="s">
        <v>84</v>
      </c>
      <c r="B38" s="20">
        <f>'SFY 23-24 Q1 Share Calculations'!C40</f>
        <v>3</v>
      </c>
      <c r="C38" s="20">
        <f>'SFY 23-24 Q1 Share Calculations'!BA40</f>
        <v>0</v>
      </c>
      <c r="D38" s="21">
        <f>'SFY 23-24 Q1 Share Calculations'!BB40</f>
        <v>0</v>
      </c>
      <c r="E38" s="21">
        <f>'SFY 23-24 Q1 Share Calculations'!BC40</f>
        <v>0</v>
      </c>
      <c r="F38" s="183">
        <f>'SFY 23-24 Q1 Share Calculations'!G40+'SFY 23-24 Q1 Share Calculations'!R40</f>
        <v>101</v>
      </c>
      <c r="G38" s="183">
        <f>'SFY 23-24 Q1 Share Calculations'!K40+'SFY 23-24 Q1 Share Calculations'!V40</f>
        <v>2150</v>
      </c>
      <c r="H38" s="183">
        <f>'SFY 23-24 Q1 Share Calculations'!L40+'SFY 23-24 Q1 Share Calculations'!W40</f>
        <v>32</v>
      </c>
      <c r="I38" s="223">
        <f>'SFY 23-24 Q1 Share Calculations'!M40+'SFY 23-24 Q1 Share Calculations'!X40</f>
        <v>414</v>
      </c>
      <c r="J38" s="21">
        <f t="shared" si="3"/>
        <v>2153</v>
      </c>
      <c r="K38" s="22">
        <f t="shared" si="4"/>
        <v>32</v>
      </c>
      <c r="L38" s="22">
        <f t="shared" si="5"/>
        <v>515</v>
      </c>
      <c r="M38" s="22">
        <f t="shared" si="6"/>
        <v>2700</v>
      </c>
      <c r="N38" s="98">
        <f t="shared" si="7"/>
        <v>0</v>
      </c>
    </row>
    <row r="39" spans="1:14" x14ac:dyDescent="0.2">
      <c r="A39" s="26" t="s">
        <v>85</v>
      </c>
      <c r="B39" s="20">
        <f>'SFY 23-24 Q1 Share Calculations'!C41</f>
        <v>149</v>
      </c>
      <c r="C39" s="20">
        <f>'SFY 23-24 Q1 Share Calculations'!BA41</f>
        <v>0</v>
      </c>
      <c r="D39" s="21">
        <f>'SFY 23-24 Q1 Share Calculations'!BB41</f>
        <v>0</v>
      </c>
      <c r="E39" s="21">
        <f>'SFY 23-24 Q1 Share Calculations'!BC41</f>
        <v>0</v>
      </c>
      <c r="F39" s="183">
        <f>'SFY 23-24 Q1 Share Calculations'!G41+'SFY 23-24 Q1 Share Calculations'!R41</f>
        <v>5077</v>
      </c>
      <c r="G39" s="183">
        <f>'SFY 23-24 Q1 Share Calculations'!K41+'SFY 23-24 Q1 Share Calculations'!V41</f>
        <v>103772</v>
      </c>
      <c r="H39" s="183">
        <f>'SFY 23-24 Q1 Share Calculations'!L41+'SFY 23-24 Q1 Share Calculations'!W41</f>
        <v>1520</v>
      </c>
      <c r="I39" s="223">
        <f>'SFY 23-24 Q1 Share Calculations'!M41+'SFY 23-24 Q1 Share Calculations'!X41</f>
        <v>19971</v>
      </c>
      <c r="J39" s="21">
        <f t="shared" si="3"/>
        <v>103921</v>
      </c>
      <c r="K39" s="22">
        <f t="shared" si="4"/>
        <v>1520</v>
      </c>
      <c r="L39" s="22">
        <f t="shared" si="5"/>
        <v>25048</v>
      </c>
      <c r="M39" s="22">
        <f t="shared" si="6"/>
        <v>130489</v>
      </c>
      <c r="N39" s="98">
        <f t="shared" si="7"/>
        <v>0</v>
      </c>
    </row>
    <row r="40" spans="1:14" x14ac:dyDescent="0.2">
      <c r="A40" s="26" t="s">
        <v>86</v>
      </c>
      <c r="B40" s="20">
        <f>'SFY 23-24 Q1 Share Calculations'!C42</f>
        <v>0</v>
      </c>
      <c r="C40" s="20">
        <f>'SFY 23-24 Q1 Share Calculations'!BA42</f>
        <v>56474</v>
      </c>
      <c r="D40" s="21">
        <f>'SFY 23-24 Q1 Share Calculations'!BB42</f>
        <v>571</v>
      </c>
      <c r="E40" s="21">
        <f>'SFY 23-24 Q1 Share Calculations'!BC42</f>
        <v>5548</v>
      </c>
      <c r="F40" s="183">
        <f>'SFY 23-24 Q1 Share Calculations'!G42+'SFY 23-24 Q1 Share Calculations'!R42</f>
        <v>5402</v>
      </c>
      <c r="G40" s="183">
        <f>'SFY 23-24 Q1 Share Calculations'!K42+'SFY 23-24 Q1 Share Calculations'!V42</f>
        <v>0</v>
      </c>
      <c r="H40" s="183">
        <f>'SFY 23-24 Q1 Share Calculations'!L42+'SFY 23-24 Q1 Share Calculations'!W42</f>
        <v>0</v>
      </c>
      <c r="I40" s="223">
        <f>'SFY 23-24 Q1 Share Calculations'!M42+'SFY 23-24 Q1 Share Calculations'!X42</f>
        <v>0</v>
      </c>
      <c r="J40" s="21">
        <f t="shared" si="3"/>
        <v>56474</v>
      </c>
      <c r="K40" s="22">
        <f t="shared" si="4"/>
        <v>571</v>
      </c>
      <c r="L40" s="22">
        <f t="shared" si="5"/>
        <v>10950</v>
      </c>
      <c r="M40" s="22">
        <f t="shared" si="6"/>
        <v>67995</v>
      </c>
      <c r="N40" s="98">
        <f t="shared" si="7"/>
        <v>0</v>
      </c>
    </row>
    <row r="41" spans="1:14" x14ac:dyDescent="0.2">
      <c r="A41" s="26" t="s">
        <v>87</v>
      </c>
      <c r="B41" s="20">
        <f>'SFY 23-24 Q1 Share Calculations'!C43</f>
        <v>0</v>
      </c>
      <c r="C41" s="20">
        <f>'SFY 23-24 Q1 Share Calculations'!BA43</f>
        <v>45388</v>
      </c>
      <c r="D41" s="21">
        <f>'SFY 23-24 Q1 Share Calculations'!BB43</f>
        <v>479</v>
      </c>
      <c r="E41" s="21">
        <f>'SFY 23-24 Q1 Share Calculations'!BC43</f>
        <v>4428</v>
      </c>
      <c r="F41" s="183">
        <f>'SFY 23-24 Q1 Share Calculations'!G43+'SFY 23-24 Q1 Share Calculations'!R43</f>
        <v>1316</v>
      </c>
      <c r="G41" s="183">
        <f>'SFY 23-24 Q1 Share Calculations'!K43+'SFY 23-24 Q1 Share Calculations'!V43</f>
        <v>0</v>
      </c>
      <c r="H41" s="183">
        <f>'SFY 23-24 Q1 Share Calculations'!L43+'SFY 23-24 Q1 Share Calculations'!W43</f>
        <v>0</v>
      </c>
      <c r="I41" s="223">
        <f>'SFY 23-24 Q1 Share Calculations'!M43+'SFY 23-24 Q1 Share Calculations'!X43</f>
        <v>0</v>
      </c>
      <c r="J41" s="21">
        <f t="shared" si="3"/>
        <v>45388</v>
      </c>
      <c r="K41" s="22">
        <f t="shared" si="4"/>
        <v>479</v>
      </c>
      <c r="L41" s="22">
        <f t="shared" si="5"/>
        <v>5744</v>
      </c>
      <c r="M41" s="22">
        <f t="shared" si="6"/>
        <v>51611</v>
      </c>
      <c r="N41" s="98">
        <f t="shared" si="7"/>
        <v>0</v>
      </c>
    </row>
    <row r="42" spans="1:14" x14ac:dyDescent="0.2">
      <c r="A42" s="26" t="s">
        <v>88</v>
      </c>
      <c r="B42" s="20">
        <f>'SFY 23-24 Q1 Share Calculations'!C44</f>
        <v>49</v>
      </c>
      <c r="C42" s="20">
        <f>'SFY 23-24 Q1 Share Calculations'!BA44</f>
        <v>0</v>
      </c>
      <c r="D42" s="21">
        <f>'SFY 23-24 Q1 Share Calculations'!BB44</f>
        <v>0</v>
      </c>
      <c r="E42" s="21">
        <f>'SFY 23-24 Q1 Share Calculations'!BC44</f>
        <v>0</v>
      </c>
      <c r="F42" s="183">
        <f>'SFY 23-24 Q1 Share Calculations'!G44+'SFY 23-24 Q1 Share Calculations'!R44</f>
        <v>1694</v>
      </c>
      <c r="G42" s="183">
        <f>'SFY 23-24 Q1 Share Calculations'!K44+'SFY 23-24 Q1 Share Calculations'!V44</f>
        <v>34684</v>
      </c>
      <c r="H42" s="183">
        <f>'SFY 23-24 Q1 Share Calculations'!L44+'SFY 23-24 Q1 Share Calculations'!W44</f>
        <v>508</v>
      </c>
      <c r="I42" s="223">
        <f>'SFY 23-24 Q1 Share Calculations'!M44+'SFY 23-24 Q1 Share Calculations'!X44</f>
        <v>6676</v>
      </c>
      <c r="J42" s="21">
        <f t="shared" si="3"/>
        <v>34733</v>
      </c>
      <c r="K42" s="22">
        <f t="shared" si="4"/>
        <v>508</v>
      </c>
      <c r="L42" s="22">
        <f t="shared" si="5"/>
        <v>8370</v>
      </c>
      <c r="M42" s="22">
        <f t="shared" si="6"/>
        <v>43611</v>
      </c>
      <c r="N42" s="98">
        <f t="shared" si="7"/>
        <v>0</v>
      </c>
    </row>
    <row r="43" spans="1:14" x14ac:dyDescent="0.2">
      <c r="A43" s="26" t="s">
        <v>89</v>
      </c>
      <c r="B43" s="20">
        <f>'SFY 23-24 Q1 Share Calculations'!C45</f>
        <v>0</v>
      </c>
      <c r="C43" s="20">
        <f>'SFY 23-24 Q1 Share Calculations'!BA45</f>
        <v>9797</v>
      </c>
      <c r="D43" s="21">
        <f>'SFY 23-24 Q1 Share Calculations'!BB45</f>
        <v>98</v>
      </c>
      <c r="E43" s="21">
        <f>'SFY 23-24 Q1 Share Calculations'!BC45</f>
        <v>962</v>
      </c>
      <c r="F43" s="183">
        <f>'SFY 23-24 Q1 Share Calculations'!G45+'SFY 23-24 Q1 Share Calculations'!R45</f>
        <v>348</v>
      </c>
      <c r="G43" s="183">
        <f>'SFY 23-24 Q1 Share Calculations'!K45+'SFY 23-24 Q1 Share Calculations'!V45</f>
        <v>0</v>
      </c>
      <c r="H43" s="183">
        <f>'SFY 23-24 Q1 Share Calculations'!L45+'SFY 23-24 Q1 Share Calculations'!W45</f>
        <v>0</v>
      </c>
      <c r="I43" s="223">
        <f>'SFY 23-24 Q1 Share Calculations'!M45+'SFY 23-24 Q1 Share Calculations'!X45</f>
        <v>0</v>
      </c>
      <c r="J43" s="21">
        <f t="shared" si="3"/>
        <v>9797</v>
      </c>
      <c r="K43" s="22">
        <f t="shared" si="4"/>
        <v>98</v>
      </c>
      <c r="L43" s="22">
        <f t="shared" si="5"/>
        <v>1310</v>
      </c>
      <c r="M43" s="22">
        <f t="shared" si="6"/>
        <v>11205</v>
      </c>
      <c r="N43" s="98">
        <f t="shared" si="7"/>
        <v>0</v>
      </c>
    </row>
    <row r="44" spans="1:14" x14ac:dyDescent="0.2">
      <c r="A44" s="27" t="s">
        <v>90</v>
      </c>
      <c r="B44" s="20">
        <f>'SFY 23-24 Q1 Share Calculations'!C46</f>
        <v>0</v>
      </c>
      <c r="C44" s="20">
        <f>'SFY 23-24 Q1 Share Calculations'!BA46</f>
        <v>12149</v>
      </c>
      <c r="D44" s="21">
        <f>'SFY 23-24 Q1 Share Calculations'!BB46</f>
        <v>128</v>
      </c>
      <c r="E44" s="21">
        <f>'SFY 23-24 Q1 Share Calculations'!BC46</f>
        <v>1187</v>
      </c>
      <c r="F44" s="183">
        <f>'SFY 23-24 Q1 Share Calculations'!G46+'SFY 23-24 Q1 Share Calculations'!R46</f>
        <v>743</v>
      </c>
      <c r="G44" s="183">
        <f>'SFY 23-24 Q1 Share Calculations'!K46+'SFY 23-24 Q1 Share Calculations'!V46</f>
        <v>0</v>
      </c>
      <c r="H44" s="183">
        <f>'SFY 23-24 Q1 Share Calculations'!L46+'SFY 23-24 Q1 Share Calculations'!W46</f>
        <v>0</v>
      </c>
      <c r="I44" s="223">
        <f>'SFY 23-24 Q1 Share Calculations'!M46+'SFY 23-24 Q1 Share Calculations'!X46</f>
        <v>0</v>
      </c>
      <c r="J44" s="21">
        <f t="shared" si="3"/>
        <v>12149</v>
      </c>
      <c r="K44" s="22">
        <f t="shared" si="4"/>
        <v>128</v>
      </c>
      <c r="L44" s="22">
        <f t="shared" si="5"/>
        <v>1930</v>
      </c>
      <c r="M44" s="22">
        <f t="shared" si="6"/>
        <v>14207</v>
      </c>
      <c r="N44" s="98">
        <f t="shared" si="7"/>
        <v>0</v>
      </c>
    </row>
    <row r="45" spans="1:14" x14ac:dyDescent="0.2">
      <c r="A45" s="26" t="s">
        <v>91</v>
      </c>
      <c r="B45" s="20">
        <f>'SFY 23-24 Q1 Share Calculations'!C47</f>
        <v>0</v>
      </c>
      <c r="C45" s="20">
        <f>'SFY 23-24 Q1 Share Calculations'!BA47</f>
        <v>9712</v>
      </c>
      <c r="D45" s="21">
        <f>'SFY 23-24 Q1 Share Calculations'!BB47</f>
        <v>98</v>
      </c>
      <c r="E45" s="21">
        <f>'SFY 23-24 Q1 Share Calculations'!BC47</f>
        <v>954</v>
      </c>
      <c r="F45" s="183">
        <f>'SFY 23-24 Q1 Share Calculations'!G47+'SFY 23-24 Q1 Share Calculations'!R47</f>
        <v>859</v>
      </c>
      <c r="G45" s="183">
        <f>'SFY 23-24 Q1 Share Calculations'!K47+'SFY 23-24 Q1 Share Calculations'!V47</f>
        <v>0</v>
      </c>
      <c r="H45" s="183">
        <f>'SFY 23-24 Q1 Share Calculations'!L47+'SFY 23-24 Q1 Share Calculations'!W47</f>
        <v>0</v>
      </c>
      <c r="I45" s="223">
        <f>'SFY 23-24 Q1 Share Calculations'!M47+'SFY 23-24 Q1 Share Calculations'!X47</f>
        <v>0</v>
      </c>
      <c r="J45" s="21">
        <f t="shared" si="3"/>
        <v>9712</v>
      </c>
      <c r="K45" s="22">
        <f t="shared" si="4"/>
        <v>98</v>
      </c>
      <c r="L45" s="22">
        <f t="shared" si="5"/>
        <v>1813</v>
      </c>
      <c r="M45" s="22">
        <f t="shared" si="6"/>
        <v>11623</v>
      </c>
      <c r="N45" s="98">
        <f t="shared" si="7"/>
        <v>0</v>
      </c>
    </row>
    <row r="46" spans="1:14" x14ac:dyDescent="0.2">
      <c r="A46" s="26" t="s">
        <v>92</v>
      </c>
      <c r="B46" s="20">
        <f>'SFY 23-24 Q1 Share Calculations'!C48</f>
        <v>0</v>
      </c>
      <c r="C46" s="20">
        <f>'SFY 23-24 Q1 Share Calculations'!BA48</f>
        <v>24052</v>
      </c>
      <c r="D46" s="21">
        <f>'SFY 23-24 Q1 Share Calculations'!BB48</f>
        <v>243</v>
      </c>
      <c r="E46" s="21">
        <f>'SFY 23-24 Q1 Share Calculations'!BC48</f>
        <v>2363</v>
      </c>
      <c r="F46" s="183">
        <f>'SFY 23-24 Q1 Share Calculations'!G48+'SFY 23-24 Q1 Share Calculations'!R48</f>
        <v>2222</v>
      </c>
      <c r="G46" s="183">
        <f>'SFY 23-24 Q1 Share Calculations'!K48+'SFY 23-24 Q1 Share Calculations'!V48</f>
        <v>0</v>
      </c>
      <c r="H46" s="183">
        <f>'SFY 23-24 Q1 Share Calculations'!L48+'SFY 23-24 Q1 Share Calculations'!W48</f>
        <v>0</v>
      </c>
      <c r="I46" s="223">
        <f>'SFY 23-24 Q1 Share Calculations'!M48+'SFY 23-24 Q1 Share Calculations'!X48</f>
        <v>0</v>
      </c>
      <c r="J46" s="21">
        <f t="shared" si="3"/>
        <v>24052</v>
      </c>
      <c r="K46" s="22">
        <f t="shared" si="4"/>
        <v>243</v>
      </c>
      <c r="L46" s="22">
        <f t="shared" si="5"/>
        <v>4585</v>
      </c>
      <c r="M46" s="22">
        <f t="shared" si="6"/>
        <v>28880</v>
      </c>
      <c r="N46" s="98">
        <f t="shared" si="7"/>
        <v>0</v>
      </c>
    </row>
    <row r="47" spans="1:14" x14ac:dyDescent="0.2">
      <c r="A47" s="26" t="s">
        <v>93</v>
      </c>
      <c r="B47" s="20">
        <f>'SFY 23-24 Q1 Share Calculations'!C49</f>
        <v>0</v>
      </c>
      <c r="C47" s="20">
        <f>'SFY 23-24 Q1 Share Calculations'!BA49</f>
        <v>5915</v>
      </c>
      <c r="D47" s="21">
        <f>'SFY 23-24 Q1 Share Calculations'!BB49</f>
        <v>59</v>
      </c>
      <c r="E47" s="21">
        <f>'SFY 23-24 Q1 Share Calculations'!BC49</f>
        <v>581</v>
      </c>
      <c r="F47" s="183">
        <f>'SFY 23-24 Q1 Share Calculations'!G49+'SFY 23-24 Q1 Share Calculations'!R49</f>
        <v>441</v>
      </c>
      <c r="G47" s="183">
        <f>'SFY 23-24 Q1 Share Calculations'!K49+'SFY 23-24 Q1 Share Calculations'!V49</f>
        <v>0</v>
      </c>
      <c r="H47" s="183">
        <f>'SFY 23-24 Q1 Share Calculations'!L49+'SFY 23-24 Q1 Share Calculations'!W49</f>
        <v>0</v>
      </c>
      <c r="I47" s="223">
        <f>'SFY 23-24 Q1 Share Calculations'!M49+'SFY 23-24 Q1 Share Calculations'!X49</f>
        <v>0</v>
      </c>
      <c r="J47" s="21">
        <f t="shared" si="3"/>
        <v>5915</v>
      </c>
      <c r="K47" s="22">
        <f t="shared" si="4"/>
        <v>59</v>
      </c>
      <c r="L47" s="22">
        <f t="shared" si="5"/>
        <v>1022</v>
      </c>
      <c r="M47" s="22">
        <f t="shared" si="6"/>
        <v>6996</v>
      </c>
      <c r="N47" s="98">
        <f t="shared" si="7"/>
        <v>0</v>
      </c>
    </row>
    <row r="48" spans="1:14" x14ac:dyDescent="0.2">
      <c r="A48" s="28" t="s">
        <v>94</v>
      </c>
      <c r="B48" s="20">
        <f>'SFY 23-24 Q1 Share Calculations'!C50</f>
        <v>12</v>
      </c>
      <c r="C48" s="20">
        <f>'SFY 23-24 Q1 Share Calculations'!BA50</f>
        <v>0</v>
      </c>
      <c r="D48" s="21">
        <f>'SFY 23-24 Q1 Share Calculations'!BB50</f>
        <v>0</v>
      </c>
      <c r="E48" s="21">
        <f>'SFY 23-24 Q1 Share Calculations'!BC50</f>
        <v>0</v>
      </c>
      <c r="F48" s="183">
        <f>'SFY 23-24 Q1 Share Calculations'!G50+'SFY 23-24 Q1 Share Calculations'!R50</f>
        <v>380</v>
      </c>
      <c r="G48" s="183">
        <f>'SFY 23-24 Q1 Share Calculations'!K50+'SFY 23-24 Q1 Share Calculations'!V50</f>
        <v>7760</v>
      </c>
      <c r="H48" s="183">
        <f>'SFY 23-24 Q1 Share Calculations'!L50+'SFY 23-24 Q1 Share Calculations'!W50</f>
        <v>114</v>
      </c>
      <c r="I48" s="223">
        <f>'SFY 23-24 Q1 Share Calculations'!M50+'SFY 23-24 Q1 Share Calculations'!X50</f>
        <v>1493</v>
      </c>
      <c r="J48" s="21">
        <f t="shared" si="3"/>
        <v>7772</v>
      </c>
      <c r="K48" s="22">
        <f t="shared" si="4"/>
        <v>114</v>
      </c>
      <c r="L48" s="22">
        <f t="shared" si="5"/>
        <v>1873</v>
      </c>
      <c r="M48" s="22">
        <f t="shared" si="6"/>
        <v>9759</v>
      </c>
      <c r="N48" s="98">
        <f t="shared" si="7"/>
        <v>0</v>
      </c>
    </row>
    <row r="49" spans="1:14" x14ac:dyDescent="0.2">
      <c r="A49" s="28" t="s">
        <v>95</v>
      </c>
      <c r="B49" s="20">
        <f>'SFY 23-24 Q1 Share Calculations'!C51</f>
        <v>0</v>
      </c>
      <c r="C49" s="20">
        <f>'SFY 23-24 Q1 Share Calculations'!BA51</f>
        <v>0</v>
      </c>
      <c r="D49" s="21">
        <f>'SFY 23-24 Q1 Share Calculations'!BB51</f>
        <v>0</v>
      </c>
      <c r="E49" s="21">
        <f>'SFY 23-24 Q1 Share Calculations'!BC51</f>
        <v>0</v>
      </c>
      <c r="F49" s="183">
        <f>'SFY 23-24 Q1 Share Calculations'!G51+'SFY 23-24 Q1 Share Calculations'!R51</f>
        <v>8</v>
      </c>
      <c r="G49" s="183">
        <f>'SFY 23-24 Q1 Share Calculations'!K51+'SFY 23-24 Q1 Share Calculations'!V51</f>
        <v>93</v>
      </c>
      <c r="H49" s="183">
        <f>'SFY 23-24 Q1 Share Calculations'!L51+'SFY 23-24 Q1 Share Calculations'!W51</f>
        <v>1</v>
      </c>
      <c r="I49" s="223">
        <f>'SFY 23-24 Q1 Share Calculations'!M51+'SFY 23-24 Q1 Share Calculations'!X51</f>
        <v>18</v>
      </c>
      <c r="J49" s="21">
        <f t="shared" si="3"/>
        <v>93</v>
      </c>
      <c r="K49" s="22">
        <f t="shared" si="4"/>
        <v>1</v>
      </c>
      <c r="L49" s="22">
        <f t="shared" si="5"/>
        <v>26</v>
      </c>
      <c r="M49" s="22">
        <f t="shared" si="6"/>
        <v>120</v>
      </c>
      <c r="N49" s="98">
        <f t="shared" si="7"/>
        <v>0</v>
      </c>
    </row>
    <row r="50" spans="1:14" x14ac:dyDescent="0.2">
      <c r="A50" s="28" t="s">
        <v>96</v>
      </c>
      <c r="B50" s="20">
        <f>'SFY 23-24 Q1 Share Calculations'!C52</f>
        <v>4</v>
      </c>
      <c r="C50" s="20">
        <f>'SFY 23-24 Q1 Share Calculations'!BA52</f>
        <v>0</v>
      </c>
      <c r="D50" s="21">
        <f>'SFY 23-24 Q1 Share Calculations'!BB52</f>
        <v>0</v>
      </c>
      <c r="E50" s="21">
        <f>'SFY 23-24 Q1 Share Calculations'!BC52</f>
        <v>0</v>
      </c>
      <c r="F50" s="183">
        <f>'SFY 23-24 Q1 Share Calculations'!G52+'SFY 23-24 Q1 Share Calculations'!R52</f>
        <v>108</v>
      </c>
      <c r="G50" s="183">
        <f>'SFY 23-24 Q1 Share Calculations'!K52+'SFY 23-24 Q1 Share Calculations'!V52</f>
        <v>2243</v>
      </c>
      <c r="H50" s="183">
        <f>'SFY 23-24 Q1 Share Calculations'!L52+'SFY 23-24 Q1 Share Calculations'!W52</f>
        <v>34</v>
      </c>
      <c r="I50" s="223">
        <f>'SFY 23-24 Q1 Share Calculations'!M52+'SFY 23-24 Q1 Share Calculations'!X52</f>
        <v>432</v>
      </c>
      <c r="J50" s="21">
        <f t="shared" si="3"/>
        <v>2247</v>
      </c>
      <c r="K50" s="22">
        <f t="shared" si="4"/>
        <v>34</v>
      </c>
      <c r="L50" s="22">
        <f t="shared" si="5"/>
        <v>540</v>
      </c>
      <c r="M50" s="22">
        <f t="shared" si="6"/>
        <v>2821</v>
      </c>
      <c r="N50" s="98">
        <f t="shared" si="7"/>
        <v>0</v>
      </c>
    </row>
    <row r="51" spans="1:14" x14ac:dyDescent="0.2">
      <c r="A51" s="28" t="s">
        <v>97</v>
      </c>
      <c r="B51" s="20">
        <f>'SFY 23-24 Q1 Share Calculations'!C53</f>
        <v>0</v>
      </c>
      <c r="C51" s="20">
        <f>'SFY 23-24 Q1 Share Calculations'!BA53</f>
        <v>12189</v>
      </c>
      <c r="D51" s="21">
        <f>'SFY 23-24 Q1 Share Calculations'!BB53</f>
        <v>125</v>
      </c>
      <c r="E51" s="21">
        <f>'SFY 23-24 Q1 Share Calculations'!BC53</f>
        <v>1195</v>
      </c>
      <c r="F51" s="183">
        <f>'SFY 23-24 Q1 Share Calculations'!G53+'SFY 23-24 Q1 Share Calculations'!R53</f>
        <v>735</v>
      </c>
      <c r="G51" s="183">
        <f>'SFY 23-24 Q1 Share Calculations'!K53+'SFY 23-24 Q1 Share Calculations'!V53</f>
        <v>0</v>
      </c>
      <c r="H51" s="183">
        <f>'SFY 23-24 Q1 Share Calculations'!L53+'SFY 23-24 Q1 Share Calculations'!W53</f>
        <v>0</v>
      </c>
      <c r="I51" s="223">
        <f>'SFY 23-24 Q1 Share Calculations'!M53+'SFY 23-24 Q1 Share Calculations'!X53</f>
        <v>0</v>
      </c>
      <c r="J51" s="21">
        <f t="shared" si="3"/>
        <v>12189</v>
      </c>
      <c r="K51" s="22">
        <f t="shared" si="4"/>
        <v>125</v>
      </c>
      <c r="L51" s="22">
        <f t="shared" si="5"/>
        <v>1930</v>
      </c>
      <c r="M51" s="22">
        <f t="shared" si="6"/>
        <v>14244</v>
      </c>
      <c r="N51" s="98">
        <f t="shared" si="7"/>
        <v>0</v>
      </c>
    </row>
    <row r="52" spans="1:14" x14ac:dyDescent="0.2">
      <c r="A52" s="28" t="s">
        <v>98</v>
      </c>
      <c r="B52" s="20">
        <f>'SFY 23-24 Q1 Share Calculations'!C54</f>
        <v>0</v>
      </c>
      <c r="C52" s="20">
        <f>'SFY 23-24 Q1 Share Calculations'!BA54</f>
        <v>12553</v>
      </c>
      <c r="D52" s="21">
        <f>'SFY 23-24 Q1 Share Calculations'!BB54</f>
        <v>126</v>
      </c>
      <c r="E52" s="21">
        <f>'SFY 23-24 Q1 Share Calculations'!BC54</f>
        <v>1234</v>
      </c>
      <c r="F52" s="183">
        <f>'SFY 23-24 Q1 Share Calculations'!G54+'SFY 23-24 Q1 Share Calculations'!R54</f>
        <v>658</v>
      </c>
      <c r="G52" s="183">
        <f>'SFY 23-24 Q1 Share Calculations'!K54+'SFY 23-24 Q1 Share Calculations'!V54</f>
        <v>0</v>
      </c>
      <c r="H52" s="183">
        <f>'SFY 23-24 Q1 Share Calculations'!L54+'SFY 23-24 Q1 Share Calculations'!W54</f>
        <v>0</v>
      </c>
      <c r="I52" s="223">
        <f>'SFY 23-24 Q1 Share Calculations'!M54+'SFY 23-24 Q1 Share Calculations'!X54</f>
        <v>0</v>
      </c>
      <c r="J52" s="21">
        <f t="shared" si="3"/>
        <v>12553</v>
      </c>
      <c r="K52" s="22">
        <f t="shared" si="4"/>
        <v>126</v>
      </c>
      <c r="L52" s="22">
        <f t="shared" si="5"/>
        <v>1892</v>
      </c>
      <c r="M52" s="22">
        <f t="shared" si="6"/>
        <v>14571</v>
      </c>
      <c r="N52" s="98">
        <f t="shared" si="7"/>
        <v>0</v>
      </c>
    </row>
    <row r="53" spans="1:14" x14ac:dyDescent="0.2">
      <c r="A53" s="24" t="s">
        <v>99</v>
      </c>
      <c r="B53" s="20">
        <f>'SFY 23-24 Q1 Share Calculations'!C55</f>
        <v>34</v>
      </c>
      <c r="C53" s="20">
        <f>'SFY 23-24 Q1 Share Calculations'!BA55</f>
        <v>0</v>
      </c>
      <c r="D53" s="21">
        <f>'SFY 23-24 Q1 Share Calculations'!BB55</f>
        <v>0</v>
      </c>
      <c r="E53" s="21">
        <f>'SFY 23-24 Q1 Share Calculations'!BC55</f>
        <v>0</v>
      </c>
      <c r="F53" s="183">
        <f>'SFY 23-24 Q1 Share Calculations'!G55+'SFY 23-24 Q1 Share Calculations'!R55</f>
        <v>1323</v>
      </c>
      <c r="G53" s="183">
        <f>'SFY 23-24 Q1 Share Calculations'!K55+'SFY 23-24 Q1 Share Calculations'!V55</f>
        <v>27018</v>
      </c>
      <c r="H53" s="183">
        <f>'SFY 23-24 Q1 Share Calculations'!L55+'SFY 23-24 Q1 Share Calculations'!W55</f>
        <v>395</v>
      </c>
      <c r="I53" s="223">
        <f>'SFY 23-24 Q1 Share Calculations'!M55+'SFY 23-24 Q1 Share Calculations'!X55</f>
        <v>5200</v>
      </c>
      <c r="J53" s="21">
        <f t="shared" si="3"/>
        <v>27052</v>
      </c>
      <c r="K53" s="22">
        <f t="shared" si="4"/>
        <v>395</v>
      </c>
      <c r="L53" s="22">
        <f t="shared" si="5"/>
        <v>6523</v>
      </c>
      <c r="M53" s="22">
        <f t="shared" si="6"/>
        <v>33970</v>
      </c>
      <c r="N53" s="98">
        <f t="shared" si="7"/>
        <v>0</v>
      </c>
    </row>
    <row r="54" spans="1:14" x14ac:dyDescent="0.2">
      <c r="A54" s="28" t="s">
        <v>100</v>
      </c>
      <c r="B54" s="20">
        <f>'SFY 23-24 Q1 Share Calculations'!C56</f>
        <v>6</v>
      </c>
      <c r="C54" s="20">
        <f>'SFY 23-24 Q1 Share Calculations'!BA56</f>
        <v>0</v>
      </c>
      <c r="D54" s="21">
        <f>'SFY 23-24 Q1 Share Calculations'!BB56</f>
        <v>0</v>
      </c>
      <c r="E54" s="21">
        <f>'SFY 23-24 Q1 Share Calculations'!BC56</f>
        <v>0</v>
      </c>
      <c r="F54" s="183">
        <f>'SFY 23-24 Q1 Share Calculations'!G56+'SFY 23-24 Q1 Share Calculations'!R56</f>
        <v>232</v>
      </c>
      <c r="G54" s="183">
        <f>'SFY 23-24 Q1 Share Calculations'!K56+'SFY 23-24 Q1 Share Calculations'!V56</f>
        <v>4674</v>
      </c>
      <c r="H54" s="183">
        <f>'SFY 23-24 Q1 Share Calculations'!L56+'SFY 23-24 Q1 Share Calculations'!W56</f>
        <v>68</v>
      </c>
      <c r="I54" s="223">
        <f>'SFY 23-24 Q1 Share Calculations'!M56+'SFY 23-24 Q1 Share Calculations'!X56</f>
        <v>899</v>
      </c>
      <c r="J54" s="21">
        <f t="shared" si="3"/>
        <v>4680</v>
      </c>
      <c r="K54" s="22">
        <f t="shared" si="4"/>
        <v>68</v>
      </c>
      <c r="L54" s="22">
        <f t="shared" si="5"/>
        <v>1131</v>
      </c>
      <c r="M54" s="22">
        <f t="shared" si="6"/>
        <v>5879</v>
      </c>
      <c r="N54" s="98">
        <f t="shared" si="7"/>
        <v>0</v>
      </c>
    </row>
    <row r="55" spans="1:14" x14ac:dyDescent="0.2">
      <c r="A55" s="28" t="s">
        <v>101</v>
      </c>
      <c r="B55" s="20">
        <f>'SFY 23-24 Q1 Share Calculations'!C57</f>
        <v>5</v>
      </c>
      <c r="C55" s="20">
        <f>'SFY 23-24 Q1 Share Calculations'!BA57</f>
        <v>0</v>
      </c>
      <c r="D55" s="21">
        <f>'SFY 23-24 Q1 Share Calculations'!BB57</f>
        <v>0</v>
      </c>
      <c r="E55" s="21">
        <f>'SFY 23-24 Q1 Share Calculations'!BC57</f>
        <v>0</v>
      </c>
      <c r="F55" s="183">
        <f>'SFY 23-24 Q1 Share Calculations'!G57+'SFY 23-24 Q1 Share Calculations'!R57</f>
        <v>163</v>
      </c>
      <c r="G55" s="183">
        <f>'SFY 23-24 Q1 Share Calculations'!K57+'SFY 23-24 Q1 Share Calculations'!V57</f>
        <v>3366</v>
      </c>
      <c r="H55" s="183">
        <f>'SFY 23-24 Q1 Share Calculations'!L57+'SFY 23-24 Q1 Share Calculations'!W57</f>
        <v>49</v>
      </c>
      <c r="I55" s="223">
        <f>'SFY 23-24 Q1 Share Calculations'!M57+'SFY 23-24 Q1 Share Calculations'!X57</f>
        <v>647</v>
      </c>
      <c r="J55" s="21">
        <f t="shared" si="3"/>
        <v>3371</v>
      </c>
      <c r="K55" s="22">
        <f t="shared" si="4"/>
        <v>49</v>
      </c>
      <c r="L55" s="22">
        <f t="shared" si="5"/>
        <v>810</v>
      </c>
      <c r="M55" s="22">
        <f t="shared" si="6"/>
        <v>4230</v>
      </c>
      <c r="N55" s="98">
        <f t="shared" si="7"/>
        <v>0</v>
      </c>
    </row>
    <row r="56" spans="1:14" x14ac:dyDescent="0.2">
      <c r="A56" s="28" t="s">
        <v>102</v>
      </c>
      <c r="B56" s="20">
        <f>'SFY 23-24 Q1 Share Calculations'!C58</f>
        <v>1</v>
      </c>
      <c r="C56" s="20">
        <f>'SFY 23-24 Q1 Share Calculations'!BA58</f>
        <v>0</v>
      </c>
      <c r="D56" s="21">
        <f>'SFY 23-24 Q1 Share Calculations'!BB58</f>
        <v>0</v>
      </c>
      <c r="E56" s="21">
        <f>'SFY 23-24 Q1 Share Calculations'!BC58</f>
        <v>0</v>
      </c>
      <c r="F56" s="183">
        <f>'SFY 23-24 Q1 Share Calculations'!G58+'SFY 23-24 Q1 Share Calculations'!R58</f>
        <v>31</v>
      </c>
      <c r="G56" s="183">
        <f>'SFY 23-24 Q1 Share Calculations'!K58+'SFY 23-24 Q1 Share Calculations'!V58</f>
        <v>655</v>
      </c>
      <c r="H56" s="183">
        <f>'SFY 23-24 Q1 Share Calculations'!L58+'SFY 23-24 Q1 Share Calculations'!W58</f>
        <v>9</v>
      </c>
      <c r="I56" s="223">
        <f>'SFY 23-24 Q1 Share Calculations'!M58+'SFY 23-24 Q1 Share Calculations'!X58</f>
        <v>126</v>
      </c>
      <c r="J56" s="21">
        <f t="shared" si="3"/>
        <v>656</v>
      </c>
      <c r="K56" s="22">
        <f t="shared" si="4"/>
        <v>9</v>
      </c>
      <c r="L56" s="22">
        <f t="shared" si="5"/>
        <v>157</v>
      </c>
      <c r="M56" s="22">
        <f t="shared" si="6"/>
        <v>822</v>
      </c>
      <c r="N56" s="98">
        <f t="shared" si="7"/>
        <v>0</v>
      </c>
    </row>
    <row r="57" spans="1:14" x14ac:dyDescent="0.2">
      <c r="A57" s="28" t="s">
        <v>103</v>
      </c>
      <c r="B57" s="20">
        <f>'SFY 23-24 Q1 Share Calculations'!C59</f>
        <v>0</v>
      </c>
      <c r="C57" s="20">
        <f>'SFY 23-24 Q1 Share Calculations'!BA59</f>
        <v>15996</v>
      </c>
      <c r="D57" s="21">
        <f>'SFY 23-24 Q1 Share Calculations'!BB59</f>
        <v>162</v>
      </c>
      <c r="E57" s="21">
        <f>'SFY 23-24 Q1 Share Calculations'!BC59</f>
        <v>1572</v>
      </c>
      <c r="F57" s="183">
        <f>'SFY 23-24 Q1 Share Calculations'!G59+'SFY 23-24 Q1 Share Calculations'!R59</f>
        <v>1602</v>
      </c>
      <c r="G57" s="183">
        <f>'SFY 23-24 Q1 Share Calculations'!K59+'SFY 23-24 Q1 Share Calculations'!V59</f>
        <v>0</v>
      </c>
      <c r="H57" s="183">
        <f>'SFY 23-24 Q1 Share Calculations'!L59+'SFY 23-24 Q1 Share Calculations'!W59</f>
        <v>0</v>
      </c>
      <c r="I57" s="223">
        <f>'SFY 23-24 Q1 Share Calculations'!M59+'SFY 23-24 Q1 Share Calculations'!X59</f>
        <v>0</v>
      </c>
      <c r="J57" s="21">
        <f t="shared" si="3"/>
        <v>15996</v>
      </c>
      <c r="K57" s="22">
        <f t="shared" si="4"/>
        <v>162</v>
      </c>
      <c r="L57" s="22">
        <f t="shared" si="5"/>
        <v>3174</v>
      </c>
      <c r="M57" s="22">
        <f t="shared" si="6"/>
        <v>19332</v>
      </c>
      <c r="N57" s="98">
        <f t="shared" si="7"/>
        <v>0</v>
      </c>
    </row>
    <row r="58" spans="1:14" x14ac:dyDescent="0.2">
      <c r="A58" s="28" t="s">
        <v>104</v>
      </c>
      <c r="B58" s="20">
        <f>'SFY 23-24 Q1 Share Calculations'!C60</f>
        <v>3</v>
      </c>
      <c r="C58" s="20">
        <f>'SFY 23-24 Q1 Share Calculations'!BA60</f>
        <v>0</v>
      </c>
      <c r="D58" s="21">
        <f>'SFY 23-24 Q1 Share Calculations'!BB60</f>
        <v>0</v>
      </c>
      <c r="E58" s="21">
        <f>'SFY 23-24 Q1 Share Calculations'!BC60</f>
        <v>0</v>
      </c>
      <c r="F58" s="183">
        <f>'SFY 23-24 Q1 Share Calculations'!G60+'SFY 23-24 Q1 Share Calculations'!R60</f>
        <v>77</v>
      </c>
      <c r="G58" s="183">
        <f>'SFY 23-24 Q1 Share Calculations'!K60+'SFY 23-24 Q1 Share Calculations'!V60</f>
        <v>1683</v>
      </c>
      <c r="H58" s="183">
        <f>'SFY 23-24 Q1 Share Calculations'!L60+'SFY 23-24 Q1 Share Calculations'!W60</f>
        <v>25</v>
      </c>
      <c r="I58" s="223">
        <f>'SFY 23-24 Q1 Share Calculations'!M60+'SFY 23-24 Q1 Share Calculations'!X60</f>
        <v>324</v>
      </c>
      <c r="J58" s="21">
        <f t="shared" si="3"/>
        <v>1686</v>
      </c>
      <c r="K58" s="22">
        <f t="shared" si="4"/>
        <v>25</v>
      </c>
      <c r="L58" s="22">
        <f t="shared" si="5"/>
        <v>401</v>
      </c>
      <c r="M58" s="22">
        <f t="shared" si="6"/>
        <v>2112</v>
      </c>
      <c r="N58" s="98">
        <f t="shared" si="7"/>
        <v>0</v>
      </c>
    </row>
    <row r="59" spans="1:14" x14ac:dyDescent="0.2">
      <c r="A59" s="28" t="s">
        <v>105</v>
      </c>
      <c r="B59" s="20">
        <f>'SFY 23-24 Q1 Share Calculations'!C61</f>
        <v>0</v>
      </c>
      <c r="C59" s="20">
        <f>'SFY 23-24 Q1 Share Calculations'!BA61</f>
        <v>13790</v>
      </c>
      <c r="D59" s="21">
        <f>'SFY 23-24 Q1 Share Calculations'!BB61</f>
        <v>139</v>
      </c>
      <c r="E59" s="21">
        <f>'SFY 23-24 Q1 Share Calculations'!BC61</f>
        <v>1354</v>
      </c>
      <c r="F59" s="183">
        <f>'SFY 23-24 Q1 Share Calculations'!G61+'SFY 23-24 Q1 Share Calculations'!R61</f>
        <v>1269</v>
      </c>
      <c r="G59" s="183">
        <f>'SFY 23-24 Q1 Share Calculations'!K61+'SFY 23-24 Q1 Share Calculations'!V61</f>
        <v>0</v>
      </c>
      <c r="H59" s="183">
        <f>'SFY 23-24 Q1 Share Calculations'!L61+'SFY 23-24 Q1 Share Calculations'!W61</f>
        <v>0</v>
      </c>
      <c r="I59" s="223">
        <f>'SFY 23-24 Q1 Share Calculations'!M61+'SFY 23-24 Q1 Share Calculations'!X61</f>
        <v>0</v>
      </c>
      <c r="J59" s="21">
        <f t="shared" si="3"/>
        <v>13790</v>
      </c>
      <c r="K59" s="22">
        <f t="shared" si="4"/>
        <v>139</v>
      </c>
      <c r="L59" s="22">
        <f t="shared" si="5"/>
        <v>2623</v>
      </c>
      <c r="M59" s="22">
        <f t="shared" si="6"/>
        <v>16552</v>
      </c>
      <c r="N59" s="98">
        <f t="shared" si="7"/>
        <v>0</v>
      </c>
    </row>
    <row r="60" spans="1:14" x14ac:dyDescent="0.2">
      <c r="A60" s="28" t="s">
        <v>106</v>
      </c>
      <c r="B60" s="20">
        <f>'SFY 23-24 Q1 Share Calculations'!C62</f>
        <v>0</v>
      </c>
      <c r="C60" s="20">
        <f>'SFY 23-24 Q1 Share Calculations'!BA62</f>
        <v>3518</v>
      </c>
      <c r="D60" s="21">
        <f>'SFY 23-24 Q1 Share Calculations'!BB62</f>
        <v>35</v>
      </c>
      <c r="E60" s="21">
        <f>'SFY 23-24 Q1 Share Calculations'!BC62</f>
        <v>346</v>
      </c>
      <c r="F60" s="183">
        <f>'SFY 23-24 Q1 Share Calculations'!G62+'SFY 23-24 Q1 Share Calculations'!R62</f>
        <v>333</v>
      </c>
      <c r="G60" s="183">
        <f>'SFY 23-24 Q1 Share Calculations'!K62+'SFY 23-24 Q1 Share Calculations'!V62</f>
        <v>0</v>
      </c>
      <c r="H60" s="183">
        <f>'SFY 23-24 Q1 Share Calculations'!L62+'SFY 23-24 Q1 Share Calculations'!W62</f>
        <v>0</v>
      </c>
      <c r="I60" s="223">
        <f>'SFY 23-24 Q1 Share Calculations'!M62+'SFY 23-24 Q1 Share Calculations'!X62</f>
        <v>0</v>
      </c>
      <c r="J60" s="21">
        <f t="shared" si="3"/>
        <v>3518</v>
      </c>
      <c r="K60" s="22">
        <f t="shared" si="4"/>
        <v>35</v>
      </c>
      <c r="L60" s="22">
        <f t="shared" si="5"/>
        <v>679</v>
      </c>
      <c r="M60" s="22">
        <f t="shared" si="6"/>
        <v>4232</v>
      </c>
      <c r="N60" s="98">
        <f t="shared" si="7"/>
        <v>0</v>
      </c>
    </row>
    <row r="61" spans="1:14" x14ac:dyDescent="0.2">
      <c r="A61" s="28" t="s">
        <v>107</v>
      </c>
      <c r="B61" s="20">
        <f>'SFY 23-24 Q1 Share Calculations'!C63</f>
        <v>8</v>
      </c>
      <c r="C61" s="20">
        <f>'SFY 23-24 Q1 Share Calculations'!BA63</f>
        <v>0</v>
      </c>
      <c r="D61" s="21">
        <f>'SFY 23-24 Q1 Share Calculations'!BB63</f>
        <v>0</v>
      </c>
      <c r="E61" s="21">
        <f>'SFY 23-24 Q1 Share Calculations'!BC63</f>
        <v>0</v>
      </c>
      <c r="F61" s="183">
        <f>'SFY 23-24 Q1 Share Calculations'!G63+'SFY 23-24 Q1 Share Calculations'!R63</f>
        <v>209</v>
      </c>
      <c r="G61" s="183">
        <f>'SFY 23-24 Q1 Share Calculations'!K63+'SFY 23-24 Q1 Share Calculations'!V63</f>
        <v>4300</v>
      </c>
      <c r="H61" s="183">
        <f>'SFY 23-24 Q1 Share Calculations'!L63+'SFY 23-24 Q1 Share Calculations'!W63</f>
        <v>63</v>
      </c>
      <c r="I61" s="223">
        <f>'SFY 23-24 Q1 Share Calculations'!M63+'SFY 23-24 Q1 Share Calculations'!X63</f>
        <v>827</v>
      </c>
      <c r="J61" s="21">
        <f t="shared" si="3"/>
        <v>4308</v>
      </c>
      <c r="K61" s="22">
        <f t="shared" si="4"/>
        <v>63</v>
      </c>
      <c r="L61" s="22">
        <f t="shared" si="5"/>
        <v>1036</v>
      </c>
      <c r="M61" s="22">
        <f t="shared" si="6"/>
        <v>5407</v>
      </c>
      <c r="N61" s="98">
        <f t="shared" si="7"/>
        <v>0</v>
      </c>
    </row>
    <row r="62" spans="1:14" ht="5.25" customHeight="1" x14ac:dyDescent="0.2">
      <c r="A62" s="29"/>
      <c r="B62" s="30"/>
      <c r="C62" s="30"/>
      <c r="D62" s="30"/>
      <c r="E62" s="30"/>
      <c r="F62" s="226"/>
      <c r="G62" s="30"/>
      <c r="H62" s="30"/>
      <c r="I62" s="30"/>
      <c r="J62" s="29"/>
      <c r="K62" s="29"/>
      <c r="L62" s="29"/>
      <c r="M62" s="29"/>
      <c r="N62" s="23"/>
    </row>
    <row r="63" spans="1:14" x14ac:dyDescent="0.2">
      <c r="A63" s="31" t="s">
        <v>108</v>
      </c>
      <c r="B63" s="32">
        <f>SUM(B4:B61)</f>
        <v>1305</v>
      </c>
      <c r="C63" s="32">
        <f t="shared" ref="C63:E63" si="8">SUM(C4:C62)</f>
        <v>527584</v>
      </c>
      <c r="D63" s="32">
        <f t="shared" si="8"/>
        <v>5492</v>
      </c>
      <c r="E63" s="32">
        <f t="shared" si="8"/>
        <v>51589</v>
      </c>
      <c r="F63" s="32">
        <f t="shared" ref="F63:I63" si="9">SUM(F4:F62)</f>
        <v>77389</v>
      </c>
      <c r="G63" s="32">
        <f t="shared" si="9"/>
        <v>934880</v>
      </c>
      <c r="H63" s="32">
        <f t="shared" si="9"/>
        <v>13693</v>
      </c>
      <c r="I63" s="32">
        <f t="shared" si="9"/>
        <v>179919</v>
      </c>
      <c r="J63" s="32">
        <f>SUM(J4:J62)</f>
        <v>1463769</v>
      </c>
      <c r="K63" s="32">
        <f t="shared" ref="K63:M63" si="10">SUM(K4:K62)</f>
        <v>19185</v>
      </c>
      <c r="L63" s="32">
        <f>SUM(L4:L61)</f>
        <v>308897</v>
      </c>
      <c r="M63" s="32">
        <f t="shared" si="10"/>
        <v>1791851</v>
      </c>
      <c r="N63" s="98">
        <f>SUM(B63:I63)-SUM(J63:L63)</f>
        <v>0</v>
      </c>
    </row>
    <row r="64" spans="1:14" x14ac:dyDescent="0.2">
      <c r="A64" s="33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3"/>
    </row>
    <row r="65" spans="1:16" ht="15.75" hidden="1" x14ac:dyDescent="0.3">
      <c r="A65" s="33"/>
      <c r="B65" s="35"/>
      <c r="C65" s="35"/>
      <c r="D65" s="35"/>
      <c r="E65" s="35"/>
      <c r="F65" s="46"/>
      <c r="G65" s="46"/>
      <c r="H65" s="46"/>
      <c r="I65" s="46"/>
      <c r="J65" s="35"/>
      <c r="K65" s="35"/>
      <c r="L65" s="35"/>
      <c r="M65" s="98">
        <f>'SFY 23-24 Q1 Share Summary'!E63</f>
        <v>1791851</v>
      </c>
      <c r="N65"/>
      <c r="O65" s="35"/>
      <c r="P65" s="35"/>
    </row>
    <row r="66" spans="1:16" ht="15" x14ac:dyDescent="0.25">
      <c r="A66" s="37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/>
      <c r="N66"/>
      <c r="O66"/>
    </row>
    <row r="67" spans="1:16" ht="15" x14ac:dyDescent="0.25">
      <c r="A67" s="33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/>
      <c r="N67"/>
      <c r="O67"/>
    </row>
    <row r="68" spans="1:16" x14ac:dyDescent="0.2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4"/>
      <c r="N68" s="33"/>
    </row>
    <row r="69" spans="1:16" x14ac:dyDescent="0.2">
      <c r="A69" s="33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3"/>
    </row>
    <row r="70" spans="1:16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spans="1:16" x14ac:dyDescent="0.2">
      <c r="A71" s="39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1:16" x14ac:dyDescent="0.2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6" x14ac:dyDescent="0.2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1:16" x14ac:dyDescent="0.2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1:16" x14ac:dyDescent="0.2">
      <c r="A75" s="40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</row>
    <row r="76" spans="1:16" x14ac:dyDescent="0.2">
      <c r="A76" s="44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</sheetData>
  <mergeCells count="4">
    <mergeCell ref="C2:E2"/>
    <mergeCell ref="G2:I2"/>
    <mergeCell ref="J2:L2"/>
    <mergeCell ref="A1:M1"/>
  </mergeCells>
  <pageMargins left="0.7" right="0.7" top="0.75" bottom="0.75" header="0.3" footer="0.3"/>
  <pageSetup orientation="portrait" horizontalDpi="1200" verticalDpi="1200" r:id="rId1"/>
  <ignoredErrors>
    <ignoredError sqref="G63:I63 M63 C63:E63 F63 K63 J63" unlockedFormula="1"/>
    <ignoredError sqref="L63 B63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1C31-5999-4805-B3C2-FDE6186DB0C1}">
  <sheetPr>
    <outlinePr summaryBelow="0" summaryRight="0"/>
    <pageSetUpPr fitToPage="1"/>
  </sheetPr>
  <dimension ref="A1:BJ72"/>
  <sheetViews>
    <sheetView zoomScale="90" zoomScaleNormal="90" workbookViewId="0">
      <selection sqref="A1:C1"/>
    </sheetView>
  </sheetViews>
  <sheetFormatPr defaultColWidth="9.140625" defaultRowHeight="15" x14ac:dyDescent="0.25"/>
  <cols>
    <col min="1" max="1" width="17.5703125" style="40" customWidth="1"/>
    <col min="2" max="2" width="14.85546875" style="40" customWidth="1"/>
    <col min="3" max="3" width="14.140625" style="40" customWidth="1"/>
    <col min="4" max="4" width="4.140625" style="8" customWidth="1"/>
    <col min="5" max="5" width="15.42578125" style="8" customWidth="1"/>
    <col min="6" max="6" width="15.28515625" style="8" customWidth="1"/>
    <col min="7" max="7" width="14.140625" style="8" customWidth="1"/>
    <col min="8" max="8" width="4.140625" style="8" customWidth="1"/>
    <col min="9" max="9" width="15.42578125" style="8" customWidth="1"/>
    <col min="10" max="10" width="15.140625" style="8" customWidth="1"/>
    <col min="11" max="12" width="14.42578125" style="8" customWidth="1"/>
    <col min="13" max="14" width="14.140625" style="8" customWidth="1"/>
    <col min="15" max="15" width="4.140625" style="8" customWidth="1"/>
    <col min="16" max="16" width="15.42578125" style="8" customWidth="1"/>
    <col min="17" max="17" width="14.85546875" style="8" customWidth="1"/>
    <col min="18" max="18" width="14.140625" style="8" customWidth="1"/>
    <col min="19" max="19" width="4.140625" style="8" customWidth="1"/>
    <col min="20" max="20" width="15.42578125" style="8" customWidth="1"/>
    <col min="21" max="21" width="15.28515625" style="8" customWidth="1"/>
    <col min="22" max="23" width="14.42578125" style="8" customWidth="1"/>
    <col min="24" max="25" width="14.140625" style="8" customWidth="1"/>
    <col min="26" max="26" width="4.140625" style="8" customWidth="1"/>
    <col min="27" max="27" width="17.140625" style="8" customWidth="1"/>
    <col min="28" max="31" width="14.140625" style="8" customWidth="1"/>
    <col min="32" max="32" width="3.7109375" style="40" customWidth="1"/>
    <col min="33" max="33" width="18.7109375" style="40" customWidth="1"/>
    <col min="34" max="34" width="11.42578125" style="40" customWidth="1"/>
    <col min="35" max="36" width="14.140625" style="40" customWidth="1"/>
    <col min="37" max="37" width="13.42578125" style="40" customWidth="1"/>
    <col min="38" max="38" width="12.7109375" style="40" customWidth="1"/>
    <col min="39" max="39" width="3.7109375" style="40" customWidth="1"/>
    <col min="40" max="40" width="18.7109375" style="40" customWidth="1"/>
    <col min="41" max="42" width="14.140625" style="40" customWidth="1"/>
    <col min="43" max="43" width="13.42578125" style="40" customWidth="1"/>
    <col min="44" max="44" width="12.28515625" style="40" customWidth="1"/>
    <col min="45" max="45" width="3.85546875" style="45" customWidth="1"/>
    <col min="46" max="46" width="18.7109375" style="40" customWidth="1"/>
    <col min="47" max="48" width="14.140625" style="40" customWidth="1"/>
    <col min="49" max="49" width="13.42578125" style="40" customWidth="1"/>
    <col min="50" max="50" width="12.28515625" style="40" customWidth="1"/>
    <col min="51" max="51" width="3.85546875" style="45" customWidth="1"/>
    <col min="52" max="52" width="18.7109375" style="45" customWidth="1"/>
    <col min="53" max="53" width="15" style="45" customWidth="1"/>
    <col min="54" max="54" width="14" style="45" customWidth="1"/>
    <col min="55" max="55" width="13.140625" style="45" customWidth="1"/>
    <col min="56" max="56" width="12.7109375" style="45" customWidth="1"/>
    <col min="57" max="57" width="3.7109375" style="40" customWidth="1"/>
    <col min="58" max="60" width="14" style="8" customWidth="1"/>
    <col min="61" max="61" width="16.85546875" style="8" customWidth="1"/>
    <col min="62" max="62" width="11.5703125" style="54" hidden="1" customWidth="1"/>
    <col min="63" max="63" width="9.140625" style="8" customWidth="1"/>
    <col min="64" max="16384" width="9.140625" style="8"/>
  </cols>
  <sheetData>
    <row r="1" spans="1:62" s="48" customFormat="1" ht="15.75" x14ac:dyDescent="0.25">
      <c r="A1" s="362" t="s">
        <v>112</v>
      </c>
      <c r="B1" s="362"/>
      <c r="C1" s="362"/>
      <c r="D1" s="281"/>
      <c r="E1" s="355" t="s">
        <v>112</v>
      </c>
      <c r="F1" s="355"/>
      <c r="G1" s="355"/>
      <c r="H1" s="281"/>
      <c r="I1" s="355" t="s">
        <v>112</v>
      </c>
      <c r="J1" s="355"/>
      <c r="K1" s="355"/>
      <c r="L1" s="355"/>
      <c r="M1" s="355"/>
      <c r="N1" s="355"/>
      <c r="O1" s="281"/>
      <c r="P1" s="355" t="s">
        <v>119</v>
      </c>
      <c r="Q1" s="355"/>
      <c r="R1" s="355"/>
      <c r="S1" s="281"/>
      <c r="T1" s="355" t="s">
        <v>120</v>
      </c>
      <c r="U1" s="355"/>
      <c r="V1" s="355"/>
      <c r="W1" s="355"/>
      <c r="X1" s="355"/>
      <c r="Y1" s="355"/>
      <c r="Z1" s="281"/>
      <c r="AA1" s="355" t="s">
        <v>112</v>
      </c>
      <c r="AB1" s="355"/>
      <c r="AC1" s="355"/>
      <c r="AD1" s="355"/>
      <c r="AE1" s="355"/>
      <c r="AF1" s="281"/>
      <c r="AG1" s="355" t="s">
        <v>112</v>
      </c>
      <c r="AH1" s="355"/>
      <c r="AI1" s="355"/>
      <c r="AJ1" s="355"/>
      <c r="AK1" s="355"/>
      <c r="AL1" s="355"/>
      <c r="AM1" s="40"/>
      <c r="AN1" s="355" t="s">
        <v>112</v>
      </c>
      <c r="AO1" s="355"/>
      <c r="AP1" s="355"/>
      <c r="AQ1" s="355"/>
      <c r="AR1" s="355"/>
      <c r="AS1" s="45"/>
      <c r="AT1" s="355" t="s">
        <v>121</v>
      </c>
      <c r="AU1" s="355"/>
      <c r="AV1" s="355"/>
      <c r="AW1" s="355"/>
      <c r="AX1" s="355"/>
      <c r="AY1" s="45"/>
      <c r="AZ1" s="355" t="s">
        <v>112</v>
      </c>
      <c r="BA1" s="355"/>
      <c r="BB1" s="355"/>
      <c r="BC1" s="355"/>
      <c r="BD1" s="355"/>
      <c r="BE1" s="49"/>
      <c r="BF1" s="342" t="s">
        <v>112</v>
      </c>
      <c r="BG1" s="342"/>
      <c r="BH1" s="342"/>
      <c r="BI1" s="342"/>
      <c r="BJ1" s="50"/>
    </row>
    <row r="2" spans="1:62" x14ac:dyDescent="0.25">
      <c r="A2" s="356" t="s">
        <v>122</v>
      </c>
      <c r="B2" s="357"/>
      <c r="C2" s="358"/>
      <c r="D2" s="52"/>
      <c r="E2" s="346" t="s">
        <v>123</v>
      </c>
      <c r="F2" s="347"/>
      <c r="G2" s="348"/>
      <c r="H2" s="52"/>
      <c r="I2" s="346" t="s">
        <v>124</v>
      </c>
      <c r="J2" s="347"/>
      <c r="K2" s="347"/>
      <c r="L2" s="347"/>
      <c r="M2" s="347"/>
      <c r="N2" s="348"/>
      <c r="O2" s="52"/>
      <c r="P2" s="346" t="s">
        <v>123</v>
      </c>
      <c r="Q2" s="347"/>
      <c r="R2" s="348"/>
      <c r="S2" s="52"/>
      <c r="T2" s="346" t="s">
        <v>124</v>
      </c>
      <c r="U2" s="347"/>
      <c r="V2" s="347"/>
      <c r="W2" s="347"/>
      <c r="X2" s="347"/>
      <c r="Y2" s="348"/>
      <c r="Z2" s="52"/>
      <c r="AA2" s="346" t="s">
        <v>125</v>
      </c>
      <c r="AB2" s="347"/>
      <c r="AC2" s="347"/>
      <c r="AD2" s="347"/>
      <c r="AE2" s="348"/>
      <c r="AF2" s="52"/>
      <c r="AG2" s="346" t="s">
        <v>126</v>
      </c>
      <c r="AH2" s="347"/>
      <c r="AI2" s="347"/>
      <c r="AJ2" s="347"/>
      <c r="AK2" s="347"/>
      <c r="AL2" s="348"/>
      <c r="AM2" s="51"/>
      <c r="AN2" s="346" t="s">
        <v>127</v>
      </c>
      <c r="AO2" s="347"/>
      <c r="AP2" s="347"/>
      <c r="AQ2" s="347"/>
      <c r="AR2" s="348"/>
      <c r="AT2" s="346" t="s">
        <v>127</v>
      </c>
      <c r="AU2" s="347"/>
      <c r="AV2" s="347"/>
      <c r="AW2" s="347"/>
      <c r="AX2" s="348"/>
      <c r="AZ2" s="356" t="s">
        <v>128</v>
      </c>
      <c r="BA2" s="357"/>
      <c r="BB2" s="357"/>
      <c r="BC2" s="357"/>
      <c r="BD2" s="358"/>
      <c r="BE2" s="51"/>
      <c r="BF2" s="343" t="s">
        <v>129</v>
      </c>
      <c r="BG2" s="344"/>
      <c r="BH2" s="344"/>
      <c r="BI2" s="345"/>
    </row>
    <row r="3" spans="1:62" ht="26.25" customHeight="1" x14ac:dyDescent="0.25">
      <c r="A3" s="349" t="s">
        <v>130</v>
      </c>
      <c r="B3" s="352" t="s">
        <v>131</v>
      </c>
      <c r="C3" s="56" t="s">
        <v>45</v>
      </c>
      <c r="D3" s="57"/>
      <c r="E3" s="349" t="s">
        <v>132</v>
      </c>
      <c r="F3" s="352" t="s">
        <v>133</v>
      </c>
      <c r="G3" s="56" t="s">
        <v>118</v>
      </c>
      <c r="H3" s="57"/>
      <c r="I3" s="349" t="s">
        <v>130</v>
      </c>
      <c r="J3" s="352" t="s">
        <v>133</v>
      </c>
      <c r="K3" s="55" t="s">
        <v>45</v>
      </c>
      <c r="L3" s="56" t="s">
        <v>46</v>
      </c>
      <c r="M3" s="56" t="s">
        <v>118</v>
      </c>
      <c r="N3" s="56" t="s">
        <v>134</v>
      </c>
      <c r="O3" s="57"/>
      <c r="P3" s="349" t="s">
        <v>132</v>
      </c>
      <c r="Q3" s="352" t="s">
        <v>135</v>
      </c>
      <c r="R3" s="56" t="s">
        <v>118</v>
      </c>
      <c r="S3" s="57"/>
      <c r="T3" s="349" t="s">
        <v>130</v>
      </c>
      <c r="U3" s="352" t="s">
        <v>135</v>
      </c>
      <c r="V3" s="55" t="s">
        <v>45</v>
      </c>
      <c r="W3" s="56" t="s">
        <v>46</v>
      </c>
      <c r="X3" s="56" t="s">
        <v>118</v>
      </c>
      <c r="Y3" s="56" t="s">
        <v>134</v>
      </c>
      <c r="Z3" s="57"/>
      <c r="AA3" s="352" t="s">
        <v>132</v>
      </c>
      <c r="AB3" s="56" t="s">
        <v>45</v>
      </c>
      <c r="AC3" s="56" t="s">
        <v>46</v>
      </c>
      <c r="AD3" s="56" t="s">
        <v>118</v>
      </c>
      <c r="AE3" s="56" t="s">
        <v>134</v>
      </c>
      <c r="AF3" s="57"/>
      <c r="AG3" s="359" t="s">
        <v>136</v>
      </c>
      <c r="AH3" s="352" t="s">
        <v>137</v>
      </c>
      <c r="AI3" s="285" t="s">
        <v>45</v>
      </c>
      <c r="AJ3" s="285" t="s">
        <v>46</v>
      </c>
      <c r="AK3" s="285" t="s">
        <v>118</v>
      </c>
      <c r="AL3" s="119" t="s">
        <v>134</v>
      </c>
      <c r="AM3" s="57"/>
      <c r="AN3" s="359" t="s">
        <v>136</v>
      </c>
      <c r="AO3" s="285" t="s">
        <v>45</v>
      </c>
      <c r="AP3" s="285" t="s">
        <v>46</v>
      </c>
      <c r="AQ3" s="285" t="s">
        <v>118</v>
      </c>
      <c r="AR3" s="119" t="s">
        <v>134</v>
      </c>
      <c r="AT3" s="359" t="s">
        <v>136</v>
      </c>
      <c r="AU3" s="285" t="s">
        <v>45</v>
      </c>
      <c r="AV3" s="285" t="s">
        <v>46</v>
      </c>
      <c r="AW3" s="285" t="s">
        <v>118</v>
      </c>
      <c r="AX3" s="119" t="s">
        <v>134</v>
      </c>
      <c r="AZ3" s="359" t="s">
        <v>136</v>
      </c>
      <c r="BA3" s="285" t="s">
        <v>45</v>
      </c>
      <c r="BB3" s="285" t="s">
        <v>46</v>
      </c>
      <c r="BC3" s="285" t="s">
        <v>118</v>
      </c>
      <c r="BD3" s="119" t="s">
        <v>134</v>
      </c>
      <c r="BE3" s="57"/>
      <c r="BF3" s="58" t="s">
        <v>45</v>
      </c>
      <c r="BG3" s="284" t="s">
        <v>46</v>
      </c>
      <c r="BH3" s="284" t="s">
        <v>118</v>
      </c>
      <c r="BI3" s="56" t="s">
        <v>134</v>
      </c>
      <c r="BJ3" s="170" t="s">
        <v>109</v>
      </c>
    </row>
    <row r="4" spans="1:62" x14ac:dyDescent="0.25">
      <c r="A4" s="350"/>
      <c r="B4" s="353"/>
      <c r="C4" s="59">
        <v>1</v>
      </c>
      <c r="D4" s="61"/>
      <c r="E4" s="350"/>
      <c r="F4" s="353"/>
      <c r="G4" s="59">
        <v>1</v>
      </c>
      <c r="H4" s="61"/>
      <c r="I4" s="350"/>
      <c r="J4" s="353"/>
      <c r="K4" s="59">
        <f>K5/N5</f>
        <v>0.82843525340903346</v>
      </c>
      <c r="L4" s="59">
        <f>L5/N5</f>
        <v>1.2132533186046656E-2</v>
      </c>
      <c r="M4" s="59">
        <f>M5/N5</f>
        <v>0.15943221340491986</v>
      </c>
      <c r="N4" s="59">
        <f>SUM(K4:M4)</f>
        <v>1</v>
      </c>
      <c r="O4" s="61"/>
      <c r="P4" s="350"/>
      <c r="Q4" s="353"/>
      <c r="R4" s="59">
        <v>1</v>
      </c>
      <c r="S4" s="61"/>
      <c r="T4" s="350"/>
      <c r="U4" s="353"/>
      <c r="V4" s="59">
        <f>V5/Y5</f>
        <v>0.82363977485928708</v>
      </c>
      <c r="W4" s="59">
        <f>W5/Y5</f>
        <v>1.50093808630394E-2</v>
      </c>
      <c r="X4" s="59">
        <f>X5/Y5</f>
        <v>0.16135084427767354</v>
      </c>
      <c r="Y4" s="59">
        <f>SUM(V4:X4)</f>
        <v>1</v>
      </c>
      <c r="Z4" s="61"/>
      <c r="AA4" s="353"/>
      <c r="AB4" s="59">
        <f>AB5/AE5</f>
        <v>0.77526721127540776</v>
      </c>
      <c r="AC4" s="59">
        <f>AC5/AE5</f>
        <v>1.1355183471669261E-2</v>
      </c>
      <c r="AD4" s="59">
        <f>AD5/AE5</f>
        <v>0.21337760525292296</v>
      </c>
      <c r="AE4" s="59">
        <f>SUM(AB4:AD4)</f>
        <v>1</v>
      </c>
      <c r="AF4" s="77"/>
      <c r="AG4" s="360"/>
      <c r="AH4" s="353"/>
      <c r="AI4" s="59">
        <f>AI5/AL5</f>
        <v>0.90224037530762302</v>
      </c>
      <c r="AJ4" s="59">
        <f>AJ5/AL5</f>
        <v>9.1186886081634257E-3</v>
      </c>
      <c r="AK4" s="59">
        <f>AK5/AL5</f>
        <v>8.8640936084213598E-2</v>
      </c>
      <c r="AL4" s="60">
        <f>SUM(AI4:AK4)</f>
        <v>1</v>
      </c>
      <c r="AM4" s="51"/>
      <c r="AN4" s="360"/>
      <c r="AO4" s="59">
        <f>AO5/AR5</f>
        <v>0.90222269291359425</v>
      </c>
      <c r="AP4" s="59">
        <f>AP5/AR5</f>
        <v>9.1211162445888876E-3</v>
      </c>
      <c r="AQ4" s="59">
        <f>AQ5/AR5</f>
        <v>8.8656190841816807E-2</v>
      </c>
      <c r="AR4" s="60">
        <f>SUM(AO4:AQ4)</f>
        <v>1</v>
      </c>
      <c r="AT4" s="360"/>
      <c r="AU4" s="59">
        <f>AU5/AX5</f>
        <v>0.90299296451501287</v>
      </c>
      <c r="AV4" s="59">
        <f>AV5/AX5</f>
        <v>1.0658951981853831E-2</v>
      </c>
      <c r="AW4" s="59">
        <f>AW5/AX5</f>
        <v>8.6348083503133291E-2</v>
      </c>
      <c r="AX4" s="60">
        <f>SUM(AU4:AW4)</f>
        <v>1</v>
      </c>
      <c r="AZ4" s="360"/>
      <c r="BA4" s="59">
        <f>BA5/BD5</f>
        <v>0.90236973309502022</v>
      </c>
      <c r="BB4" s="59">
        <f>BB5/BD5</f>
        <v>9.3934133221588428E-3</v>
      </c>
      <c r="BC4" s="59">
        <f>BC5/BD5</f>
        <v>8.8236853582820934E-2</v>
      </c>
      <c r="BD4" s="60">
        <f>SUM(BA4:BC4)</f>
        <v>1</v>
      </c>
      <c r="BE4" s="51"/>
      <c r="BF4" s="59">
        <f>BF5/$BI5</f>
        <v>0.8169033027857785</v>
      </c>
      <c r="BG4" s="59">
        <f>BG5/$BI5</f>
        <v>1.0706805420763223E-2</v>
      </c>
      <c r="BH4" s="59">
        <f>BH5/$BI5</f>
        <v>0.17238989179345826</v>
      </c>
      <c r="BI4" s="59">
        <f t="shared" ref="BI4:BI35" si="0">SUM(BF4:BH4)</f>
        <v>1</v>
      </c>
      <c r="BJ4" s="117"/>
    </row>
    <row r="5" spans="1:62" ht="28.35" customHeight="1" x14ac:dyDescent="0.25">
      <c r="A5" s="351"/>
      <c r="B5" s="354"/>
      <c r="C5" s="64">
        <f>'1a SFY 23-24 Q1 ABAWD'!L4</f>
        <v>1305</v>
      </c>
      <c r="D5" s="65"/>
      <c r="E5" s="351"/>
      <c r="F5" s="354"/>
      <c r="G5" s="64">
        <f>SUM('2a SFY 23-24 Q1 CalSAWS '!Z:Z)-SUM('2b SFY 23-24 Q1 CalSAWS MO'!Z:Z)</f>
        <v>69286</v>
      </c>
      <c r="H5" s="65"/>
      <c r="I5" s="351"/>
      <c r="J5" s="354"/>
      <c r="K5" s="64">
        <f>SUM('2b SFY 23-24 Q1 CalSAWS MO'!X:X)</f>
        <v>934441</v>
      </c>
      <c r="L5" s="64">
        <f>SUM('2b SFY 23-24 Q1 CalSAWS MO'!Y:Y)</f>
        <v>13685</v>
      </c>
      <c r="M5" s="64">
        <f>SUM('2b SFY 23-24 Q1 CalSAWS MO'!Z:Z)</f>
        <v>179833</v>
      </c>
      <c r="N5" s="64">
        <f>SUM(K5:M5)</f>
        <v>1127959</v>
      </c>
      <c r="O5" s="65"/>
      <c r="P5" s="351"/>
      <c r="Q5" s="354"/>
      <c r="R5" s="64">
        <f>SUM('2c SFY 2223 Q1 Adj-Late CalSAWS'!Z:Z)-SUM('2d SFY 22-23 Q1 Adj-Late MO'!Z:Z)</f>
        <v>8103</v>
      </c>
      <c r="S5" s="65"/>
      <c r="T5" s="351"/>
      <c r="U5" s="354"/>
      <c r="V5" s="64">
        <f>SUM('2d SFY 22-23 Q1 Adj-Late MO'!X:X)</f>
        <v>439</v>
      </c>
      <c r="W5" s="64">
        <f>SUM('2d SFY 22-23 Q1 Adj-Late MO'!Y:Y)</f>
        <v>8</v>
      </c>
      <c r="X5" s="64">
        <f>SUM('2d SFY 22-23 Q1 Adj-Late MO'!Z:Z)</f>
        <v>86</v>
      </c>
      <c r="Y5" s="64">
        <f>SUM(V5:X5)</f>
        <v>533</v>
      </c>
      <c r="Z5" s="65"/>
      <c r="AA5" s="354"/>
      <c r="AB5" s="64">
        <f>SUM(K5,V5)</f>
        <v>934880</v>
      </c>
      <c r="AC5" s="64">
        <f>SUM(L5,W5)</f>
        <v>13693</v>
      </c>
      <c r="AD5" s="64">
        <f>SUM(G5,M5,R5,X5)</f>
        <v>257308</v>
      </c>
      <c r="AE5" s="64">
        <f t="shared" ref="AE5:AE36" si="1">SUM(AB5:AD5)</f>
        <v>1205881</v>
      </c>
      <c r="AF5" s="63"/>
      <c r="AG5" s="361"/>
      <c r="AH5" s="354"/>
      <c r="AI5" s="294">
        <f>SUMIF('3a SFY 23-24 Q1 CalWIN MO'!$A:$A,"San Bernardino",'3a SFY 23-24 Q1 CalWIN MO'!X:X)</f>
        <v>297327</v>
      </c>
      <c r="AJ5" s="294">
        <f>SUMIF('3a SFY 23-24 Q1 CalWIN MO'!$A:$A,"San Bernardino",'3a SFY 23-24 Q1 CalWIN MO'!Y:Y)</f>
        <v>3005</v>
      </c>
      <c r="AK5" s="294">
        <f>SUMIF('3a SFY 23-24 Q1 CalWIN MO'!$A:$A,"San Bernardino",'3a SFY 23-24 Q1 CalWIN MO'!Z:Z)</f>
        <v>29211</v>
      </c>
      <c r="AL5" s="62">
        <f>SUM(AI5:AK5)</f>
        <v>329543</v>
      </c>
      <c r="AM5" s="57"/>
      <c r="AN5" s="361"/>
      <c r="AO5" s="62">
        <f>SUM(AO6:AO63)</f>
        <v>136306</v>
      </c>
      <c r="AP5" s="62">
        <f>SUM(AP6:AP63)</f>
        <v>1378</v>
      </c>
      <c r="AQ5" s="62">
        <f>SUM(AQ6:AQ63)</f>
        <v>13394</v>
      </c>
      <c r="AR5" s="62">
        <f>SUM(AO5:AQ5)</f>
        <v>151078</v>
      </c>
      <c r="AT5" s="361"/>
      <c r="AU5" s="62">
        <f>SUM(AU6:AU63)</f>
        <v>93951</v>
      </c>
      <c r="AV5" s="62">
        <f>SUM(AV6:AV63)</f>
        <v>1109</v>
      </c>
      <c r="AW5" s="62">
        <f>SUM(AW6:AW63)</f>
        <v>8984</v>
      </c>
      <c r="AX5" s="62">
        <f>SUM(AU5:AW5)</f>
        <v>104044</v>
      </c>
      <c r="AZ5" s="361"/>
      <c r="BA5" s="62">
        <f t="shared" ref="BA5:BC6" si="2">SUM(AI5,AO5,AU5)</f>
        <v>527584</v>
      </c>
      <c r="BB5" s="62">
        <f t="shared" si="2"/>
        <v>5492</v>
      </c>
      <c r="BC5" s="62">
        <f t="shared" si="2"/>
        <v>51589</v>
      </c>
      <c r="BD5" s="62">
        <f>SUM(BA5:BC5)</f>
        <v>584665</v>
      </c>
      <c r="BE5" s="57"/>
      <c r="BF5" s="62">
        <f>SUM(C5,AB5,BA5)</f>
        <v>1463769</v>
      </c>
      <c r="BG5" s="62">
        <f>SUM(AC5,BB5)</f>
        <v>19185</v>
      </c>
      <c r="BH5" s="62">
        <f>SUM(AD5,BC5)</f>
        <v>308897</v>
      </c>
      <c r="BI5" s="67">
        <f t="shared" si="0"/>
        <v>1791851</v>
      </c>
      <c r="BJ5" s="98">
        <f t="shared" ref="BJ5:BJ36" si="3">SUM(C5+AE5+BD5)-BI5</f>
        <v>0</v>
      </c>
    </row>
    <row r="6" spans="1:62" x14ac:dyDescent="0.25">
      <c r="A6" s="25" t="s">
        <v>49</v>
      </c>
      <c r="B6" s="81"/>
      <c r="C6" s="25"/>
      <c r="D6" s="53"/>
      <c r="E6" s="47" t="s">
        <v>49</v>
      </c>
      <c r="F6" s="70">
        <f>'4b 58C 21-22 Persons Count'!AB3</f>
        <v>3.1600000000000003E-2</v>
      </c>
      <c r="G6" s="82">
        <f>ROUNDDOWN(G$5*$F6,0)</f>
        <v>2189</v>
      </c>
      <c r="H6" s="53"/>
      <c r="I6" s="25" t="s">
        <v>49</v>
      </c>
      <c r="J6" s="81"/>
      <c r="K6" s="25"/>
      <c r="L6" s="25"/>
      <c r="M6" s="81"/>
      <c r="N6" s="25"/>
      <c r="O6" s="53"/>
      <c r="P6" s="47" t="s">
        <v>49</v>
      </c>
      <c r="Q6" s="70">
        <f>'4a 58C 20-21 Persons Count'!AS3</f>
        <v>3.15E-2</v>
      </c>
      <c r="R6" s="82">
        <f>ROUNDDOWN(R$5*$F6,0)</f>
        <v>256</v>
      </c>
      <c r="S6" s="53"/>
      <c r="T6" s="25" t="s">
        <v>49</v>
      </c>
      <c r="U6" s="81"/>
      <c r="V6" s="25"/>
      <c r="W6" s="25"/>
      <c r="X6" s="81"/>
      <c r="Y6" s="25"/>
      <c r="Z6" s="53"/>
      <c r="AA6" s="71" t="s">
        <v>49</v>
      </c>
      <c r="AB6" s="21">
        <f>SUM(K6,V6)</f>
        <v>0</v>
      </c>
      <c r="AC6" s="21">
        <f>SUM(L6,W6)</f>
        <v>0</v>
      </c>
      <c r="AD6" s="21">
        <f>SUM(G6,M6,R6,X6)</f>
        <v>2445</v>
      </c>
      <c r="AE6" s="64">
        <f t="shared" si="1"/>
        <v>2445</v>
      </c>
      <c r="AF6" s="73"/>
      <c r="AG6" s="21" t="s">
        <v>49</v>
      </c>
      <c r="AH6" s="74">
        <f>'5b SFY 2324 CalWIN MO Share Tbl'!J7</f>
        <v>9.2799999999999994E-2</v>
      </c>
      <c r="AI6" s="82">
        <f>ROUND(AH6*AI$5,0)+1</f>
        <v>27593</v>
      </c>
      <c r="AJ6" s="82">
        <f>ROUND(AH6*AJ$5,0)+1</f>
        <v>280</v>
      </c>
      <c r="AK6" s="82">
        <f>ROUNDUP(AH6*AK$5,0)</f>
        <v>2711</v>
      </c>
      <c r="AL6" s="76">
        <f>SUM(AI6:AK6)</f>
        <v>30584</v>
      </c>
      <c r="AM6" s="51"/>
      <c r="AN6" s="75" t="s">
        <v>49</v>
      </c>
      <c r="AO6" s="75">
        <f>SUMIF('3a SFY 23-24 Q1 CalWIN MO'!$A:$A,'SFY 23-24 Q1 Share Calculations'!$AN6,'3a SFY 23-24 Q1 CalWIN MO'!X:X)</f>
        <v>18053</v>
      </c>
      <c r="AP6" s="75">
        <f>SUMIF('3a SFY 23-24 Q1 CalWIN MO'!$A:$A,'SFY 23-24 Q1 Share Calculations'!$AN6,'3a SFY 23-24 Q1 CalWIN MO'!Y:Y)</f>
        <v>183</v>
      </c>
      <c r="AQ6" s="75">
        <f>SUMIF('3a SFY 23-24 Q1 CalWIN MO'!$A:$A,'SFY 23-24 Q1 Share Calculations'!$AN6,'3a SFY 23-24 Q1 CalWIN MO'!Z:Z)</f>
        <v>1774</v>
      </c>
      <c r="AR6" s="84">
        <f>SUM(AO6:AQ6)</f>
        <v>20010</v>
      </c>
      <c r="AT6" s="75" t="s">
        <v>49</v>
      </c>
      <c r="AU6" s="75">
        <f>SUMIF('3b SFY 22-23 Q1 Adj-Late MO'!$A:$A,'SFY 23-24 Q1 Share Calculations'!$AT6,'3b SFY 22-23 Q1 Adj-Late MO'!X:X)</f>
        <v>21835</v>
      </c>
      <c r="AV6" s="75">
        <f>SUMIF('3b SFY 22-23 Q1 Adj-Late MO'!$A:$A,'SFY 23-24 Q1 Share Calculations'!$AT6,'3b SFY 22-23 Q1 Adj-Late MO'!Y:Y)</f>
        <v>258</v>
      </c>
      <c r="AW6" s="75">
        <f>SUMIF('3b SFY 22-23 Q1 Adj-Late MO'!$A:$A,'SFY 23-24 Q1 Share Calculations'!$AT6,'3b SFY 22-23 Q1 Adj-Late MO'!Z:Z)</f>
        <v>2088</v>
      </c>
      <c r="AX6" s="84">
        <f>SUM(AU6:AW6)</f>
        <v>24181</v>
      </c>
      <c r="AZ6" s="75" t="s">
        <v>49</v>
      </c>
      <c r="BA6" s="76">
        <f t="shared" si="2"/>
        <v>67481</v>
      </c>
      <c r="BB6" s="76">
        <f t="shared" si="2"/>
        <v>721</v>
      </c>
      <c r="BC6" s="76">
        <f t="shared" si="2"/>
        <v>6573</v>
      </c>
      <c r="BD6" s="84">
        <f>SUM(BA6:BC6)</f>
        <v>74775</v>
      </c>
      <c r="BE6" s="51"/>
      <c r="BF6" s="62">
        <f t="shared" ref="BF6:BF63" si="4">SUM(C6,AB6,BA6)</f>
        <v>67481</v>
      </c>
      <c r="BG6" s="62">
        <f t="shared" ref="BG6:BG63" si="5">SUM(AC6,BB6)</f>
        <v>721</v>
      </c>
      <c r="BH6" s="62">
        <f t="shared" ref="BH6:BH63" si="6">SUM(AD6,BC6)</f>
        <v>9018</v>
      </c>
      <c r="BI6" s="67">
        <f t="shared" si="0"/>
        <v>77220</v>
      </c>
      <c r="BJ6" s="98">
        <f t="shared" si="3"/>
        <v>0</v>
      </c>
    </row>
    <row r="7" spans="1:62" x14ac:dyDescent="0.25">
      <c r="A7" s="47" t="s">
        <v>50</v>
      </c>
      <c r="B7" s="70">
        <f>'4b 58C 21-22 Persons Count'!Y4</f>
        <v>0</v>
      </c>
      <c r="C7" s="71">
        <f t="shared" ref="C7:C24" si="7">ROUND(B7*C$5,0)</f>
        <v>0</v>
      </c>
      <c r="D7" s="53"/>
      <c r="E7" s="47" t="s">
        <v>50</v>
      </c>
      <c r="F7" s="70">
        <f>'4b 58C 21-22 Persons Count'!AB4</f>
        <v>0</v>
      </c>
      <c r="G7" s="71">
        <f t="shared" ref="G7:G23" si="8">ROUND(G$5*$F7,0)</f>
        <v>0</v>
      </c>
      <c r="H7" s="53"/>
      <c r="I7" s="47" t="s">
        <v>50</v>
      </c>
      <c r="J7" s="70">
        <f>'4b 58C 21-22 Persons Count'!W4</f>
        <v>0</v>
      </c>
      <c r="K7" s="71">
        <f>ROUND($K$5*J7,0)</f>
        <v>0</v>
      </c>
      <c r="L7" s="71">
        <f>ROUND($L$5*J7,0)</f>
        <v>0</v>
      </c>
      <c r="M7" s="71">
        <f>ROUND($M$5*J7,0)</f>
        <v>0</v>
      </c>
      <c r="N7" s="21">
        <f t="shared" ref="N7:N11" si="9">SUM(K7:M7)</f>
        <v>0</v>
      </c>
      <c r="O7" s="53"/>
      <c r="P7" s="47" t="s">
        <v>50</v>
      </c>
      <c r="Q7" s="70">
        <f>'4a 58C 20-21 Persons Count'!AS4</f>
        <v>0</v>
      </c>
      <c r="R7" s="71">
        <f t="shared" ref="R7:R63" si="10">ROUND(R$5*$F7,0)</f>
        <v>0</v>
      </c>
      <c r="S7" s="53"/>
      <c r="T7" s="47" t="s">
        <v>50</v>
      </c>
      <c r="U7" s="70">
        <f>'4a 58C 20-21 Persons Count'!AI4</f>
        <v>0</v>
      </c>
      <c r="V7" s="71">
        <f>ROUND($V$5*U7,0)</f>
        <v>0</v>
      </c>
      <c r="W7" s="71">
        <f>ROUND($W$5*U7,0)</f>
        <v>0</v>
      </c>
      <c r="X7" s="71">
        <f>ROUND($X$5*U7,0)</f>
        <v>0</v>
      </c>
      <c r="Y7" s="21">
        <f t="shared" ref="Y7:Y8" si="11">SUM(V7:X7)</f>
        <v>0</v>
      </c>
      <c r="Z7" s="53"/>
      <c r="AA7" s="71" t="s">
        <v>50</v>
      </c>
      <c r="AB7" s="21">
        <f t="shared" ref="AB7:AB63" si="12">SUM(K7,V7)</f>
        <v>0</v>
      </c>
      <c r="AC7" s="21">
        <f t="shared" ref="AC7:AC63" si="13">SUM(L7,W7)</f>
        <v>0</v>
      </c>
      <c r="AD7" s="21">
        <f t="shared" ref="AD7:AD63" si="14">SUM(G7,M7,R7,X7)</f>
        <v>0</v>
      </c>
      <c r="AE7" s="64">
        <f t="shared" si="1"/>
        <v>0</v>
      </c>
      <c r="AF7" s="77"/>
      <c r="AG7" s="25" t="s">
        <v>50</v>
      </c>
      <c r="AH7" s="78"/>
      <c r="AI7" s="25"/>
      <c r="AJ7" s="25"/>
      <c r="AK7" s="25"/>
      <c r="AL7" s="25"/>
      <c r="AM7" s="63"/>
      <c r="AN7" s="79" t="s">
        <v>50</v>
      </c>
      <c r="AO7" s="79"/>
      <c r="AP7" s="79"/>
      <c r="AQ7" s="79"/>
      <c r="AR7" s="79"/>
      <c r="AT7" s="79" t="s">
        <v>50</v>
      </c>
      <c r="AU7" s="79"/>
      <c r="AV7" s="79"/>
      <c r="AW7" s="79"/>
      <c r="AX7" s="79"/>
      <c r="AZ7" s="79" t="s">
        <v>50</v>
      </c>
      <c r="BA7" s="244"/>
      <c r="BB7" s="244"/>
      <c r="BC7" s="244"/>
      <c r="BD7" s="245"/>
      <c r="BE7" s="63"/>
      <c r="BF7" s="62">
        <f t="shared" si="4"/>
        <v>0</v>
      </c>
      <c r="BG7" s="62">
        <f t="shared" si="5"/>
        <v>0</v>
      </c>
      <c r="BH7" s="62">
        <f t="shared" si="6"/>
        <v>0</v>
      </c>
      <c r="BI7" s="67">
        <f t="shared" si="0"/>
        <v>0</v>
      </c>
      <c r="BJ7" s="98">
        <f t="shared" si="3"/>
        <v>0</v>
      </c>
    </row>
    <row r="8" spans="1:62" x14ac:dyDescent="0.25">
      <c r="A8" s="47" t="s">
        <v>51</v>
      </c>
      <c r="B8" s="70">
        <f>'4b 58C 21-22 Persons Count'!Y5</f>
        <v>1.1000000000000001E-3</v>
      </c>
      <c r="C8" s="71">
        <f>ROUND(B8*C$5,0)</f>
        <v>1</v>
      </c>
      <c r="D8" s="53"/>
      <c r="E8" s="47" t="s">
        <v>51</v>
      </c>
      <c r="F8" s="70">
        <f>'4b 58C 21-22 Persons Count'!AB5</f>
        <v>5.9999999999999995E-4</v>
      </c>
      <c r="G8" s="71">
        <f t="shared" si="8"/>
        <v>42</v>
      </c>
      <c r="H8" s="53"/>
      <c r="I8" s="47" t="s">
        <v>51</v>
      </c>
      <c r="J8" s="70">
        <f>'4b 58C 21-22 Persons Count'!W5</f>
        <v>1.1000000000000001E-3</v>
      </c>
      <c r="K8" s="72">
        <f>ROUND($K$5*J8,0)</f>
        <v>1028</v>
      </c>
      <c r="L8" s="72">
        <f t="shared" ref="L8:L63" si="15">ROUND($L$5*J8,0)</f>
        <v>15</v>
      </c>
      <c r="M8" s="72">
        <f>ROUND($M$5*J8,0)</f>
        <v>198</v>
      </c>
      <c r="N8" s="75">
        <f t="shared" si="9"/>
        <v>1241</v>
      </c>
      <c r="O8" s="53"/>
      <c r="P8" s="47" t="s">
        <v>51</v>
      </c>
      <c r="Q8" s="70">
        <f>'4a 58C 20-21 Persons Count'!AS5</f>
        <v>5.9999999999999995E-4</v>
      </c>
      <c r="R8" s="71">
        <f t="shared" si="10"/>
        <v>5</v>
      </c>
      <c r="S8" s="53"/>
      <c r="T8" s="47" t="s">
        <v>51</v>
      </c>
      <c r="U8" s="70">
        <f>'4a 58C 20-21 Persons Count'!AI5</f>
        <v>1E-3</v>
      </c>
      <c r="V8" s="71">
        <f t="shared" ref="V8:V34" si="16">ROUND($V$5*U8,0)</f>
        <v>0</v>
      </c>
      <c r="W8" s="71">
        <f t="shared" ref="W8:W34" si="17">ROUND($W$5*U8,0)</f>
        <v>0</v>
      </c>
      <c r="X8" s="71">
        <f t="shared" ref="X8:X34" si="18">ROUND($X$5*U8,0)</f>
        <v>0</v>
      </c>
      <c r="Y8" s="75">
        <f t="shared" si="11"/>
        <v>0</v>
      </c>
      <c r="Z8" s="53"/>
      <c r="AA8" s="71" t="s">
        <v>51</v>
      </c>
      <c r="AB8" s="21">
        <f t="shared" si="12"/>
        <v>1028</v>
      </c>
      <c r="AC8" s="21">
        <f t="shared" si="13"/>
        <v>15</v>
      </c>
      <c r="AD8" s="21">
        <f t="shared" si="14"/>
        <v>245</v>
      </c>
      <c r="AE8" s="64">
        <f t="shared" si="1"/>
        <v>1288</v>
      </c>
      <c r="AF8" s="77"/>
      <c r="AG8" s="25" t="s">
        <v>51</v>
      </c>
      <c r="AH8" s="80"/>
      <c r="AI8" s="25"/>
      <c r="AJ8" s="79"/>
      <c r="AK8" s="79"/>
      <c r="AL8" s="25"/>
      <c r="AM8" s="63"/>
      <c r="AN8" s="79" t="s">
        <v>51</v>
      </c>
      <c r="AO8" s="79"/>
      <c r="AP8" s="79"/>
      <c r="AQ8" s="79"/>
      <c r="AR8" s="79"/>
      <c r="AT8" s="79" t="s">
        <v>51</v>
      </c>
      <c r="AU8" s="79"/>
      <c r="AV8" s="79"/>
      <c r="AW8" s="79"/>
      <c r="AX8" s="79"/>
      <c r="AZ8" s="79" t="s">
        <v>51</v>
      </c>
      <c r="BA8" s="244"/>
      <c r="BB8" s="244"/>
      <c r="BC8" s="244"/>
      <c r="BD8" s="245"/>
      <c r="BE8" s="63"/>
      <c r="BF8" s="62">
        <f t="shared" si="4"/>
        <v>1029</v>
      </c>
      <c r="BG8" s="62">
        <f t="shared" si="5"/>
        <v>15</v>
      </c>
      <c r="BH8" s="62">
        <f t="shared" si="6"/>
        <v>245</v>
      </c>
      <c r="BI8" s="67">
        <f t="shared" si="0"/>
        <v>1289</v>
      </c>
      <c r="BJ8" s="98">
        <f t="shared" si="3"/>
        <v>0</v>
      </c>
    </row>
    <row r="9" spans="1:62" x14ac:dyDescent="0.25">
      <c r="A9" s="47" t="s">
        <v>52</v>
      </c>
      <c r="B9" s="70">
        <f>'4b 58C 21-22 Persons Count'!Y6</f>
        <v>1.1699999999999999E-2</v>
      </c>
      <c r="C9" s="71">
        <f t="shared" si="7"/>
        <v>15</v>
      </c>
      <c r="D9" s="53"/>
      <c r="E9" s="47" t="s">
        <v>52</v>
      </c>
      <c r="F9" s="70">
        <f>'4b 58C 21-22 Persons Count'!AB6</f>
        <v>5.8999999999999999E-3</v>
      </c>
      <c r="G9" s="71">
        <f t="shared" si="8"/>
        <v>409</v>
      </c>
      <c r="H9" s="53"/>
      <c r="I9" s="47" t="s">
        <v>52</v>
      </c>
      <c r="J9" s="70">
        <f>'4b 58C 21-22 Persons Count'!W6</f>
        <v>0.01</v>
      </c>
      <c r="K9" s="72">
        <f t="shared" ref="K9:K63" si="19">ROUND($K$5*J9,0)</f>
        <v>9344</v>
      </c>
      <c r="L9" s="72">
        <f t="shared" si="15"/>
        <v>137</v>
      </c>
      <c r="M9" s="72">
        <f t="shared" ref="M9:M63" si="20">ROUND($M$5*J9,0)</f>
        <v>1798</v>
      </c>
      <c r="N9" s="75">
        <f>SUM(K9:M9)</f>
        <v>11279</v>
      </c>
      <c r="O9" s="53"/>
      <c r="P9" s="47" t="s">
        <v>52</v>
      </c>
      <c r="Q9" s="70">
        <f>'4a 58C 20-21 Persons Count'!AS6</f>
        <v>5.8999999999999999E-3</v>
      </c>
      <c r="R9" s="71">
        <f t="shared" si="10"/>
        <v>48</v>
      </c>
      <c r="S9" s="53"/>
      <c r="T9" s="47" t="s">
        <v>52</v>
      </c>
      <c r="U9" s="70">
        <f>'4a 58C 20-21 Persons Count'!AI6</f>
        <v>0.01</v>
      </c>
      <c r="V9" s="71">
        <f t="shared" si="16"/>
        <v>4</v>
      </c>
      <c r="W9" s="71">
        <f t="shared" si="17"/>
        <v>0</v>
      </c>
      <c r="X9" s="71">
        <f t="shared" si="18"/>
        <v>1</v>
      </c>
      <c r="Y9" s="75">
        <f>SUM(V9:X9)</f>
        <v>5</v>
      </c>
      <c r="Z9" s="53"/>
      <c r="AA9" s="71" t="s">
        <v>52</v>
      </c>
      <c r="AB9" s="21">
        <f t="shared" si="12"/>
        <v>9348</v>
      </c>
      <c r="AC9" s="21">
        <f t="shared" si="13"/>
        <v>137</v>
      </c>
      <c r="AD9" s="21">
        <f t="shared" si="14"/>
        <v>2256</v>
      </c>
      <c r="AE9" s="64">
        <f t="shared" si="1"/>
        <v>11741</v>
      </c>
      <c r="AF9" s="77"/>
      <c r="AG9" s="25" t="s">
        <v>52</v>
      </c>
      <c r="AH9" s="80"/>
      <c r="AI9" s="25"/>
      <c r="AJ9" s="79"/>
      <c r="AK9" s="79"/>
      <c r="AL9" s="25"/>
      <c r="AM9" s="63"/>
      <c r="AN9" s="79" t="s">
        <v>52</v>
      </c>
      <c r="AO9" s="79"/>
      <c r="AP9" s="79"/>
      <c r="AQ9" s="79"/>
      <c r="AR9" s="79"/>
      <c r="AT9" s="79" t="s">
        <v>52</v>
      </c>
      <c r="AU9" s="79"/>
      <c r="AV9" s="79"/>
      <c r="AW9" s="79"/>
      <c r="AX9" s="79"/>
      <c r="AZ9" s="79" t="s">
        <v>52</v>
      </c>
      <c r="BA9" s="244"/>
      <c r="BB9" s="244"/>
      <c r="BC9" s="244"/>
      <c r="BD9" s="245"/>
      <c r="BE9" s="63"/>
      <c r="BF9" s="62">
        <f t="shared" si="4"/>
        <v>9363</v>
      </c>
      <c r="BG9" s="62">
        <f t="shared" si="5"/>
        <v>137</v>
      </c>
      <c r="BH9" s="62">
        <f t="shared" si="6"/>
        <v>2256</v>
      </c>
      <c r="BI9" s="67">
        <f t="shared" si="0"/>
        <v>11756</v>
      </c>
      <c r="BJ9" s="98">
        <f t="shared" si="3"/>
        <v>0</v>
      </c>
    </row>
    <row r="10" spans="1:62" x14ac:dyDescent="0.25">
      <c r="A10" s="47" t="s">
        <v>54</v>
      </c>
      <c r="B10" s="70">
        <f>'4b 58C 21-22 Persons Count'!Y7</f>
        <v>1.9E-3</v>
      </c>
      <c r="C10" s="71">
        <f>ROUND(B10*C$5,0)</f>
        <v>2</v>
      </c>
      <c r="D10" s="53"/>
      <c r="E10" s="47" t="s">
        <v>54</v>
      </c>
      <c r="F10" s="70">
        <f>'4b 58C 21-22 Persons Count'!AB7</f>
        <v>1E-3</v>
      </c>
      <c r="G10" s="82">
        <f>ROUNDDOWN(G$5*$F10,0)</f>
        <v>69</v>
      </c>
      <c r="H10" s="53"/>
      <c r="I10" s="47" t="s">
        <v>54</v>
      </c>
      <c r="J10" s="70">
        <f>'4b 58C 21-22 Persons Count'!W7</f>
        <v>1.6000000000000001E-3</v>
      </c>
      <c r="K10" s="72">
        <f>ROUND($K$5*J10,0)</f>
        <v>1495</v>
      </c>
      <c r="L10" s="72">
        <f t="shared" si="15"/>
        <v>22</v>
      </c>
      <c r="M10" s="72">
        <f>ROUND($M$5*J10,0)</f>
        <v>288</v>
      </c>
      <c r="N10" s="75">
        <f t="shared" si="9"/>
        <v>1805</v>
      </c>
      <c r="O10" s="53"/>
      <c r="P10" s="47" t="s">
        <v>54</v>
      </c>
      <c r="Q10" s="70">
        <f>'4a 58C 20-21 Persons Count'!AS7</f>
        <v>1E-3</v>
      </c>
      <c r="R10" s="82">
        <f>ROUNDDOWN(R$5*$F10,0)</f>
        <v>8</v>
      </c>
      <c r="S10" s="53"/>
      <c r="T10" s="47" t="s">
        <v>54</v>
      </c>
      <c r="U10" s="70">
        <f>'4a 58C 20-21 Persons Count'!AI7</f>
        <v>1.6000000000000001E-3</v>
      </c>
      <c r="V10" s="71">
        <f t="shared" si="16"/>
        <v>1</v>
      </c>
      <c r="W10" s="71">
        <f t="shared" si="17"/>
        <v>0</v>
      </c>
      <c r="X10" s="82">
        <f>ROUNDUP($X$5*U10,0)</f>
        <v>1</v>
      </c>
      <c r="Y10" s="75">
        <f t="shared" ref="Y10:Y11" si="21">SUM(V10:X10)</f>
        <v>2</v>
      </c>
      <c r="Z10" s="53"/>
      <c r="AA10" s="71" t="s">
        <v>54</v>
      </c>
      <c r="AB10" s="21">
        <f t="shared" si="12"/>
        <v>1496</v>
      </c>
      <c r="AC10" s="21">
        <f t="shared" si="13"/>
        <v>22</v>
      </c>
      <c r="AD10" s="21">
        <f t="shared" si="14"/>
        <v>366</v>
      </c>
      <c r="AE10" s="64">
        <f t="shared" si="1"/>
        <v>1884</v>
      </c>
      <c r="AF10" s="77"/>
      <c r="AG10" s="25" t="s">
        <v>54</v>
      </c>
      <c r="AH10" s="80"/>
      <c r="AI10" s="25"/>
      <c r="AJ10" s="79"/>
      <c r="AK10" s="79"/>
      <c r="AL10" s="25"/>
      <c r="AM10" s="63"/>
      <c r="AN10" s="79" t="s">
        <v>54</v>
      </c>
      <c r="AO10" s="79"/>
      <c r="AP10" s="79"/>
      <c r="AQ10" s="79"/>
      <c r="AR10" s="79"/>
      <c r="AT10" s="79" t="s">
        <v>54</v>
      </c>
      <c r="AU10" s="79"/>
      <c r="AV10" s="79"/>
      <c r="AW10" s="79"/>
      <c r="AX10" s="79"/>
      <c r="AZ10" s="79" t="s">
        <v>54</v>
      </c>
      <c r="BA10" s="244"/>
      <c r="BB10" s="244"/>
      <c r="BC10" s="244"/>
      <c r="BD10" s="245"/>
      <c r="BE10" s="63"/>
      <c r="BF10" s="62">
        <f t="shared" si="4"/>
        <v>1498</v>
      </c>
      <c r="BG10" s="62">
        <f t="shared" si="5"/>
        <v>22</v>
      </c>
      <c r="BH10" s="62">
        <f t="shared" si="6"/>
        <v>366</v>
      </c>
      <c r="BI10" s="67">
        <f t="shared" si="0"/>
        <v>1886</v>
      </c>
      <c r="BJ10" s="98">
        <f t="shared" si="3"/>
        <v>0</v>
      </c>
    </row>
    <row r="11" spans="1:62" x14ac:dyDescent="0.25">
      <c r="A11" s="47" t="s">
        <v>55</v>
      </c>
      <c r="B11" s="70">
        <f>'4b 58C 21-22 Persons Count'!Y8</f>
        <v>8.0000000000000004E-4</v>
      </c>
      <c r="C11" s="71">
        <f>ROUND(B11*C$5,0)</f>
        <v>1</v>
      </c>
      <c r="D11" s="53"/>
      <c r="E11" s="47" t="s">
        <v>55</v>
      </c>
      <c r="F11" s="70">
        <f>'4b 58C 21-22 Persons Count'!AB8</f>
        <v>6.9999999999999999E-4</v>
      </c>
      <c r="G11" s="71">
        <f t="shared" si="8"/>
        <v>49</v>
      </c>
      <c r="H11" s="53"/>
      <c r="I11" s="47" t="s">
        <v>55</v>
      </c>
      <c r="J11" s="70">
        <f>'4b 58C 21-22 Persons Count'!W8</f>
        <v>1.1000000000000001E-3</v>
      </c>
      <c r="K11" s="72">
        <f t="shared" si="19"/>
        <v>1028</v>
      </c>
      <c r="L11" s="72">
        <f t="shared" si="15"/>
        <v>15</v>
      </c>
      <c r="M11" s="72">
        <f t="shared" si="20"/>
        <v>198</v>
      </c>
      <c r="N11" s="75">
        <f t="shared" si="9"/>
        <v>1241</v>
      </c>
      <c r="O11" s="53"/>
      <c r="P11" s="47" t="s">
        <v>55</v>
      </c>
      <c r="Q11" s="70">
        <f>'4a 58C 20-21 Persons Count'!AS8</f>
        <v>6.9999999999999999E-4</v>
      </c>
      <c r="R11" s="71">
        <f t="shared" si="10"/>
        <v>6</v>
      </c>
      <c r="S11" s="53"/>
      <c r="T11" s="47" t="s">
        <v>55</v>
      </c>
      <c r="U11" s="70">
        <f>'4a 58C 20-21 Persons Count'!AI8</f>
        <v>1.1000000000000001E-3</v>
      </c>
      <c r="V11" s="71">
        <f t="shared" si="16"/>
        <v>0</v>
      </c>
      <c r="W11" s="71">
        <f t="shared" si="17"/>
        <v>0</v>
      </c>
      <c r="X11" s="71">
        <f t="shared" si="18"/>
        <v>0</v>
      </c>
      <c r="Y11" s="75">
        <f t="shared" si="21"/>
        <v>0</v>
      </c>
      <c r="Z11" s="53"/>
      <c r="AA11" s="71" t="s">
        <v>55</v>
      </c>
      <c r="AB11" s="21">
        <f t="shared" si="12"/>
        <v>1028</v>
      </c>
      <c r="AC11" s="21">
        <f t="shared" si="13"/>
        <v>15</v>
      </c>
      <c r="AD11" s="21">
        <f t="shared" si="14"/>
        <v>253</v>
      </c>
      <c r="AE11" s="64">
        <f t="shared" si="1"/>
        <v>1296</v>
      </c>
      <c r="AF11" s="77"/>
      <c r="AG11" s="25" t="s">
        <v>55</v>
      </c>
      <c r="AH11" s="80"/>
      <c r="AI11" s="25"/>
      <c r="AJ11" s="79"/>
      <c r="AK11" s="79"/>
      <c r="AL11" s="25"/>
      <c r="AM11" s="63"/>
      <c r="AN11" s="79" t="s">
        <v>55</v>
      </c>
      <c r="AO11" s="79"/>
      <c r="AP11" s="79"/>
      <c r="AQ11" s="79"/>
      <c r="AR11" s="79"/>
      <c r="AT11" s="79" t="s">
        <v>55</v>
      </c>
      <c r="AU11" s="79"/>
      <c r="AV11" s="79"/>
      <c r="AW11" s="79"/>
      <c r="AX11" s="79"/>
      <c r="AZ11" s="79" t="s">
        <v>55</v>
      </c>
      <c r="BA11" s="244"/>
      <c r="BB11" s="244"/>
      <c r="BC11" s="244"/>
      <c r="BD11" s="245"/>
      <c r="BE11" s="63"/>
      <c r="BF11" s="62">
        <f t="shared" si="4"/>
        <v>1029</v>
      </c>
      <c r="BG11" s="62">
        <f t="shared" si="5"/>
        <v>15</v>
      </c>
      <c r="BH11" s="62">
        <f t="shared" si="6"/>
        <v>253</v>
      </c>
      <c r="BI11" s="67">
        <f t="shared" si="0"/>
        <v>1297</v>
      </c>
      <c r="BJ11" s="98">
        <f t="shared" si="3"/>
        <v>0</v>
      </c>
    </row>
    <row r="12" spans="1:62" x14ac:dyDescent="0.25">
      <c r="A12" s="25" t="s">
        <v>56</v>
      </c>
      <c r="B12" s="25"/>
      <c r="C12" s="25"/>
      <c r="D12" s="53"/>
      <c r="E12" s="47" t="s">
        <v>56</v>
      </c>
      <c r="F12" s="70">
        <f>'4b 58C 21-22 Persons Count'!AB9</f>
        <v>2.0199999999999999E-2</v>
      </c>
      <c r="G12" s="82">
        <f>ROUNDDOWN(G$5*$F12,0)</f>
        <v>1399</v>
      </c>
      <c r="H12" s="53"/>
      <c r="I12" s="25" t="s">
        <v>56</v>
      </c>
      <c r="J12" s="25"/>
      <c r="K12" s="79"/>
      <c r="L12" s="79"/>
      <c r="M12" s="79"/>
      <c r="N12" s="79"/>
      <c r="O12" s="53"/>
      <c r="P12" s="47" t="s">
        <v>56</v>
      </c>
      <c r="Q12" s="70">
        <f>'4a 58C 20-21 Persons Count'!AS9</f>
        <v>1.9800000000000002E-2</v>
      </c>
      <c r="R12" s="82">
        <f>ROUNDDOWN(R$5*$F12,0)</f>
        <v>163</v>
      </c>
      <c r="S12" s="53"/>
      <c r="T12" s="25" t="s">
        <v>56</v>
      </c>
      <c r="U12" s="25"/>
      <c r="V12" s="79"/>
      <c r="W12" s="79"/>
      <c r="X12" s="79"/>
      <c r="Y12" s="79"/>
      <c r="Z12" s="53"/>
      <c r="AA12" s="71" t="s">
        <v>56</v>
      </c>
      <c r="AB12" s="21">
        <f t="shared" si="12"/>
        <v>0</v>
      </c>
      <c r="AC12" s="21">
        <f t="shared" si="13"/>
        <v>0</v>
      </c>
      <c r="AD12" s="21">
        <f t="shared" si="14"/>
        <v>1562</v>
      </c>
      <c r="AE12" s="64">
        <f t="shared" si="1"/>
        <v>1562</v>
      </c>
      <c r="AF12" s="77"/>
      <c r="AG12" s="21" t="s">
        <v>56</v>
      </c>
      <c r="AH12" s="74">
        <f>'5b SFY 2324 CalWIN MO Share Tbl'!J8</f>
        <v>4.5999999999999999E-2</v>
      </c>
      <c r="AI12" s="71">
        <f t="shared" ref="AI12" si="22">ROUND(AH12*AI$5,0)</f>
        <v>13677</v>
      </c>
      <c r="AJ12" s="71">
        <f>ROUND(AH12*AJ$5,0)</f>
        <v>138</v>
      </c>
      <c r="AK12" s="71">
        <f>ROUND(AH12*AK$5,0)</f>
        <v>1344</v>
      </c>
      <c r="AL12" s="76">
        <f>SUM(AI12:AK12)</f>
        <v>15159</v>
      </c>
      <c r="AM12" s="63"/>
      <c r="AN12" s="75" t="s">
        <v>56</v>
      </c>
      <c r="AO12" s="75">
        <f>SUMIF('3a SFY 23-24 Q1 CalWIN MO'!$A:$A,'SFY 23-24 Q1 Share Calculations'!$AN12,'3a SFY 23-24 Q1 CalWIN MO'!X:X)</f>
        <v>5433</v>
      </c>
      <c r="AP12" s="75">
        <f>SUMIF('3a SFY 23-24 Q1 CalWIN MO'!$A:$A,'SFY 23-24 Q1 Share Calculations'!$AN12,'3a SFY 23-24 Q1 CalWIN MO'!Y:Y)</f>
        <v>55</v>
      </c>
      <c r="AQ12" s="75">
        <f>SUMIF('3a SFY 23-24 Q1 CalWIN MO'!$A:$A,'SFY 23-24 Q1 Share Calculations'!$AN12,'3a SFY 23-24 Q1 CalWIN MO'!Z:Z)</f>
        <v>534</v>
      </c>
      <c r="AR12" s="84">
        <f>SUM(AO12:AQ12)</f>
        <v>6022</v>
      </c>
      <c r="AT12" s="75" t="s">
        <v>56</v>
      </c>
      <c r="AU12" s="75">
        <f>SUMIF('3b SFY 22-23 Q1 Adj-Late MO'!$A:$A,'SFY 23-24 Q1 Share Calculations'!$AT12,'3b SFY 22-23 Q1 Adj-Late MO'!X:X)</f>
        <v>0</v>
      </c>
      <c r="AV12" s="75">
        <f>SUMIF('3b SFY 22-23 Q1 Adj-Late MO'!$A:$A,'SFY 23-24 Q1 Share Calculations'!$AT12,'3b SFY 22-23 Q1 Adj-Late MO'!Y:Y)</f>
        <v>0</v>
      </c>
      <c r="AW12" s="75">
        <f>SUMIF('3b SFY 22-23 Q1 Adj-Late MO'!$A:$A,'SFY 23-24 Q1 Share Calculations'!$AT12,'3b SFY 22-23 Q1 Adj-Late MO'!Z:Z)</f>
        <v>0</v>
      </c>
      <c r="AX12" s="84">
        <f>SUM(AU12:AW12)</f>
        <v>0</v>
      </c>
      <c r="AZ12" s="75" t="s">
        <v>56</v>
      </c>
      <c r="BA12" s="76">
        <f>SUM(AI12,AO12,AU12)</f>
        <v>19110</v>
      </c>
      <c r="BB12" s="76">
        <f>SUM(AJ12,AP12,AV12)</f>
        <v>193</v>
      </c>
      <c r="BC12" s="76">
        <f>SUM(AK12,AQ12,AW12)</f>
        <v>1878</v>
      </c>
      <c r="BD12" s="84">
        <f t="shared" ref="BD12:BD62" si="23">SUM(BA12:BC12)</f>
        <v>21181</v>
      </c>
      <c r="BE12" s="63"/>
      <c r="BF12" s="62">
        <f t="shared" si="4"/>
        <v>19110</v>
      </c>
      <c r="BG12" s="62">
        <f t="shared" si="5"/>
        <v>193</v>
      </c>
      <c r="BH12" s="62">
        <f t="shared" si="6"/>
        <v>3440</v>
      </c>
      <c r="BI12" s="67">
        <f t="shared" si="0"/>
        <v>22743</v>
      </c>
      <c r="BJ12" s="98">
        <f t="shared" si="3"/>
        <v>0</v>
      </c>
    </row>
    <row r="13" spans="1:62" x14ac:dyDescent="0.25">
      <c r="A13" s="47" t="s">
        <v>57</v>
      </c>
      <c r="B13" s="70">
        <f>'4b 58C 21-22 Persons Count'!Y10</f>
        <v>2.0999999999999999E-3</v>
      </c>
      <c r="C13" s="71">
        <f t="shared" si="7"/>
        <v>3</v>
      </c>
      <c r="D13" s="53"/>
      <c r="E13" s="47" t="s">
        <v>57</v>
      </c>
      <c r="F13" s="70">
        <f>'4b 58C 21-22 Persons Count'!AB10</f>
        <v>1E-3</v>
      </c>
      <c r="G13" s="71">
        <f t="shared" si="8"/>
        <v>69</v>
      </c>
      <c r="H13" s="53"/>
      <c r="I13" s="47" t="s">
        <v>57</v>
      </c>
      <c r="J13" s="70">
        <f>'4b 58C 21-22 Persons Count'!W10</f>
        <v>1.6000000000000001E-3</v>
      </c>
      <c r="K13" s="72">
        <f t="shared" si="19"/>
        <v>1495</v>
      </c>
      <c r="L13" s="72">
        <f t="shared" si="15"/>
        <v>22</v>
      </c>
      <c r="M13" s="72">
        <f t="shared" si="20"/>
        <v>288</v>
      </c>
      <c r="N13" s="75">
        <f t="shared" ref="N13:N14" si="24">SUM(K13:M13)</f>
        <v>1805</v>
      </c>
      <c r="O13" s="53"/>
      <c r="P13" s="47" t="s">
        <v>57</v>
      </c>
      <c r="Q13" s="70">
        <f>'4a 58C 20-21 Persons Count'!AS10</f>
        <v>1E-3</v>
      </c>
      <c r="R13" s="71">
        <f t="shared" si="10"/>
        <v>8</v>
      </c>
      <c r="S13" s="53"/>
      <c r="T13" s="47" t="s">
        <v>57</v>
      </c>
      <c r="U13" s="70">
        <f>'4a 58C 20-21 Persons Count'!AI10</f>
        <v>1.6999999999999999E-3</v>
      </c>
      <c r="V13" s="71">
        <f t="shared" si="16"/>
        <v>1</v>
      </c>
      <c r="W13" s="71">
        <f t="shared" si="17"/>
        <v>0</v>
      </c>
      <c r="X13" s="71">
        <f t="shared" si="18"/>
        <v>0</v>
      </c>
      <c r="Y13" s="75">
        <f t="shared" ref="Y13:Y14" si="25">SUM(V13:X13)</f>
        <v>1</v>
      </c>
      <c r="Z13" s="53"/>
      <c r="AA13" s="71" t="s">
        <v>57</v>
      </c>
      <c r="AB13" s="21">
        <f t="shared" si="12"/>
        <v>1496</v>
      </c>
      <c r="AC13" s="21">
        <f t="shared" si="13"/>
        <v>22</v>
      </c>
      <c r="AD13" s="21">
        <f t="shared" si="14"/>
        <v>365</v>
      </c>
      <c r="AE13" s="64">
        <f t="shared" si="1"/>
        <v>1883</v>
      </c>
      <c r="AF13" s="77"/>
      <c r="AG13" s="25" t="s">
        <v>57</v>
      </c>
      <c r="AH13" s="80"/>
      <c r="AI13" s="25"/>
      <c r="AJ13" s="79"/>
      <c r="AK13" s="79"/>
      <c r="AL13" s="25"/>
      <c r="AM13" s="63"/>
      <c r="AN13" s="79" t="s">
        <v>57</v>
      </c>
      <c r="AO13" s="79"/>
      <c r="AP13" s="79"/>
      <c r="AQ13" s="79"/>
      <c r="AR13" s="79"/>
      <c r="AT13" s="79" t="s">
        <v>57</v>
      </c>
      <c r="AU13" s="79"/>
      <c r="AV13" s="79"/>
      <c r="AW13" s="79"/>
      <c r="AX13" s="79"/>
      <c r="AZ13" s="79" t="s">
        <v>57</v>
      </c>
      <c r="BA13" s="244"/>
      <c r="BB13" s="244"/>
      <c r="BC13" s="244"/>
      <c r="BD13" s="245"/>
      <c r="BE13" s="63"/>
      <c r="BF13" s="62">
        <f t="shared" si="4"/>
        <v>1499</v>
      </c>
      <c r="BG13" s="62">
        <f t="shared" si="5"/>
        <v>22</v>
      </c>
      <c r="BH13" s="62">
        <f t="shared" si="6"/>
        <v>365</v>
      </c>
      <c r="BI13" s="67">
        <f t="shared" si="0"/>
        <v>1886</v>
      </c>
      <c r="BJ13" s="98">
        <f t="shared" si="3"/>
        <v>0</v>
      </c>
    </row>
    <row r="14" spans="1:62" x14ac:dyDescent="0.25">
      <c r="A14" s="47" t="s">
        <v>58</v>
      </c>
      <c r="B14" s="70">
        <f>'4b 58C 21-22 Persons Count'!Y11</f>
        <v>4.4000000000000003E-3</v>
      </c>
      <c r="C14" s="71">
        <f t="shared" si="7"/>
        <v>6</v>
      </c>
      <c r="D14" s="53"/>
      <c r="E14" s="47" t="s">
        <v>58</v>
      </c>
      <c r="F14" s="70">
        <f>'4b 58C 21-22 Persons Count'!AB11</f>
        <v>2.8E-3</v>
      </c>
      <c r="G14" s="71">
        <f t="shared" si="8"/>
        <v>194</v>
      </c>
      <c r="H14" s="53"/>
      <c r="I14" s="47" t="s">
        <v>58</v>
      </c>
      <c r="J14" s="70">
        <f>'4b 58C 21-22 Persons Count'!W11</f>
        <v>4.7000000000000002E-3</v>
      </c>
      <c r="K14" s="72">
        <f t="shared" si="19"/>
        <v>4392</v>
      </c>
      <c r="L14" s="82">
        <f>ROUNDDOWN($L$5*J14,0)</f>
        <v>64</v>
      </c>
      <c r="M14" s="72">
        <f>ROUND($M$5*J14,0)</f>
        <v>845</v>
      </c>
      <c r="N14" s="75">
        <f t="shared" si="24"/>
        <v>5301</v>
      </c>
      <c r="O14" s="53"/>
      <c r="P14" s="47" t="s">
        <v>58</v>
      </c>
      <c r="Q14" s="70">
        <f>'4a 58C 20-21 Persons Count'!AS11</f>
        <v>2.8E-3</v>
      </c>
      <c r="R14" s="71">
        <f t="shared" si="10"/>
        <v>23</v>
      </c>
      <c r="S14" s="53"/>
      <c r="T14" s="47" t="s">
        <v>58</v>
      </c>
      <c r="U14" s="70">
        <f>'4a 58C 20-21 Persons Count'!AI11</f>
        <v>4.7000000000000002E-3</v>
      </c>
      <c r="V14" s="71">
        <f t="shared" si="16"/>
        <v>2</v>
      </c>
      <c r="W14" s="71">
        <f t="shared" si="17"/>
        <v>0</v>
      </c>
      <c r="X14" s="71">
        <f t="shared" si="18"/>
        <v>0</v>
      </c>
      <c r="Y14" s="75">
        <f t="shared" si="25"/>
        <v>2</v>
      </c>
      <c r="Z14" s="53"/>
      <c r="AA14" s="71" t="s">
        <v>58</v>
      </c>
      <c r="AB14" s="21">
        <f t="shared" si="12"/>
        <v>4394</v>
      </c>
      <c r="AC14" s="21">
        <f t="shared" si="13"/>
        <v>64</v>
      </c>
      <c r="AD14" s="21">
        <f t="shared" si="14"/>
        <v>1062</v>
      </c>
      <c r="AE14" s="64">
        <f t="shared" si="1"/>
        <v>5520</v>
      </c>
      <c r="AF14" s="77"/>
      <c r="AG14" s="25" t="s">
        <v>58</v>
      </c>
      <c r="AH14" s="80"/>
      <c r="AI14" s="25"/>
      <c r="AJ14" s="79"/>
      <c r="AK14" s="79"/>
      <c r="AL14" s="25"/>
      <c r="AM14" s="63"/>
      <c r="AN14" s="79" t="s">
        <v>58</v>
      </c>
      <c r="AO14" s="79"/>
      <c r="AP14" s="79"/>
      <c r="AQ14" s="79"/>
      <c r="AR14" s="79"/>
      <c r="AT14" s="79" t="s">
        <v>58</v>
      </c>
      <c r="AU14" s="79"/>
      <c r="AV14" s="79"/>
      <c r="AW14" s="79"/>
      <c r="AX14" s="79"/>
      <c r="AZ14" s="79" t="s">
        <v>58</v>
      </c>
      <c r="BA14" s="244"/>
      <c r="BB14" s="244"/>
      <c r="BC14" s="244"/>
      <c r="BD14" s="245"/>
      <c r="BE14" s="63"/>
      <c r="BF14" s="62">
        <f t="shared" si="4"/>
        <v>4400</v>
      </c>
      <c r="BG14" s="62">
        <f t="shared" si="5"/>
        <v>64</v>
      </c>
      <c r="BH14" s="62">
        <f t="shared" si="6"/>
        <v>1062</v>
      </c>
      <c r="BI14" s="67">
        <f t="shared" si="0"/>
        <v>5526</v>
      </c>
      <c r="BJ14" s="98">
        <f t="shared" si="3"/>
        <v>0</v>
      </c>
    </row>
    <row r="15" spans="1:62" x14ac:dyDescent="0.25">
      <c r="A15" s="25" t="s">
        <v>59</v>
      </c>
      <c r="B15" s="25"/>
      <c r="C15" s="25"/>
      <c r="D15" s="53"/>
      <c r="E15" s="47" t="s">
        <v>59</v>
      </c>
      <c r="F15" s="70">
        <f>'4b 58C 21-22 Persons Count'!AB12</f>
        <v>3.8800000000000001E-2</v>
      </c>
      <c r="G15" s="71">
        <f t="shared" si="8"/>
        <v>2688</v>
      </c>
      <c r="H15" s="53"/>
      <c r="I15" s="25" t="s">
        <v>59</v>
      </c>
      <c r="J15" s="25"/>
      <c r="K15" s="79"/>
      <c r="L15" s="79"/>
      <c r="M15" s="79"/>
      <c r="N15" s="79"/>
      <c r="O15" s="53"/>
      <c r="P15" s="47" t="s">
        <v>59</v>
      </c>
      <c r="Q15" s="70">
        <f>'4a 58C 20-21 Persons Count'!AS12</f>
        <v>3.9300000000000002E-2</v>
      </c>
      <c r="R15" s="71">
        <f t="shared" si="10"/>
        <v>314</v>
      </c>
      <c r="S15" s="53"/>
      <c r="T15" s="25" t="s">
        <v>59</v>
      </c>
      <c r="U15" s="25"/>
      <c r="V15" s="79"/>
      <c r="W15" s="79"/>
      <c r="X15" s="79"/>
      <c r="Y15" s="79"/>
      <c r="Z15" s="53"/>
      <c r="AA15" s="71" t="s">
        <v>59</v>
      </c>
      <c r="AB15" s="21">
        <f t="shared" si="12"/>
        <v>0</v>
      </c>
      <c r="AC15" s="21">
        <f t="shared" si="13"/>
        <v>0</v>
      </c>
      <c r="AD15" s="21">
        <f t="shared" si="14"/>
        <v>3002</v>
      </c>
      <c r="AE15" s="64">
        <f t="shared" si="1"/>
        <v>3002</v>
      </c>
      <c r="AF15" s="77"/>
      <c r="AG15" s="21" t="s">
        <v>59</v>
      </c>
      <c r="AH15" s="74">
        <f>'5b SFY 2324 CalWIN MO Share Tbl'!J9</f>
        <v>8.8499999999999995E-2</v>
      </c>
      <c r="AI15" s="71">
        <f>ROUND(AH15*AI$5,0)</f>
        <v>26313</v>
      </c>
      <c r="AJ15" s="71">
        <f>ROUND(AH15*AJ$5,0)</f>
        <v>266</v>
      </c>
      <c r="AK15" s="72">
        <f>ROUND(AH15*AK$5,0)</f>
        <v>2585</v>
      </c>
      <c r="AL15" s="76">
        <f>SUM(AI15:AK15)</f>
        <v>29164</v>
      </c>
      <c r="AM15" s="63"/>
      <c r="AN15" s="75" t="s">
        <v>59</v>
      </c>
      <c r="AO15" s="75">
        <f>SUMIF('3a SFY 23-24 Q1 CalWIN MO'!$A:$A,'SFY 23-24 Q1 Share Calculations'!$AN15,'3a SFY 23-24 Q1 CalWIN MO'!X:X)</f>
        <v>20613</v>
      </c>
      <c r="AP15" s="75">
        <f>SUMIF('3a SFY 23-24 Q1 CalWIN MO'!$A:$A,'SFY 23-24 Q1 Share Calculations'!$AN15,'3a SFY 23-24 Q1 CalWIN MO'!Y:Y)</f>
        <v>209</v>
      </c>
      <c r="AQ15" s="75">
        <f>SUMIF('3a SFY 23-24 Q1 CalWIN MO'!$A:$A,'SFY 23-24 Q1 Share Calculations'!$AN15,'3a SFY 23-24 Q1 CalWIN MO'!Z:Z)</f>
        <v>2025</v>
      </c>
      <c r="AR15" s="84">
        <f>SUM(AO15:AQ15)</f>
        <v>22847</v>
      </c>
      <c r="AT15" s="75" t="s">
        <v>59</v>
      </c>
      <c r="AU15" s="75">
        <f>SUMIF('3b SFY 22-23 Q1 Adj-Late MO'!$A:$A,'SFY 23-24 Q1 Share Calculations'!$AT15,'3b SFY 22-23 Q1 Adj-Late MO'!X:X)</f>
        <v>40369</v>
      </c>
      <c r="AV15" s="75">
        <f>SUMIF('3b SFY 22-23 Q1 Adj-Late MO'!$A:$A,'SFY 23-24 Q1 Share Calculations'!$AT15,'3b SFY 22-23 Q1 Adj-Late MO'!Y:Y)</f>
        <v>476</v>
      </c>
      <c r="AW15" s="75">
        <f>SUMIF('3b SFY 22-23 Q1 Adj-Late MO'!$A:$A,'SFY 23-24 Q1 Share Calculations'!$AT15,'3b SFY 22-23 Q1 Adj-Late MO'!Z:Z)</f>
        <v>3860</v>
      </c>
      <c r="AX15" s="84">
        <f>SUM(AU15:AW15)</f>
        <v>44705</v>
      </c>
      <c r="AZ15" s="75" t="s">
        <v>59</v>
      </c>
      <c r="BA15" s="76">
        <f>SUM(AI15,AO15,AU15)</f>
        <v>87295</v>
      </c>
      <c r="BB15" s="76">
        <f>SUM(AJ15,AP15,AV15)</f>
        <v>951</v>
      </c>
      <c r="BC15" s="76">
        <f>SUM(AK15,AQ15,AW15)</f>
        <v>8470</v>
      </c>
      <c r="BD15" s="84">
        <f t="shared" si="23"/>
        <v>96716</v>
      </c>
      <c r="BE15" s="63"/>
      <c r="BF15" s="62">
        <f t="shared" si="4"/>
        <v>87295</v>
      </c>
      <c r="BG15" s="62">
        <f t="shared" si="5"/>
        <v>951</v>
      </c>
      <c r="BH15" s="62">
        <f t="shared" si="6"/>
        <v>11472</v>
      </c>
      <c r="BI15" s="67">
        <f t="shared" si="0"/>
        <v>99718</v>
      </c>
      <c r="BJ15" s="98">
        <f t="shared" si="3"/>
        <v>0</v>
      </c>
    </row>
    <row r="16" spans="1:62" x14ac:dyDescent="0.25">
      <c r="A16" s="47" t="s">
        <v>60</v>
      </c>
      <c r="B16" s="70">
        <f>'4b 58C 21-22 Persons Count'!Y13</f>
        <v>1.2999999999999999E-3</v>
      </c>
      <c r="C16" s="71">
        <f t="shared" si="7"/>
        <v>2</v>
      </c>
      <c r="D16" s="53"/>
      <c r="E16" s="47" t="s">
        <v>60</v>
      </c>
      <c r="F16" s="70">
        <f>'4b 58C 21-22 Persons Count'!AB13</f>
        <v>8.9999999999999998E-4</v>
      </c>
      <c r="G16" s="71">
        <f t="shared" si="8"/>
        <v>62</v>
      </c>
      <c r="H16" s="53"/>
      <c r="I16" s="47" t="s">
        <v>60</v>
      </c>
      <c r="J16" s="70">
        <f>'4b 58C 21-22 Persons Count'!W13</f>
        <v>1.5E-3</v>
      </c>
      <c r="K16" s="72">
        <f t="shared" si="19"/>
        <v>1402</v>
      </c>
      <c r="L16" s="72">
        <f>ROUNDUP($L$5*J16,0)</f>
        <v>21</v>
      </c>
      <c r="M16" s="72">
        <f t="shared" si="20"/>
        <v>270</v>
      </c>
      <c r="N16" s="75">
        <f t="shared" ref="N16:N34" si="26">SUM(K16:M16)</f>
        <v>1693</v>
      </c>
      <c r="O16" s="53"/>
      <c r="P16" s="47" t="s">
        <v>60</v>
      </c>
      <c r="Q16" s="70">
        <f>'4a 58C 20-21 Persons Count'!AS13</f>
        <v>8.9999999999999998E-4</v>
      </c>
      <c r="R16" s="71">
        <f t="shared" si="10"/>
        <v>7</v>
      </c>
      <c r="S16" s="53"/>
      <c r="T16" s="47" t="s">
        <v>60</v>
      </c>
      <c r="U16" s="70">
        <f>'4a 58C 20-21 Persons Count'!AI13</f>
        <v>1.5E-3</v>
      </c>
      <c r="V16" s="71">
        <f t="shared" si="16"/>
        <v>1</v>
      </c>
      <c r="W16" s="71">
        <f t="shared" si="17"/>
        <v>0</v>
      </c>
      <c r="X16" s="71">
        <f t="shared" si="18"/>
        <v>0</v>
      </c>
      <c r="Y16" s="75">
        <f t="shared" ref="Y16:Y34" si="27">SUM(V16:X16)</f>
        <v>1</v>
      </c>
      <c r="Z16" s="53"/>
      <c r="AA16" s="71" t="s">
        <v>60</v>
      </c>
      <c r="AB16" s="21">
        <f t="shared" si="12"/>
        <v>1403</v>
      </c>
      <c r="AC16" s="21">
        <f t="shared" si="13"/>
        <v>21</v>
      </c>
      <c r="AD16" s="21">
        <f t="shared" si="14"/>
        <v>339</v>
      </c>
      <c r="AE16" s="64">
        <f t="shared" si="1"/>
        <v>1763</v>
      </c>
      <c r="AF16" s="77"/>
      <c r="AG16" s="25" t="s">
        <v>60</v>
      </c>
      <c r="AH16" s="80"/>
      <c r="AI16" s="25"/>
      <c r="AJ16" s="79"/>
      <c r="AK16" s="79"/>
      <c r="AL16" s="25"/>
      <c r="AM16" s="63"/>
      <c r="AN16" s="79" t="s">
        <v>60</v>
      </c>
      <c r="AO16" s="79"/>
      <c r="AP16" s="79"/>
      <c r="AQ16" s="79"/>
      <c r="AR16" s="79"/>
      <c r="AT16" s="79" t="s">
        <v>60</v>
      </c>
      <c r="AU16" s="79"/>
      <c r="AV16" s="79"/>
      <c r="AW16" s="79"/>
      <c r="AX16" s="79"/>
      <c r="AZ16" s="79" t="s">
        <v>60</v>
      </c>
      <c r="BA16" s="244"/>
      <c r="BB16" s="244"/>
      <c r="BC16" s="244"/>
      <c r="BD16" s="245"/>
      <c r="BE16" s="63"/>
      <c r="BF16" s="62">
        <f t="shared" si="4"/>
        <v>1405</v>
      </c>
      <c r="BG16" s="62">
        <f t="shared" si="5"/>
        <v>21</v>
      </c>
      <c r="BH16" s="62">
        <f t="shared" si="6"/>
        <v>339</v>
      </c>
      <c r="BI16" s="67">
        <f t="shared" si="0"/>
        <v>1765</v>
      </c>
      <c r="BJ16" s="98">
        <f t="shared" si="3"/>
        <v>0</v>
      </c>
    </row>
    <row r="17" spans="1:62" x14ac:dyDescent="0.25">
      <c r="A17" s="47" t="s">
        <v>61</v>
      </c>
      <c r="B17" s="70">
        <f>'4b 58C 21-22 Persons Count'!Y14</f>
        <v>8.6E-3</v>
      </c>
      <c r="C17" s="71">
        <f t="shared" si="7"/>
        <v>11</v>
      </c>
      <c r="D17" s="53"/>
      <c r="E17" s="47" t="s">
        <v>61</v>
      </c>
      <c r="F17" s="70">
        <f>'4b 58C 21-22 Persons Count'!AB14</f>
        <v>4.4000000000000003E-3</v>
      </c>
      <c r="G17" s="71">
        <f t="shared" si="8"/>
        <v>305</v>
      </c>
      <c r="H17" s="53"/>
      <c r="I17" s="47" t="s">
        <v>61</v>
      </c>
      <c r="J17" s="70">
        <f>'4b 58C 21-22 Persons Count'!W14</f>
        <v>7.4000000000000003E-3</v>
      </c>
      <c r="K17" s="72">
        <f t="shared" si="19"/>
        <v>6915</v>
      </c>
      <c r="L17" s="72">
        <f t="shared" si="15"/>
        <v>101</v>
      </c>
      <c r="M17" s="82">
        <f>ROUNDUP($M$5*J17,0)</f>
        <v>1331</v>
      </c>
      <c r="N17" s="75">
        <f t="shared" si="26"/>
        <v>8347</v>
      </c>
      <c r="O17" s="53"/>
      <c r="P17" s="47" t="s">
        <v>61</v>
      </c>
      <c r="Q17" s="70">
        <f>'4a 58C 20-21 Persons Count'!AS14</f>
        <v>4.4000000000000003E-3</v>
      </c>
      <c r="R17" s="71">
        <f t="shared" si="10"/>
        <v>36</v>
      </c>
      <c r="S17" s="53"/>
      <c r="T17" s="47" t="s">
        <v>61</v>
      </c>
      <c r="U17" s="70">
        <f>'4a 58C 20-21 Persons Count'!AI14</f>
        <v>7.4000000000000003E-3</v>
      </c>
      <c r="V17" s="71">
        <f t="shared" si="16"/>
        <v>3</v>
      </c>
      <c r="W17" s="71">
        <f t="shared" si="17"/>
        <v>0</v>
      </c>
      <c r="X17" s="71">
        <f t="shared" si="18"/>
        <v>1</v>
      </c>
      <c r="Y17" s="75">
        <f t="shared" si="27"/>
        <v>4</v>
      </c>
      <c r="Z17" s="53"/>
      <c r="AA17" s="71" t="s">
        <v>61</v>
      </c>
      <c r="AB17" s="21">
        <f t="shared" si="12"/>
        <v>6918</v>
      </c>
      <c r="AC17" s="21">
        <f t="shared" si="13"/>
        <v>101</v>
      </c>
      <c r="AD17" s="21">
        <f t="shared" si="14"/>
        <v>1673</v>
      </c>
      <c r="AE17" s="64">
        <f t="shared" si="1"/>
        <v>8692</v>
      </c>
      <c r="AF17" s="77"/>
      <c r="AG17" s="25" t="s">
        <v>61</v>
      </c>
      <c r="AH17" s="80"/>
      <c r="AI17" s="25"/>
      <c r="AJ17" s="79"/>
      <c r="AK17" s="79"/>
      <c r="AL17" s="25"/>
      <c r="AM17" s="63"/>
      <c r="AN17" s="79" t="s">
        <v>61</v>
      </c>
      <c r="AO17" s="79"/>
      <c r="AP17" s="79"/>
      <c r="AQ17" s="79"/>
      <c r="AR17" s="79"/>
      <c r="AT17" s="79" t="s">
        <v>61</v>
      </c>
      <c r="AU17" s="79"/>
      <c r="AV17" s="79"/>
      <c r="AW17" s="79"/>
      <c r="AX17" s="79"/>
      <c r="AZ17" s="79" t="s">
        <v>61</v>
      </c>
      <c r="BA17" s="244"/>
      <c r="BB17" s="244"/>
      <c r="BC17" s="244"/>
      <c r="BD17" s="245"/>
      <c r="BE17" s="63"/>
      <c r="BF17" s="62">
        <f t="shared" si="4"/>
        <v>6929</v>
      </c>
      <c r="BG17" s="62">
        <f t="shared" si="5"/>
        <v>101</v>
      </c>
      <c r="BH17" s="62">
        <f t="shared" si="6"/>
        <v>1673</v>
      </c>
      <c r="BI17" s="67">
        <f t="shared" si="0"/>
        <v>8703</v>
      </c>
      <c r="BJ17" s="98">
        <f t="shared" si="3"/>
        <v>0</v>
      </c>
    </row>
    <row r="18" spans="1:62" x14ac:dyDescent="0.25">
      <c r="A18" s="47" t="s">
        <v>62</v>
      </c>
      <c r="B18" s="70">
        <f>'4b 58C 21-22 Persons Count'!Y15</f>
        <v>1.4999999999999999E-2</v>
      </c>
      <c r="C18" s="71">
        <f t="shared" si="7"/>
        <v>20</v>
      </c>
      <c r="D18" s="53"/>
      <c r="E18" s="47" t="s">
        <v>62</v>
      </c>
      <c r="F18" s="70">
        <f>'4b 58C 21-22 Persons Count'!AB15</f>
        <v>7.4999999999999997E-3</v>
      </c>
      <c r="G18" s="71">
        <f t="shared" si="8"/>
        <v>520</v>
      </c>
      <c r="H18" s="53"/>
      <c r="I18" s="47" t="s">
        <v>62</v>
      </c>
      <c r="J18" s="70">
        <f>'4b 58C 21-22 Persons Count'!W15</f>
        <v>1.2699999999999999E-2</v>
      </c>
      <c r="K18" s="72">
        <f t="shared" si="19"/>
        <v>11867</v>
      </c>
      <c r="L18" s="72">
        <f t="shared" si="15"/>
        <v>174</v>
      </c>
      <c r="M18" s="72">
        <f t="shared" si="20"/>
        <v>2284</v>
      </c>
      <c r="N18" s="75">
        <f t="shared" si="26"/>
        <v>14325</v>
      </c>
      <c r="O18" s="53"/>
      <c r="P18" s="47" t="s">
        <v>62</v>
      </c>
      <c r="Q18" s="70">
        <f>'4a 58C 20-21 Persons Count'!AS15</f>
        <v>7.4999999999999997E-3</v>
      </c>
      <c r="R18" s="71">
        <f t="shared" si="10"/>
        <v>61</v>
      </c>
      <c r="S18" s="53"/>
      <c r="T18" s="47" t="s">
        <v>62</v>
      </c>
      <c r="U18" s="70">
        <f>'4a 58C 20-21 Persons Count'!AI15</f>
        <v>1.2699999999999999E-2</v>
      </c>
      <c r="V18" s="71">
        <f t="shared" si="16"/>
        <v>6</v>
      </c>
      <c r="W18" s="71">
        <f t="shared" si="17"/>
        <v>0</v>
      </c>
      <c r="X18" s="71">
        <f t="shared" si="18"/>
        <v>1</v>
      </c>
      <c r="Y18" s="75">
        <f t="shared" si="27"/>
        <v>7</v>
      </c>
      <c r="Z18" s="53"/>
      <c r="AA18" s="71" t="s">
        <v>62</v>
      </c>
      <c r="AB18" s="21">
        <f t="shared" si="12"/>
        <v>11873</v>
      </c>
      <c r="AC18" s="21">
        <f t="shared" si="13"/>
        <v>174</v>
      </c>
      <c r="AD18" s="21">
        <f t="shared" si="14"/>
        <v>2866</v>
      </c>
      <c r="AE18" s="64">
        <f t="shared" si="1"/>
        <v>14913</v>
      </c>
      <c r="AF18" s="77"/>
      <c r="AG18" s="25" t="s">
        <v>62</v>
      </c>
      <c r="AH18" s="80"/>
      <c r="AI18" s="25"/>
      <c r="AJ18" s="79"/>
      <c r="AK18" s="79"/>
      <c r="AL18" s="25"/>
      <c r="AM18" s="63"/>
      <c r="AN18" s="79" t="s">
        <v>62</v>
      </c>
      <c r="AO18" s="79"/>
      <c r="AP18" s="79"/>
      <c r="AQ18" s="79"/>
      <c r="AR18" s="79"/>
      <c r="AT18" s="79" t="s">
        <v>62</v>
      </c>
      <c r="AU18" s="79"/>
      <c r="AV18" s="79"/>
      <c r="AW18" s="79"/>
      <c r="AX18" s="79"/>
      <c r="AZ18" s="79" t="s">
        <v>62</v>
      </c>
      <c r="BA18" s="244"/>
      <c r="BB18" s="244"/>
      <c r="BC18" s="244"/>
      <c r="BD18" s="245"/>
      <c r="BE18" s="63"/>
      <c r="BF18" s="62">
        <f t="shared" si="4"/>
        <v>11893</v>
      </c>
      <c r="BG18" s="62">
        <f t="shared" si="5"/>
        <v>174</v>
      </c>
      <c r="BH18" s="62">
        <f t="shared" si="6"/>
        <v>2866</v>
      </c>
      <c r="BI18" s="67">
        <f t="shared" si="0"/>
        <v>14933</v>
      </c>
      <c r="BJ18" s="98">
        <f t="shared" si="3"/>
        <v>0</v>
      </c>
    </row>
    <row r="19" spans="1:62" x14ac:dyDescent="0.25">
      <c r="A19" s="47" t="s">
        <v>63</v>
      </c>
      <c r="B19" s="70">
        <f>'4b 58C 21-22 Persons Count'!Y16</f>
        <v>8.0000000000000004E-4</v>
      </c>
      <c r="C19" s="71">
        <f t="shared" si="7"/>
        <v>1</v>
      </c>
      <c r="D19" s="53"/>
      <c r="E19" s="47" t="s">
        <v>63</v>
      </c>
      <c r="F19" s="70">
        <f>'4b 58C 21-22 Persons Count'!AB16</f>
        <v>4.0000000000000002E-4</v>
      </c>
      <c r="G19" s="71">
        <f t="shared" si="8"/>
        <v>28</v>
      </c>
      <c r="H19" s="53"/>
      <c r="I19" s="47" t="s">
        <v>63</v>
      </c>
      <c r="J19" s="70">
        <f>'4b 58C 21-22 Persons Count'!W16</f>
        <v>6.9999999999999999E-4</v>
      </c>
      <c r="K19" s="72">
        <f>ROUND($K$5*J19,0)</f>
        <v>654</v>
      </c>
      <c r="L19" s="72">
        <f>ROUND($L$5*J19,0)</f>
        <v>10</v>
      </c>
      <c r="M19" s="72">
        <f t="shared" si="20"/>
        <v>126</v>
      </c>
      <c r="N19" s="75">
        <f t="shared" si="26"/>
        <v>790</v>
      </c>
      <c r="O19" s="53"/>
      <c r="P19" s="47" t="s">
        <v>63</v>
      </c>
      <c r="Q19" s="70">
        <f>'4a 58C 20-21 Persons Count'!AS16</f>
        <v>4.0000000000000002E-4</v>
      </c>
      <c r="R19" s="71">
        <f t="shared" si="10"/>
        <v>3</v>
      </c>
      <c r="S19" s="53"/>
      <c r="T19" s="47" t="s">
        <v>63</v>
      </c>
      <c r="U19" s="70">
        <f>'4a 58C 20-21 Persons Count'!AI16</f>
        <v>6.9999999999999999E-4</v>
      </c>
      <c r="V19" s="71">
        <f t="shared" si="16"/>
        <v>0</v>
      </c>
      <c r="W19" s="71">
        <f t="shared" si="17"/>
        <v>0</v>
      </c>
      <c r="X19" s="71">
        <f t="shared" si="18"/>
        <v>0</v>
      </c>
      <c r="Y19" s="75">
        <f t="shared" si="27"/>
        <v>0</v>
      </c>
      <c r="Z19" s="53"/>
      <c r="AA19" s="71" t="s">
        <v>63</v>
      </c>
      <c r="AB19" s="21">
        <f t="shared" si="12"/>
        <v>654</v>
      </c>
      <c r="AC19" s="21">
        <f t="shared" si="13"/>
        <v>10</v>
      </c>
      <c r="AD19" s="21">
        <f t="shared" si="14"/>
        <v>157</v>
      </c>
      <c r="AE19" s="64">
        <f t="shared" si="1"/>
        <v>821</v>
      </c>
      <c r="AF19" s="77"/>
      <c r="AG19" s="25" t="s">
        <v>63</v>
      </c>
      <c r="AH19" s="80"/>
      <c r="AI19" s="25"/>
      <c r="AJ19" s="79"/>
      <c r="AK19" s="79"/>
      <c r="AL19" s="25"/>
      <c r="AM19" s="63"/>
      <c r="AN19" s="79" t="s">
        <v>63</v>
      </c>
      <c r="AO19" s="79"/>
      <c r="AP19" s="79"/>
      <c r="AQ19" s="79"/>
      <c r="AR19" s="79"/>
      <c r="AT19" s="79" t="s">
        <v>63</v>
      </c>
      <c r="AU19" s="79"/>
      <c r="AV19" s="79"/>
      <c r="AW19" s="79"/>
      <c r="AX19" s="79"/>
      <c r="AZ19" s="79" t="s">
        <v>63</v>
      </c>
      <c r="BA19" s="244"/>
      <c r="BB19" s="244"/>
      <c r="BC19" s="244"/>
      <c r="BD19" s="245"/>
      <c r="BE19" s="63"/>
      <c r="BF19" s="62">
        <f t="shared" si="4"/>
        <v>655</v>
      </c>
      <c r="BG19" s="62">
        <f t="shared" si="5"/>
        <v>10</v>
      </c>
      <c r="BH19" s="62">
        <f t="shared" si="6"/>
        <v>157</v>
      </c>
      <c r="BI19" s="67">
        <f t="shared" si="0"/>
        <v>822</v>
      </c>
      <c r="BJ19" s="98">
        <f t="shared" si="3"/>
        <v>0</v>
      </c>
    </row>
    <row r="20" spans="1:62" x14ac:dyDescent="0.25">
      <c r="A20" s="47" t="s">
        <v>64</v>
      </c>
      <c r="B20" s="70">
        <f>'4b 58C 21-22 Persons Count'!Y17</f>
        <v>5.96E-2</v>
      </c>
      <c r="C20" s="71">
        <f t="shared" si="7"/>
        <v>78</v>
      </c>
      <c r="D20" s="53"/>
      <c r="E20" s="47" t="s">
        <v>64</v>
      </c>
      <c r="F20" s="70">
        <f>'4b 58C 21-22 Persons Count'!AB17</f>
        <v>3.3500000000000002E-2</v>
      </c>
      <c r="G20" s="71">
        <f t="shared" si="8"/>
        <v>2321</v>
      </c>
      <c r="H20" s="53"/>
      <c r="I20" s="47" t="s">
        <v>64</v>
      </c>
      <c r="J20" s="70">
        <f>'4b 58C 21-22 Persons Count'!W17</f>
        <v>5.67E-2</v>
      </c>
      <c r="K20" s="72">
        <f t="shared" si="19"/>
        <v>52983</v>
      </c>
      <c r="L20" s="72">
        <f t="shared" si="15"/>
        <v>776</v>
      </c>
      <c r="M20" s="72">
        <f t="shared" si="20"/>
        <v>10197</v>
      </c>
      <c r="N20" s="75">
        <f t="shared" si="26"/>
        <v>63956</v>
      </c>
      <c r="O20" s="53"/>
      <c r="P20" s="47" t="s">
        <v>64</v>
      </c>
      <c r="Q20" s="70">
        <f>'4a 58C 20-21 Persons Count'!AS17</f>
        <v>3.3700000000000001E-2</v>
      </c>
      <c r="R20" s="71">
        <f t="shared" si="10"/>
        <v>271</v>
      </c>
      <c r="S20" s="53"/>
      <c r="T20" s="47" t="s">
        <v>64</v>
      </c>
      <c r="U20" s="70">
        <f>'4a 58C 20-21 Persons Count'!AI17</f>
        <v>5.6599999999999998E-2</v>
      </c>
      <c r="V20" s="71">
        <f t="shared" si="16"/>
        <v>25</v>
      </c>
      <c r="W20" s="71">
        <f>ROUND($W$5*U20,0)</f>
        <v>0</v>
      </c>
      <c r="X20" s="71">
        <f t="shared" si="18"/>
        <v>5</v>
      </c>
      <c r="Y20" s="75">
        <f t="shared" si="27"/>
        <v>30</v>
      </c>
      <c r="Z20" s="53"/>
      <c r="AA20" s="71" t="s">
        <v>64</v>
      </c>
      <c r="AB20" s="21">
        <f t="shared" si="12"/>
        <v>53008</v>
      </c>
      <c r="AC20" s="21">
        <f t="shared" si="13"/>
        <v>776</v>
      </c>
      <c r="AD20" s="21">
        <f t="shared" si="14"/>
        <v>12794</v>
      </c>
      <c r="AE20" s="64">
        <f t="shared" si="1"/>
        <v>66578</v>
      </c>
      <c r="AF20" s="77"/>
      <c r="AG20" s="25" t="s">
        <v>64</v>
      </c>
      <c r="AH20" s="80"/>
      <c r="AI20" s="25"/>
      <c r="AJ20" s="79"/>
      <c r="AK20" s="79"/>
      <c r="AL20" s="25"/>
      <c r="AM20" s="63"/>
      <c r="AN20" s="79" t="s">
        <v>64</v>
      </c>
      <c r="AO20" s="79"/>
      <c r="AP20" s="79"/>
      <c r="AQ20" s="79"/>
      <c r="AR20" s="79"/>
      <c r="AT20" s="79" t="s">
        <v>64</v>
      </c>
      <c r="AU20" s="79"/>
      <c r="AV20" s="79"/>
      <c r="AW20" s="79"/>
      <c r="AX20" s="79"/>
      <c r="AZ20" s="79" t="s">
        <v>64</v>
      </c>
      <c r="BA20" s="244"/>
      <c r="BB20" s="244"/>
      <c r="BC20" s="244"/>
      <c r="BD20" s="245"/>
      <c r="BE20" s="63"/>
      <c r="BF20" s="62">
        <f t="shared" si="4"/>
        <v>53086</v>
      </c>
      <c r="BG20" s="62">
        <f t="shared" si="5"/>
        <v>776</v>
      </c>
      <c r="BH20" s="62">
        <f t="shared" si="6"/>
        <v>12794</v>
      </c>
      <c r="BI20" s="67">
        <f t="shared" si="0"/>
        <v>66656</v>
      </c>
      <c r="BJ20" s="98">
        <f t="shared" si="3"/>
        <v>0</v>
      </c>
    </row>
    <row r="21" spans="1:62" x14ac:dyDescent="0.25">
      <c r="A21" s="47" t="s">
        <v>65</v>
      </c>
      <c r="B21" s="70">
        <f>'4b 58C 21-22 Persons Count'!Y18</f>
        <v>9.2999999999999992E-3</v>
      </c>
      <c r="C21" s="71">
        <f t="shared" si="7"/>
        <v>12</v>
      </c>
      <c r="D21" s="53"/>
      <c r="E21" s="47" t="s">
        <v>65</v>
      </c>
      <c r="F21" s="70">
        <f>'4b 58C 21-22 Persons Count'!AB18</f>
        <v>4.7999999999999996E-3</v>
      </c>
      <c r="G21" s="71">
        <f>ROUND(G$5*$F21,0)</f>
        <v>333</v>
      </c>
      <c r="H21" s="53"/>
      <c r="I21" s="47" t="s">
        <v>65</v>
      </c>
      <c r="J21" s="70">
        <f>'4b 58C 21-22 Persons Count'!W18</f>
        <v>8.2000000000000007E-3</v>
      </c>
      <c r="K21" s="72">
        <f t="shared" si="19"/>
        <v>7662</v>
      </c>
      <c r="L21" s="72">
        <f t="shared" si="15"/>
        <v>112</v>
      </c>
      <c r="M21" s="72">
        <f>ROUND($M$5*J21,0)</f>
        <v>1475</v>
      </c>
      <c r="N21" s="75">
        <f t="shared" si="26"/>
        <v>9249</v>
      </c>
      <c r="O21" s="53"/>
      <c r="P21" s="47" t="s">
        <v>65</v>
      </c>
      <c r="Q21" s="70">
        <f>'4a 58C 20-21 Persons Count'!AS18</f>
        <v>4.8999999999999998E-3</v>
      </c>
      <c r="R21" s="71">
        <f>ROUND(R$5*$F21,0)</f>
        <v>39</v>
      </c>
      <c r="S21" s="53"/>
      <c r="T21" s="47" t="s">
        <v>65</v>
      </c>
      <c r="U21" s="70">
        <f>'4a 58C 20-21 Persons Count'!AI18</f>
        <v>8.2000000000000007E-3</v>
      </c>
      <c r="V21" s="71">
        <f t="shared" si="16"/>
        <v>4</v>
      </c>
      <c r="W21" s="71">
        <f t="shared" si="17"/>
        <v>0</v>
      </c>
      <c r="X21" s="71">
        <f t="shared" si="18"/>
        <v>1</v>
      </c>
      <c r="Y21" s="75">
        <f t="shared" si="27"/>
        <v>5</v>
      </c>
      <c r="Z21" s="53"/>
      <c r="AA21" s="71" t="s">
        <v>65</v>
      </c>
      <c r="AB21" s="21">
        <f t="shared" si="12"/>
        <v>7666</v>
      </c>
      <c r="AC21" s="21">
        <f t="shared" si="13"/>
        <v>112</v>
      </c>
      <c r="AD21" s="21">
        <f t="shared" si="14"/>
        <v>1848</v>
      </c>
      <c r="AE21" s="64">
        <f t="shared" si="1"/>
        <v>9626</v>
      </c>
      <c r="AF21" s="77"/>
      <c r="AG21" s="25" t="s">
        <v>65</v>
      </c>
      <c r="AH21" s="80"/>
      <c r="AI21" s="25"/>
      <c r="AJ21" s="79"/>
      <c r="AK21" s="79"/>
      <c r="AL21" s="25"/>
      <c r="AM21" s="63"/>
      <c r="AN21" s="79" t="s">
        <v>65</v>
      </c>
      <c r="AO21" s="79"/>
      <c r="AP21" s="79"/>
      <c r="AQ21" s="79"/>
      <c r="AR21" s="79"/>
      <c r="AT21" s="79" t="s">
        <v>65</v>
      </c>
      <c r="AU21" s="79"/>
      <c r="AV21" s="79"/>
      <c r="AW21" s="79"/>
      <c r="AX21" s="79"/>
      <c r="AZ21" s="79" t="s">
        <v>65</v>
      </c>
      <c r="BA21" s="244"/>
      <c r="BB21" s="244"/>
      <c r="BC21" s="244"/>
      <c r="BD21" s="245"/>
      <c r="BE21" s="63"/>
      <c r="BF21" s="62">
        <f t="shared" si="4"/>
        <v>7678</v>
      </c>
      <c r="BG21" s="62">
        <f t="shared" si="5"/>
        <v>112</v>
      </c>
      <c r="BH21" s="62">
        <f t="shared" si="6"/>
        <v>1848</v>
      </c>
      <c r="BI21" s="67">
        <f t="shared" si="0"/>
        <v>9638</v>
      </c>
      <c r="BJ21" s="98">
        <f t="shared" si="3"/>
        <v>0</v>
      </c>
    </row>
    <row r="22" spans="1:62" x14ac:dyDescent="0.25">
      <c r="A22" s="47" t="s">
        <v>66</v>
      </c>
      <c r="B22" s="70">
        <f>'4b 58C 21-22 Persons Count'!Y19</f>
        <v>5.0000000000000001E-3</v>
      </c>
      <c r="C22" s="295">
        <f>ROUND(B22*C$5,0)</f>
        <v>7</v>
      </c>
      <c r="D22" s="53"/>
      <c r="E22" s="47" t="s">
        <v>66</v>
      </c>
      <c r="F22" s="70">
        <f>'4b 58C 21-22 Persons Count'!AB19</f>
        <v>2.5000000000000001E-3</v>
      </c>
      <c r="G22" s="71">
        <f t="shared" si="8"/>
        <v>173</v>
      </c>
      <c r="H22" s="53"/>
      <c r="I22" s="47" t="s">
        <v>66</v>
      </c>
      <c r="J22" s="70">
        <f>'4b 58C 21-22 Persons Count'!W19</f>
        <v>4.3E-3</v>
      </c>
      <c r="K22" s="72">
        <f t="shared" si="19"/>
        <v>4018</v>
      </c>
      <c r="L22" s="72">
        <f t="shared" si="15"/>
        <v>59</v>
      </c>
      <c r="M22" s="72">
        <f t="shared" si="20"/>
        <v>773</v>
      </c>
      <c r="N22" s="75">
        <f t="shared" si="26"/>
        <v>4850</v>
      </c>
      <c r="O22" s="53"/>
      <c r="P22" s="47" t="s">
        <v>66</v>
      </c>
      <c r="Q22" s="70">
        <f>'4a 58C 20-21 Persons Count'!AS19</f>
        <v>2.5000000000000001E-3</v>
      </c>
      <c r="R22" s="71">
        <f t="shared" si="10"/>
        <v>20</v>
      </c>
      <c r="S22" s="53"/>
      <c r="T22" s="47" t="s">
        <v>66</v>
      </c>
      <c r="U22" s="70">
        <f>'4a 58C 20-21 Persons Count'!AI19</f>
        <v>4.1999999999999997E-3</v>
      </c>
      <c r="V22" s="71">
        <f t="shared" si="16"/>
        <v>2</v>
      </c>
      <c r="W22" s="71">
        <f t="shared" si="17"/>
        <v>0</v>
      </c>
      <c r="X22" s="71">
        <f t="shared" si="18"/>
        <v>0</v>
      </c>
      <c r="Y22" s="75">
        <f t="shared" si="27"/>
        <v>2</v>
      </c>
      <c r="Z22" s="53"/>
      <c r="AA22" s="71" t="s">
        <v>66</v>
      </c>
      <c r="AB22" s="21">
        <f t="shared" si="12"/>
        <v>4020</v>
      </c>
      <c r="AC22" s="21">
        <f t="shared" si="13"/>
        <v>59</v>
      </c>
      <c r="AD22" s="21">
        <f t="shared" si="14"/>
        <v>966</v>
      </c>
      <c r="AE22" s="64">
        <f t="shared" si="1"/>
        <v>5045</v>
      </c>
      <c r="AF22" s="77"/>
      <c r="AG22" s="25" t="s">
        <v>66</v>
      </c>
      <c r="AH22" s="80"/>
      <c r="AI22" s="25"/>
      <c r="AJ22" s="79"/>
      <c r="AK22" s="79"/>
      <c r="AL22" s="25"/>
      <c r="AM22" s="63"/>
      <c r="AN22" s="79" t="s">
        <v>66</v>
      </c>
      <c r="AO22" s="79"/>
      <c r="AP22" s="79"/>
      <c r="AQ22" s="79"/>
      <c r="AR22" s="79"/>
      <c r="AT22" s="79" t="s">
        <v>66</v>
      </c>
      <c r="AU22" s="79"/>
      <c r="AV22" s="79"/>
      <c r="AW22" s="79"/>
      <c r="AX22" s="79"/>
      <c r="AZ22" s="79" t="s">
        <v>66</v>
      </c>
      <c r="BA22" s="244"/>
      <c r="BB22" s="244"/>
      <c r="BC22" s="244"/>
      <c r="BD22" s="245"/>
      <c r="BE22" s="63"/>
      <c r="BF22" s="62">
        <f t="shared" si="4"/>
        <v>4027</v>
      </c>
      <c r="BG22" s="62">
        <f t="shared" si="5"/>
        <v>59</v>
      </c>
      <c r="BH22" s="62">
        <f t="shared" si="6"/>
        <v>966</v>
      </c>
      <c r="BI22" s="67">
        <f t="shared" si="0"/>
        <v>5052</v>
      </c>
      <c r="BJ22" s="98">
        <f t="shared" si="3"/>
        <v>0</v>
      </c>
    </row>
    <row r="23" spans="1:62" x14ac:dyDescent="0.25">
      <c r="A23" s="47" t="s">
        <v>67</v>
      </c>
      <c r="B23" s="70">
        <f>'4b 58C 21-22 Persons Count'!Y20</f>
        <v>1.2999999999999999E-3</v>
      </c>
      <c r="C23" s="71">
        <f t="shared" si="7"/>
        <v>2</v>
      </c>
      <c r="D23" s="53"/>
      <c r="E23" s="47" t="s">
        <v>67</v>
      </c>
      <c r="F23" s="70">
        <f>'4b 58C 21-22 Persons Count'!AB20</f>
        <v>6.9999999999999999E-4</v>
      </c>
      <c r="G23" s="71">
        <f t="shared" si="8"/>
        <v>49</v>
      </c>
      <c r="H23" s="53"/>
      <c r="I23" s="47" t="s">
        <v>67</v>
      </c>
      <c r="J23" s="70">
        <f>'4b 58C 21-22 Persons Count'!W20</f>
        <v>1.1000000000000001E-3</v>
      </c>
      <c r="K23" s="72">
        <f t="shared" si="19"/>
        <v>1028</v>
      </c>
      <c r="L23" s="72">
        <f t="shared" si="15"/>
        <v>15</v>
      </c>
      <c r="M23" s="72">
        <f t="shared" si="20"/>
        <v>198</v>
      </c>
      <c r="N23" s="75">
        <f t="shared" si="26"/>
        <v>1241</v>
      </c>
      <c r="O23" s="53"/>
      <c r="P23" s="47" t="s">
        <v>67</v>
      </c>
      <c r="Q23" s="70">
        <f>'4a 58C 20-21 Persons Count'!AS20</f>
        <v>6.9999999999999999E-4</v>
      </c>
      <c r="R23" s="71">
        <f t="shared" si="10"/>
        <v>6</v>
      </c>
      <c r="S23" s="53"/>
      <c r="T23" s="47" t="s">
        <v>67</v>
      </c>
      <c r="U23" s="70">
        <f>'4a 58C 20-21 Persons Count'!AI20</f>
        <v>1.1000000000000001E-3</v>
      </c>
      <c r="V23" s="71">
        <f t="shared" si="16"/>
        <v>0</v>
      </c>
      <c r="W23" s="71">
        <f t="shared" si="17"/>
        <v>0</v>
      </c>
      <c r="X23" s="71">
        <f t="shared" si="18"/>
        <v>0</v>
      </c>
      <c r="Y23" s="75">
        <f t="shared" si="27"/>
        <v>0</v>
      </c>
      <c r="Z23" s="53"/>
      <c r="AA23" s="71" t="s">
        <v>67</v>
      </c>
      <c r="AB23" s="21">
        <f t="shared" si="12"/>
        <v>1028</v>
      </c>
      <c r="AC23" s="21">
        <f t="shared" si="13"/>
        <v>15</v>
      </c>
      <c r="AD23" s="21">
        <f t="shared" si="14"/>
        <v>253</v>
      </c>
      <c r="AE23" s="64">
        <f t="shared" si="1"/>
        <v>1296</v>
      </c>
      <c r="AF23" s="77"/>
      <c r="AG23" s="25" t="s">
        <v>67</v>
      </c>
      <c r="AH23" s="80"/>
      <c r="AI23" s="25"/>
      <c r="AJ23" s="79"/>
      <c r="AK23" s="79"/>
      <c r="AL23" s="25"/>
      <c r="AM23" s="63"/>
      <c r="AN23" s="79" t="s">
        <v>67</v>
      </c>
      <c r="AO23" s="79"/>
      <c r="AP23" s="79"/>
      <c r="AQ23" s="79"/>
      <c r="AR23" s="79"/>
      <c r="AT23" s="79" t="s">
        <v>67</v>
      </c>
      <c r="AU23" s="79"/>
      <c r="AV23" s="79"/>
      <c r="AW23" s="79"/>
      <c r="AX23" s="79"/>
      <c r="AZ23" s="79" t="s">
        <v>67</v>
      </c>
      <c r="BA23" s="244"/>
      <c r="BB23" s="244"/>
      <c r="BC23" s="244"/>
      <c r="BD23" s="245"/>
      <c r="BE23" s="63"/>
      <c r="BF23" s="62">
        <f t="shared" si="4"/>
        <v>1030</v>
      </c>
      <c r="BG23" s="62">
        <f t="shared" si="5"/>
        <v>15</v>
      </c>
      <c r="BH23" s="62">
        <f t="shared" si="6"/>
        <v>253</v>
      </c>
      <c r="BI23" s="67">
        <f t="shared" si="0"/>
        <v>1298</v>
      </c>
      <c r="BJ23" s="98">
        <f t="shared" si="3"/>
        <v>0</v>
      </c>
    </row>
    <row r="24" spans="1:62" x14ac:dyDescent="0.25">
      <c r="A24" s="47" t="s">
        <v>68</v>
      </c>
      <c r="B24" s="70">
        <f>'4b 58C 21-22 Persons Count'!Y21</f>
        <v>0.50690000000000002</v>
      </c>
      <c r="C24" s="71">
        <f t="shared" si="7"/>
        <v>662</v>
      </c>
      <c r="D24" s="53"/>
      <c r="E24" s="47" t="s">
        <v>68</v>
      </c>
      <c r="F24" s="70">
        <f>'4b 58C 21-22 Persons Count'!AB21</f>
        <v>0.29809999999999998</v>
      </c>
      <c r="G24" s="71">
        <f t="shared" ref="G24:G63" si="28">ROUND(G$5*$F24,0)</f>
        <v>20654</v>
      </c>
      <c r="H24" s="53"/>
      <c r="I24" s="47" t="s">
        <v>68</v>
      </c>
      <c r="J24" s="70">
        <f>'4b 58C 21-22 Persons Count'!W21</f>
        <v>0.50470000000000004</v>
      </c>
      <c r="K24" s="72">
        <f>ROUND($K$5*J24,0)</f>
        <v>471612</v>
      </c>
      <c r="L24" s="71">
        <f>ROUND($L$5*J24,0)</f>
        <v>6907</v>
      </c>
      <c r="M24" s="72">
        <f t="shared" si="20"/>
        <v>90762</v>
      </c>
      <c r="N24" s="75">
        <f t="shared" si="26"/>
        <v>569281</v>
      </c>
      <c r="O24" s="53"/>
      <c r="P24" s="47" t="s">
        <v>68</v>
      </c>
      <c r="Q24" s="70">
        <f>'4a 58C 20-21 Persons Count'!AS21</f>
        <v>0.2999</v>
      </c>
      <c r="R24" s="71">
        <f t="shared" si="10"/>
        <v>2416</v>
      </c>
      <c r="S24" s="53"/>
      <c r="T24" s="47" t="s">
        <v>68</v>
      </c>
      <c r="U24" s="70">
        <f>'4a 58C 20-21 Persons Count'!AI21</f>
        <v>0.50460000000000005</v>
      </c>
      <c r="V24" s="71">
        <f t="shared" si="16"/>
        <v>222</v>
      </c>
      <c r="W24" s="82">
        <f>ROUNDUP($W$5*U24,0)</f>
        <v>5</v>
      </c>
      <c r="X24" s="82">
        <f>ROUNDUP($X$5*U24,0)</f>
        <v>44</v>
      </c>
      <c r="Y24" s="75">
        <f t="shared" si="27"/>
        <v>271</v>
      </c>
      <c r="Z24" s="53"/>
      <c r="AA24" s="21" t="s">
        <v>68</v>
      </c>
      <c r="AB24" s="21">
        <f t="shared" si="12"/>
        <v>471834</v>
      </c>
      <c r="AC24" s="21">
        <f t="shared" si="13"/>
        <v>6912</v>
      </c>
      <c r="AD24" s="21">
        <f t="shared" si="14"/>
        <v>113876</v>
      </c>
      <c r="AE24" s="64">
        <f t="shared" si="1"/>
        <v>592622</v>
      </c>
      <c r="AF24" s="77"/>
      <c r="AG24" s="25" t="s">
        <v>68</v>
      </c>
      <c r="AH24" s="80"/>
      <c r="AI24" s="25"/>
      <c r="AJ24" s="79"/>
      <c r="AK24" s="79"/>
      <c r="AL24" s="25"/>
      <c r="AM24" s="63"/>
      <c r="AN24" s="79" t="s">
        <v>68</v>
      </c>
      <c r="AO24" s="79"/>
      <c r="AP24" s="79"/>
      <c r="AQ24" s="79"/>
      <c r="AR24" s="79"/>
      <c r="AT24" s="79" t="s">
        <v>68</v>
      </c>
      <c r="AU24" s="79"/>
      <c r="AV24" s="79"/>
      <c r="AW24" s="79"/>
      <c r="AX24" s="79"/>
      <c r="AZ24" s="79" t="s">
        <v>68</v>
      </c>
      <c r="BA24" s="244"/>
      <c r="BB24" s="244"/>
      <c r="BC24" s="244"/>
      <c r="BD24" s="245"/>
      <c r="BE24" s="63"/>
      <c r="BF24" s="62">
        <f t="shared" si="4"/>
        <v>472496</v>
      </c>
      <c r="BG24" s="62">
        <f t="shared" si="5"/>
        <v>6912</v>
      </c>
      <c r="BH24" s="62">
        <f t="shared" si="6"/>
        <v>113876</v>
      </c>
      <c r="BI24" s="67">
        <f t="shared" si="0"/>
        <v>593284</v>
      </c>
      <c r="BJ24" s="98">
        <f t="shared" si="3"/>
        <v>0</v>
      </c>
    </row>
    <row r="25" spans="1:62" x14ac:dyDescent="0.25">
      <c r="A25" s="47" t="s">
        <v>69</v>
      </c>
      <c r="B25" s="70">
        <f>'4b 58C 21-22 Persons Count'!Y22</f>
        <v>1.0799999999999999E-2</v>
      </c>
      <c r="C25" s="71">
        <f>ROUND(B25*C$5,0)</f>
        <v>14</v>
      </c>
      <c r="D25" s="53"/>
      <c r="E25" s="47" t="s">
        <v>69</v>
      </c>
      <c r="F25" s="70">
        <f>'4b 58C 21-22 Persons Count'!AB22</f>
        <v>5.7999999999999996E-3</v>
      </c>
      <c r="G25" s="71">
        <f t="shared" si="28"/>
        <v>402</v>
      </c>
      <c r="H25" s="53"/>
      <c r="I25" s="47" t="s">
        <v>69</v>
      </c>
      <c r="J25" s="70">
        <f>'4b 58C 21-22 Persons Count'!W22</f>
        <v>9.7999999999999997E-3</v>
      </c>
      <c r="K25" s="72">
        <f t="shared" si="19"/>
        <v>9158</v>
      </c>
      <c r="L25" s="72">
        <f t="shared" si="15"/>
        <v>134</v>
      </c>
      <c r="M25" s="72">
        <f t="shared" si="20"/>
        <v>1762</v>
      </c>
      <c r="N25" s="75">
        <f t="shared" si="26"/>
        <v>11054</v>
      </c>
      <c r="O25" s="53"/>
      <c r="P25" s="47" t="s">
        <v>69</v>
      </c>
      <c r="Q25" s="70">
        <f>'4a 58C 20-21 Persons Count'!AS22</f>
        <v>5.7999999999999996E-3</v>
      </c>
      <c r="R25" s="71">
        <f t="shared" si="10"/>
        <v>47</v>
      </c>
      <c r="S25" s="53"/>
      <c r="T25" s="47" t="s">
        <v>69</v>
      </c>
      <c r="U25" s="70">
        <f>'4a 58C 20-21 Persons Count'!AI22</f>
        <v>9.7999999999999997E-3</v>
      </c>
      <c r="V25" s="71">
        <f t="shared" si="16"/>
        <v>4</v>
      </c>
      <c r="W25" s="71">
        <f t="shared" si="17"/>
        <v>0</v>
      </c>
      <c r="X25" s="71">
        <f t="shared" si="18"/>
        <v>1</v>
      </c>
      <c r="Y25" s="75">
        <f t="shared" si="27"/>
        <v>5</v>
      </c>
      <c r="Z25" s="53"/>
      <c r="AA25" s="71" t="s">
        <v>69</v>
      </c>
      <c r="AB25" s="21">
        <f t="shared" si="12"/>
        <v>9162</v>
      </c>
      <c r="AC25" s="21">
        <f t="shared" si="13"/>
        <v>134</v>
      </c>
      <c r="AD25" s="21">
        <f t="shared" si="14"/>
        <v>2212</v>
      </c>
      <c r="AE25" s="64">
        <f t="shared" si="1"/>
        <v>11508</v>
      </c>
      <c r="AF25" s="77"/>
      <c r="AG25" s="25" t="s">
        <v>69</v>
      </c>
      <c r="AH25" s="80"/>
      <c r="AI25" s="25"/>
      <c r="AJ25" s="79"/>
      <c r="AK25" s="79"/>
      <c r="AL25" s="25"/>
      <c r="AM25" s="63"/>
      <c r="AN25" s="79" t="s">
        <v>69</v>
      </c>
      <c r="AO25" s="79"/>
      <c r="AP25" s="79"/>
      <c r="AQ25" s="79"/>
      <c r="AR25" s="79"/>
      <c r="AT25" s="79" t="s">
        <v>69</v>
      </c>
      <c r="AU25" s="79"/>
      <c r="AV25" s="79"/>
      <c r="AW25" s="79"/>
      <c r="AX25" s="79"/>
      <c r="AZ25" s="79" t="s">
        <v>69</v>
      </c>
      <c r="BA25" s="244"/>
      <c r="BB25" s="244"/>
      <c r="BC25" s="244"/>
      <c r="BD25" s="245"/>
      <c r="BE25" s="63"/>
      <c r="BF25" s="62">
        <f t="shared" si="4"/>
        <v>9176</v>
      </c>
      <c r="BG25" s="62">
        <f t="shared" si="5"/>
        <v>134</v>
      </c>
      <c r="BH25" s="62">
        <f t="shared" si="6"/>
        <v>2212</v>
      </c>
      <c r="BI25" s="67">
        <f t="shared" si="0"/>
        <v>11522</v>
      </c>
      <c r="BJ25" s="98">
        <f t="shared" si="3"/>
        <v>0</v>
      </c>
    </row>
    <row r="26" spans="1:62" x14ac:dyDescent="0.25">
      <c r="A26" s="47" t="s">
        <v>70</v>
      </c>
      <c r="B26" s="70">
        <f>'4b 58C 21-22 Persons Count'!Y23</f>
        <v>4.7999999999999996E-3</v>
      </c>
      <c r="C26" s="71">
        <f t="shared" ref="C26:C32" si="29">ROUND(B26*C$5,0)</f>
        <v>6</v>
      </c>
      <c r="D26" s="53"/>
      <c r="E26" s="47" t="s">
        <v>70</v>
      </c>
      <c r="F26" s="70">
        <f>'4b 58C 21-22 Persons Count'!AB23</f>
        <v>3.5000000000000001E-3</v>
      </c>
      <c r="G26" s="71">
        <f t="shared" si="28"/>
        <v>243</v>
      </c>
      <c r="H26" s="53"/>
      <c r="I26" s="47" t="s">
        <v>70</v>
      </c>
      <c r="J26" s="70">
        <f>'4b 58C 21-22 Persons Count'!W23</f>
        <v>5.8999999999999999E-3</v>
      </c>
      <c r="K26" s="72">
        <f t="shared" si="19"/>
        <v>5513</v>
      </c>
      <c r="L26" s="82">
        <f>ROUNDUP($L$5*J26,0)</f>
        <v>81</v>
      </c>
      <c r="M26" s="72">
        <f t="shared" si="20"/>
        <v>1061</v>
      </c>
      <c r="N26" s="75">
        <f t="shared" si="26"/>
        <v>6655</v>
      </c>
      <c r="O26" s="53"/>
      <c r="P26" s="47" t="s">
        <v>70</v>
      </c>
      <c r="Q26" s="70">
        <f>'4a 58C 20-21 Persons Count'!AS23</f>
        <v>3.3999999999999998E-3</v>
      </c>
      <c r="R26" s="71">
        <f t="shared" si="10"/>
        <v>28</v>
      </c>
      <c r="S26" s="53"/>
      <c r="T26" s="47" t="s">
        <v>70</v>
      </c>
      <c r="U26" s="70">
        <f>'4a 58C 20-21 Persons Count'!AI23</f>
        <v>5.7999999999999996E-3</v>
      </c>
      <c r="V26" s="71">
        <f t="shared" si="16"/>
        <v>3</v>
      </c>
      <c r="W26" s="71">
        <f t="shared" si="17"/>
        <v>0</v>
      </c>
      <c r="X26" s="71">
        <f t="shared" si="18"/>
        <v>0</v>
      </c>
      <c r="Y26" s="75">
        <f t="shared" si="27"/>
        <v>3</v>
      </c>
      <c r="Z26" s="53"/>
      <c r="AA26" s="71" t="s">
        <v>70</v>
      </c>
      <c r="AB26" s="21">
        <f t="shared" si="12"/>
        <v>5516</v>
      </c>
      <c r="AC26" s="21">
        <f t="shared" si="13"/>
        <v>81</v>
      </c>
      <c r="AD26" s="21">
        <f t="shared" si="14"/>
        <v>1332</v>
      </c>
      <c r="AE26" s="64">
        <f t="shared" si="1"/>
        <v>6929</v>
      </c>
      <c r="AF26" s="77"/>
      <c r="AG26" s="25" t="s">
        <v>70</v>
      </c>
      <c r="AH26" s="80"/>
      <c r="AI26" s="25"/>
      <c r="AJ26" s="79"/>
      <c r="AK26" s="79"/>
      <c r="AL26" s="25"/>
      <c r="AM26" s="63"/>
      <c r="AN26" s="79" t="s">
        <v>70</v>
      </c>
      <c r="AO26" s="79"/>
      <c r="AP26" s="79"/>
      <c r="AQ26" s="79"/>
      <c r="AR26" s="79"/>
      <c r="AT26" s="79" t="s">
        <v>70</v>
      </c>
      <c r="AU26" s="79"/>
      <c r="AV26" s="79"/>
      <c r="AW26" s="79"/>
      <c r="AX26" s="79"/>
      <c r="AZ26" s="79" t="s">
        <v>70</v>
      </c>
      <c r="BA26" s="244"/>
      <c r="BB26" s="244"/>
      <c r="BC26" s="244"/>
      <c r="BD26" s="245"/>
      <c r="BE26" s="63"/>
      <c r="BF26" s="62">
        <f t="shared" si="4"/>
        <v>5522</v>
      </c>
      <c r="BG26" s="62">
        <f t="shared" si="5"/>
        <v>81</v>
      </c>
      <c r="BH26" s="62">
        <f t="shared" si="6"/>
        <v>1332</v>
      </c>
      <c r="BI26" s="67">
        <f t="shared" si="0"/>
        <v>6935</v>
      </c>
      <c r="BJ26" s="98">
        <f t="shared" si="3"/>
        <v>0</v>
      </c>
    </row>
    <row r="27" spans="1:62" x14ac:dyDescent="0.25">
      <c r="A27" s="47" t="s">
        <v>71</v>
      </c>
      <c r="B27" s="70">
        <f>'4b 58C 21-22 Persons Count'!Y24</f>
        <v>1E-3</v>
      </c>
      <c r="C27" s="71">
        <f t="shared" si="29"/>
        <v>1</v>
      </c>
      <c r="D27" s="53"/>
      <c r="E27" s="47" t="s">
        <v>71</v>
      </c>
      <c r="F27" s="70">
        <f>'4b 58C 21-22 Persons Count'!AB24</f>
        <v>4.0000000000000002E-4</v>
      </c>
      <c r="G27" s="71">
        <f t="shared" si="28"/>
        <v>28</v>
      </c>
      <c r="H27" s="53"/>
      <c r="I27" s="47" t="s">
        <v>71</v>
      </c>
      <c r="J27" s="70">
        <f>'4b 58C 21-22 Persons Count'!W24</f>
        <v>8.0000000000000004E-4</v>
      </c>
      <c r="K27" s="72">
        <f t="shared" si="19"/>
        <v>748</v>
      </c>
      <c r="L27" s="72">
        <f t="shared" si="15"/>
        <v>11</v>
      </c>
      <c r="M27" s="72">
        <f t="shared" si="20"/>
        <v>144</v>
      </c>
      <c r="N27" s="75">
        <f t="shared" si="26"/>
        <v>903</v>
      </c>
      <c r="O27" s="53"/>
      <c r="P27" s="47" t="s">
        <v>71</v>
      </c>
      <c r="Q27" s="70">
        <f>'4a 58C 20-21 Persons Count'!AS24</f>
        <v>4.0000000000000002E-4</v>
      </c>
      <c r="R27" s="71">
        <f t="shared" si="10"/>
        <v>3</v>
      </c>
      <c r="S27" s="53"/>
      <c r="T27" s="47" t="s">
        <v>71</v>
      </c>
      <c r="U27" s="70">
        <f>'4a 58C 20-21 Persons Count'!AI24</f>
        <v>6.9999999999999999E-4</v>
      </c>
      <c r="V27" s="71">
        <f t="shared" si="16"/>
        <v>0</v>
      </c>
      <c r="W27" s="71">
        <f t="shared" si="17"/>
        <v>0</v>
      </c>
      <c r="X27" s="71">
        <f t="shared" si="18"/>
        <v>0</v>
      </c>
      <c r="Y27" s="75">
        <f t="shared" si="27"/>
        <v>0</v>
      </c>
      <c r="Z27" s="53"/>
      <c r="AA27" s="71" t="s">
        <v>71</v>
      </c>
      <c r="AB27" s="21">
        <f t="shared" si="12"/>
        <v>748</v>
      </c>
      <c r="AC27" s="21">
        <f t="shared" si="13"/>
        <v>11</v>
      </c>
      <c r="AD27" s="21">
        <f t="shared" si="14"/>
        <v>175</v>
      </c>
      <c r="AE27" s="64">
        <f t="shared" si="1"/>
        <v>934</v>
      </c>
      <c r="AF27" s="77"/>
      <c r="AG27" s="25" t="s">
        <v>71</v>
      </c>
      <c r="AH27" s="80"/>
      <c r="AI27" s="25"/>
      <c r="AJ27" s="79"/>
      <c r="AK27" s="79"/>
      <c r="AL27" s="25"/>
      <c r="AM27" s="63"/>
      <c r="AN27" s="79" t="s">
        <v>71</v>
      </c>
      <c r="AO27" s="79"/>
      <c r="AP27" s="79"/>
      <c r="AQ27" s="79"/>
      <c r="AR27" s="79"/>
      <c r="AT27" s="79" t="s">
        <v>71</v>
      </c>
      <c r="AU27" s="79"/>
      <c r="AV27" s="79"/>
      <c r="AW27" s="79"/>
      <c r="AX27" s="79"/>
      <c r="AZ27" s="79" t="s">
        <v>71</v>
      </c>
      <c r="BA27" s="244"/>
      <c r="BB27" s="244"/>
      <c r="BC27" s="244"/>
      <c r="BD27" s="245"/>
      <c r="BE27" s="63"/>
      <c r="BF27" s="62">
        <f t="shared" si="4"/>
        <v>749</v>
      </c>
      <c r="BG27" s="62">
        <f t="shared" si="5"/>
        <v>11</v>
      </c>
      <c r="BH27" s="62">
        <f t="shared" si="6"/>
        <v>175</v>
      </c>
      <c r="BI27" s="67">
        <f t="shared" si="0"/>
        <v>935</v>
      </c>
      <c r="BJ27" s="98">
        <f t="shared" si="3"/>
        <v>0</v>
      </c>
    </row>
    <row r="28" spans="1:62" x14ac:dyDescent="0.25">
      <c r="A28" s="47" t="s">
        <v>72</v>
      </c>
      <c r="B28" s="70">
        <f>'4b 58C 21-22 Persons Count'!Y25</f>
        <v>5.1000000000000004E-3</v>
      </c>
      <c r="C28" s="71">
        <f t="shared" si="29"/>
        <v>7</v>
      </c>
      <c r="D28" s="53"/>
      <c r="E28" s="47" t="s">
        <v>72</v>
      </c>
      <c r="F28" s="70">
        <f>'4b 58C 21-22 Persons Count'!AB25</f>
        <v>2.8999999999999998E-3</v>
      </c>
      <c r="G28" s="71">
        <f t="shared" si="28"/>
        <v>201</v>
      </c>
      <c r="H28" s="53"/>
      <c r="I28" s="47" t="s">
        <v>72</v>
      </c>
      <c r="J28" s="70">
        <f>'4b 58C 21-22 Persons Count'!W25</f>
        <v>4.8999999999999998E-3</v>
      </c>
      <c r="K28" s="72">
        <f t="shared" si="19"/>
        <v>4579</v>
      </c>
      <c r="L28" s="72">
        <f t="shared" si="15"/>
        <v>67</v>
      </c>
      <c r="M28" s="72">
        <f t="shared" si="20"/>
        <v>881</v>
      </c>
      <c r="N28" s="75">
        <f t="shared" si="26"/>
        <v>5527</v>
      </c>
      <c r="O28" s="53"/>
      <c r="P28" s="47" t="s">
        <v>72</v>
      </c>
      <c r="Q28" s="70">
        <f>'4a 58C 20-21 Persons Count'!AS25</f>
        <v>2.8999999999999998E-3</v>
      </c>
      <c r="R28" s="71">
        <f t="shared" si="10"/>
        <v>23</v>
      </c>
      <c r="S28" s="53"/>
      <c r="T28" s="47" t="s">
        <v>72</v>
      </c>
      <c r="U28" s="70">
        <f>'4a 58C 20-21 Persons Count'!AI25</f>
        <v>4.7999999999999996E-3</v>
      </c>
      <c r="V28" s="71">
        <f t="shared" si="16"/>
        <v>2</v>
      </c>
      <c r="W28" s="71">
        <f t="shared" si="17"/>
        <v>0</v>
      </c>
      <c r="X28" s="71">
        <f t="shared" si="18"/>
        <v>0</v>
      </c>
      <c r="Y28" s="75">
        <f t="shared" si="27"/>
        <v>2</v>
      </c>
      <c r="Z28" s="53"/>
      <c r="AA28" s="71" t="s">
        <v>72</v>
      </c>
      <c r="AB28" s="21">
        <f t="shared" si="12"/>
        <v>4581</v>
      </c>
      <c r="AC28" s="21">
        <f t="shared" si="13"/>
        <v>67</v>
      </c>
      <c r="AD28" s="21">
        <f t="shared" si="14"/>
        <v>1105</v>
      </c>
      <c r="AE28" s="64">
        <f t="shared" si="1"/>
        <v>5753</v>
      </c>
      <c r="AF28" s="77"/>
      <c r="AG28" s="25" t="s">
        <v>72</v>
      </c>
      <c r="AH28" s="80"/>
      <c r="AI28" s="25"/>
      <c r="AJ28" s="79"/>
      <c r="AK28" s="79"/>
      <c r="AL28" s="25"/>
      <c r="AM28" s="63"/>
      <c r="AN28" s="79" t="s">
        <v>72</v>
      </c>
      <c r="AO28" s="79"/>
      <c r="AP28" s="79"/>
      <c r="AQ28" s="79"/>
      <c r="AR28" s="79"/>
      <c r="AT28" s="79" t="s">
        <v>72</v>
      </c>
      <c r="AU28" s="79"/>
      <c r="AV28" s="79"/>
      <c r="AW28" s="79"/>
      <c r="AX28" s="79"/>
      <c r="AZ28" s="79" t="s">
        <v>72</v>
      </c>
      <c r="BA28" s="244"/>
      <c r="BB28" s="244"/>
      <c r="BC28" s="244"/>
      <c r="BD28" s="245"/>
      <c r="BE28" s="63"/>
      <c r="BF28" s="62">
        <f t="shared" si="4"/>
        <v>4588</v>
      </c>
      <c r="BG28" s="62">
        <f t="shared" si="5"/>
        <v>67</v>
      </c>
      <c r="BH28" s="62">
        <f t="shared" si="6"/>
        <v>1105</v>
      </c>
      <c r="BI28" s="67">
        <f t="shared" si="0"/>
        <v>5760</v>
      </c>
      <c r="BJ28" s="98">
        <f t="shared" si="3"/>
        <v>0</v>
      </c>
    </row>
    <row r="29" spans="1:62" x14ac:dyDescent="0.25">
      <c r="A29" s="47" t="s">
        <v>73</v>
      </c>
      <c r="B29" s="70">
        <f>'4b 58C 21-22 Persons Count'!Y26</f>
        <v>0.02</v>
      </c>
      <c r="C29" s="71">
        <f t="shared" si="29"/>
        <v>26</v>
      </c>
      <c r="D29" s="53"/>
      <c r="E29" s="47" t="s">
        <v>73</v>
      </c>
      <c r="F29" s="70">
        <f>'4b 58C 21-22 Persons Count'!AB26</f>
        <v>1.0699999999999999E-2</v>
      </c>
      <c r="G29" s="82">
        <f>ROUNDDOWN(G$5*$F29,0)</f>
        <v>741</v>
      </c>
      <c r="H29" s="53"/>
      <c r="I29" s="47" t="s">
        <v>73</v>
      </c>
      <c r="J29" s="70">
        <f>'4b 58C 21-22 Persons Count'!W26</f>
        <v>1.8100000000000002E-2</v>
      </c>
      <c r="K29" s="72">
        <f t="shared" si="19"/>
        <v>16913</v>
      </c>
      <c r="L29" s="82">
        <f>ROUNDUP($L$5*J29,0)</f>
        <v>248</v>
      </c>
      <c r="M29" s="72">
        <f t="shared" si="20"/>
        <v>3255</v>
      </c>
      <c r="N29" s="75">
        <f t="shared" si="26"/>
        <v>20416</v>
      </c>
      <c r="O29" s="53"/>
      <c r="P29" s="47" t="s">
        <v>73</v>
      </c>
      <c r="Q29" s="70">
        <f>'4a 58C 20-21 Persons Count'!AS26</f>
        <v>1.0799999999999999E-2</v>
      </c>
      <c r="R29" s="82">
        <f>ROUNDDOWN(R$5*$F29,0)</f>
        <v>86</v>
      </c>
      <c r="S29" s="53"/>
      <c r="T29" s="47" t="s">
        <v>73</v>
      </c>
      <c r="U29" s="70">
        <f>'4a 58C 20-21 Persons Count'!AI26</f>
        <v>1.8200000000000001E-2</v>
      </c>
      <c r="V29" s="71">
        <f t="shared" si="16"/>
        <v>8</v>
      </c>
      <c r="W29" s="71">
        <f t="shared" si="17"/>
        <v>0</v>
      </c>
      <c r="X29" s="71">
        <f t="shared" si="18"/>
        <v>2</v>
      </c>
      <c r="Y29" s="75">
        <f t="shared" si="27"/>
        <v>10</v>
      </c>
      <c r="Z29" s="53"/>
      <c r="AA29" s="71" t="s">
        <v>73</v>
      </c>
      <c r="AB29" s="21">
        <f t="shared" si="12"/>
        <v>16921</v>
      </c>
      <c r="AC29" s="21">
        <f t="shared" si="13"/>
        <v>248</v>
      </c>
      <c r="AD29" s="21">
        <f t="shared" si="14"/>
        <v>4084</v>
      </c>
      <c r="AE29" s="64">
        <f t="shared" si="1"/>
        <v>21253</v>
      </c>
      <c r="AF29" s="77"/>
      <c r="AG29" s="25" t="s">
        <v>73</v>
      </c>
      <c r="AH29" s="80"/>
      <c r="AI29" s="25"/>
      <c r="AJ29" s="79"/>
      <c r="AK29" s="79"/>
      <c r="AL29" s="25"/>
      <c r="AM29" s="63"/>
      <c r="AN29" s="79" t="s">
        <v>73</v>
      </c>
      <c r="AO29" s="79"/>
      <c r="AP29" s="79"/>
      <c r="AQ29" s="79"/>
      <c r="AR29" s="79"/>
      <c r="AT29" s="79" t="s">
        <v>73</v>
      </c>
      <c r="AU29" s="79"/>
      <c r="AV29" s="79"/>
      <c r="AW29" s="79"/>
      <c r="AX29" s="79"/>
      <c r="AZ29" s="79" t="s">
        <v>73</v>
      </c>
      <c r="BA29" s="244"/>
      <c r="BB29" s="244"/>
      <c r="BC29" s="244"/>
      <c r="BD29" s="245"/>
      <c r="BE29" s="63"/>
      <c r="BF29" s="62">
        <f t="shared" si="4"/>
        <v>16947</v>
      </c>
      <c r="BG29" s="62">
        <f t="shared" si="5"/>
        <v>248</v>
      </c>
      <c r="BH29" s="62">
        <f t="shared" si="6"/>
        <v>4084</v>
      </c>
      <c r="BI29" s="67">
        <f t="shared" si="0"/>
        <v>21279</v>
      </c>
      <c r="BJ29" s="98">
        <f t="shared" si="3"/>
        <v>0</v>
      </c>
    </row>
    <row r="30" spans="1:62" x14ac:dyDescent="0.25">
      <c r="A30" s="47" t="s">
        <v>74</v>
      </c>
      <c r="B30" s="70">
        <f>'4b 58C 21-22 Persons Count'!Y27</f>
        <v>5.9999999999999995E-4</v>
      </c>
      <c r="C30" s="71">
        <f t="shared" si="29"/>
        <v>1</v>
      </c>
      <c r="D30" s="53"/>
      <c r="E30" s="47" t="s">
        <v>74</v>
      </c>
      <c r="F30" s="70">
        <f>'4b 58C 21-22 Persons Count'!AB27</f>
        <v>2.9999999999999997E-4</v>
      </c>
      <c r="G30" s="72">
        <f>ROUND(G$5*$F30,0)</f>
        <v>21</v>
      </c>
      <c r="H30" s="53"/>
      <c r="I30" s="47" t="s">
        <v>74</v>
      </c>
      <c r="J30" s="70">
        <f>'4b 58C 21-22 Persons Count'!W27</f>
        <v>5.0000000000000001E-4</v>
      </c>
      <c r="K30" s="72">
        <f t="shared" si="19"/>
        <v>467</v>
      </c>
      <c r="L30" s="72">
        <f t="shared" si="15"/>
        <v>7</v>
      </c>
      <c r="M30" s="72">
        <f t="shared" si="20"/>
        <v>90</v>
      </c>
      <c r="N30" s="75">
        <f t="shared" si="26"/>
        <v>564</v>
      </c>
      <c r="O30" s="53"/>
      <c r="P30" s="47" t="s">
        <v>74</v>
      </c>
      <c r="Q30" s="70">
        <f>'4a 58C 20-21 Persons Count'!AS27</f>
        <v>2.9999999999999997E-4</v>
      </c>
      <c r="R30" s="72">
        <f>ROUND(R$5*$F30,0)</f>
        <v>2</v>
      </c>
      <c r="S30" s="53"/>
      <c r="T30" s="47" t="s">
        <v>74</v>
      </c>
      <c r="U30" s="70">
        <f>'4a 58C 20-21 Persons Count'!AI27</f>
        <v>5.0000000000000001E-4</v>
      </c>
      <c r="V30" s="71">
        <f t="shared" si="16"/>
        <v>0</v>
      </c>
      <c r="W30" s="71">
        <f t="shared" si="17"/>
        <v>0</v>
      </c>
      <c r="X30" s="71">
        <f t="shared" si="18"/>
        <v>0</v>
      </c>
      <c r="Y30" s="75">
        <f t="shared" si="27"/>
        <v>0</v>
      </c>
      <c r="Z30" s="53"/>
      <c r="AA30" s="71" t="s">
        <v>74</v>
      </c>
      <c r="AB30" s="21">
        <f t="shared" si="12"/>
        <v>467</v>
      </c>
      <c r="AC30" s="21">
        <f t="shared" si="13"/>
        <v>7</v>
      </c>
      <c r="AD30" s="21">
        <f t="shared" si="14"/>
        <v>113</v>
      </c>
      <c r="AE30" s="64">
        <f t="shared" si="1"/>
        <v>587</v>
      </c>
      <c r="AF30" s="77"/>
      <c r="AG30" s="25" t="s">
        <v>74</v>
      </c>
      <c r="AH30" s="80"/>
      <c r="AI30" s="25"/>
      <c r="AJ30" s="79"/>
      <c r="AK30" s="79"/>
      <c r="AL30" s="25"/>
      <c r="AM30" s="63"/>
      <c r="AN30" s="79" t="s">
        <v>74</v>
      </c>
      <c r="AO30" s="79"/>
      <c r="AP30" s="79"/>
      <c r="AQ30" s="79"/>
      <c r="AR30" s="79"/>
      <c r="AT30" s="79" t="s">
        <v>74</v>
      </c>
      <c r="AU30" s="79"/>
      <c r="AV30" s="79"/>
      <c r="AW30" s="79"/>
      <c r="AX30" s="79"/>
      <c r="AZ30" s="79" t="s">
        <v>74</v>
      </c>
      <c r="BA30" s="244"/>
      <c r="BB30" s="244"/>
      <c r="BC30" s="244"/>
      <c r="BD30" s="245"/>
      <c r="BE30" s="63"/>
      <c r="BF30" s="62">
        <f t="shared" si="4"/>
        <v>468</v>
      </c>
      <c r="BG30" s="62">
        <f t="shared" si="5"/>
        <v>7</v>
      </c>
      <c r="BH30" s="62">
        <f t="shared" si="6"/>
        <v>113</v>
      </c>
      <c r="BI30" s="67">
        <f t="shared" si="0"/>
        <v>588</v>
      </c>
      <c r="BJ30" s="98">
        <f t="shared" si="3"/>
        <v>0</v>
      </c>
    </row>
    <row r="31" spans="1:62" x14ac:dyDescent="0.25">
      <c r="A31" s="47" t="s">
        <v>75</v>
      </c>
      <c r="B31" s="70">
        <f>'4b 58C 21-22 Persons Count'!Y28</f>
        <v>2.0000000000000001E-4</v>
      </c>
      <c r="C31" s="71">
        <f t="shared" si="29"/>
        <v>0</v>
      </c>
      <c r="D31" s="53"/>
      <c r="E31" s="47" t="s">
        <v>75</v>
      </c>
      <c r="F31" s="70">
        <f>'4b 58C 21-22 Persons Count'!AB28</f>
        <v>2.0000000000000001E-4</v>
      </c>
      <c r="G31" s="71">
        <f t="shared" si="28"/>
        <v>14</v>
      </c>
      <c r="H31" s="53"/>
      <c r="I31" s="47" t="s">
        <v>75</v>
      </c>
      <c r="J31" s="70">
        <f>'4b 58C 21-22 Persons Count'!W28</f>
        <v>4.0000000000000002E-4</v>
      </c>
      <c r="K31" s="72">
        <f t="shared" si="19"/>
        <v>374</v>
      </c>
      <c r="L31" s="72">
        <f t="shared" si="15"/>
        <v>5</v>
      </c>
      <c r="M31" s="72">
        <f t="shared" si="20"/>
        <v>72</v>
      </c>
      <c r="N31" s="75">
        <f t="shared" si="26"/>
        <v>451</v>
      </c>
      <c r="O31" s="53"/>
      <c r="P31" s="47" t="s">
        <v>75</v>
      </c>
      <c r="Q31" s="70">
        <f>'4a 58C 20-21 Persons Count'!AS28</f>
        <v>2.0000000000000001E-4</v>
      </c>
      <c r="R31" s="71">
        <f t="shared" si="10"/>
        <v>2</v>
      </c>
      <c r="S31" s="53"/>
      <c r="T31" s="47" t="s">
        <v>75</v>
      </c>
      <c r="U31" s="70">
        <f>'4a 58C 20-21 Persons Count'!AI28</f>
        <v>4.0000000000000002E-4</v>
      </c>
      <c r="V31" s="71">
        <f t="shared" si="16"/>
        <v>0</v>
      </c>
      <c r="W31" s="71">
        <f t="shared" si="17"/>
        <v>0</v>
      </c>
      <c r="X31" s="71">
        <f t="shared" si="18"/>
        <v>0</v>
      </c>
      <c r="Y31" s="75">
        <f t="shared" si="27"/>
        <v>0</v>
      </c>
      <c r="Z31" s="53"/>
      <c r="AA31" s="71" t="s">
        <v>75</v>
      </c>
      <c r="AB31" s="21">
        <f t="shared" si="12"/>
        <v>374</v>
      </c>
      <c r="AC31" s="21">
        <f t="shared" si="13"/>
        <v>5</v>
      </c>
      <c r="AD31" s="21">
        <f t="shared" si="14"/>
        <v>88</v>
      </c>
      <c r="AE31" s="64">
        <f t="shared" si="1"/>
        <v>467</v>
      </c>
      <c r="AF31" s="77"/>
      <c r="AG31" s="25" t="s">
        <v>75</v>
      </c>
      <c r="AH31" s="80"/>
      <c r="AI31" s="25"/>
      <c r="AJ31" s="79"/>
      <c r="AK31" s="79"/>
      <c r="AL31" s="25"/>
      <c r="AM31" s="63"/>
      <c r="AN31" s="79" t="s">
        <v>75</v>
      </c>
      <c r="AO31" s="79"/>
      <c r="AP31" s="79"/>
      <c r="AQ31" s="79"/>
      <c r="AR31" s="79"/>
      <c r="AT31" s="79" t="s">
        <v>75</v>
      </c>
      <c r="AU31" s="79"/>
      <c r="AV31" s="79"/>
      <c r="AW31" s="79"/>
      <c r="AX31" s="79"/>
      <c r="AZ31" s="79" t="s">
        <v>75</v>
      </c>
      <c r="BA31" s="244"/>
      <c r="BB31" s="244"/>
      <c r="BC31" s="244"/>
      <c r="BD31" s="245"/>
      <c r="BE31" s="63"/>
      <c r="BF31" s="62">
        <f t="shared" si="4"/>
        <v>374</v>
      </c>
      <c r="BG31" s="62">
        <f t="shared" si="5"/>
        <v>5</v>
      </c>
      <c r="BH31" s="62">
        <f t="shared" si="6"/>
        <v>88</v>
      </c>
      <c r="BI31" s="67">
        <f t="shared" si="0"/>
        <v>467</v>
      </c>
      <c r="BJ31" s="98">
        <f t="shared" si="3"/>
        <v>0</v>
      </c>
    </row>
    <row r="32" spans="1:62" x14ac:dyDescent="0.25">
      <c r="A32" s="47" t="s">
        <v>76</v>
      </c>
      <c r="B32" s="70">
        <f>'4b 58C 21-22 Persons Count'!Y29</f>
        <v>1.5699999999999999E-2</v>
      </c>
      <c r="C32" s="71">
        <f t="shared" si="29"/>
        <v>20</v>
      </c>
      <c r="D32" s="53"/>
      <c r="E32" s="47" t="s">
        <v>76</v>
      </c>
      <c r="F32" s="70">
        <f>'4b 58C 21-22 Persons Count'!AB29</f>
        <v>1.3100000000000001E-2</v>
      </c>
      <c r="G32" s="82">
        <f>ROUNDDOWN(G$5*$F32,0)</f>
        <v>907</v>
      </c>
      <c r="H32" s="53"/>
      <c r="I32" s="47" t="s">
        <v>76</v>
      </c>
      <c r="J32" s="70">
        <f>'4b 58C 21-22 Persons Count'!W29</f>
        <v>2.2200000000000001E-2</v>
      </c>
      <c r="K32" s="72">
        <f t="shared" si="19"/>
        <v>20745</v>
      </c>
      <c r="L32" s="72">
        <f>ROUND($L$5*J32,0)</f>
        <v>304</v>
      </c>
      <c r="M32" s="72">
        <f t="shared" si="20"/>
        <v>3992</v>
      </c>
      <c r="N32" s="75">
        <f t="shared" si="26"/>
        <v>25041</v>
      </c>
      <c r="O32" s="53"/>
      <c r="P32" s="47" t="s">
        <v>76</v>
      </c>
      <c r="Q32" s="70">
        <f>'4a 58C 20-21 Persons Count'!AS29</f>
        <v>1.29E-2</v>
      </c>
      <c r="R32" s="82">
        <f>ROUNDUP(R$5*$F32,0)</f>
        <v>107</v>
      </c>
      <c r="S32" s="53"/>
      <c r="T32" s="47" t="s">
        <v>76</v>
      </c>
      <c r="U32" s="70">
        <f>'4a 58C 20-21 Persons Count'!AI29</f>
        <v>2.1700000000000001E-2</v>
      </c>
      <c r="V32" s="71">
        <f t="shared" si="16"/>
        <v>10</v>
      </c>
      <c r="W32" s="71">
        <f t="shared" si="17"/>
        <v>0</v>
      </c>
      <c r="X32" s="71">
        <f t="shared" si="18"/>
        <v>2</v>
      </c>
      <c r="Y32" s="75">
        <f t="shared" si="27"/>
        <v>12</v>
      </c>
      <c r="Z32" s="53"/>
      <c r="AA32" s="71" t="s">
        <v>76</v>
      </c>
      <c r="AB32" s="21">
        <f t="shared" si="12"/>
        <v>20755</v>
      </c>
      <c r="AC32" s="21">
        <f t="shared" si="13"/>
        <v>304</v>
      </c>
      <c r="AD32" s="21">
        <f t="shared" si="14"/>
        <v>5008</v>
      </c>
      <c r="AE32" s="64">
        <f t="shared" si="1"/>
        <v>26067</v>
      </c>
      <c r="AF32" s="77"/>
      <c r="AG32" s="25" t="s">
        <v>76</v>
      </c>
      <c r="AH32" s="80"/>
      <c r="AI32" s="25"/>
      <c r="AJ32" s="79"/>
      <c r="AK32" s="79"/>
      <c r="AL32" s="25"/>
      <c r="AM32" s="63"/>
      <c r="AN32" s="79" t="s">
        <v>76</v>
      </c>
      <c r="AO32" s="79"/>
      <c r="AP32" s="79"/>
      <c r="AQ32" s="79"/>
      <c r="AR32" s="79"/>
      <c r="AT32" s="79" t="s">
        <v>76</v>
      </c>
      <c r="AU32" s="79"/>
      <c r="AV32" s="79"/>
      <c r="AW32" s="79"/>
      <c r="AX32" s="79"/>
      <c r="AZ32" s="79" t="s">
        <v>76</v>
      </c>
      <c r="BA32" s="244"/>
      <c r="BB32" s="244"/>
      <c r="BC32" s="244"/>
      <c r="BD32" s="245"/>
      <c r="BE32" s="63"/>
      <c r="BF32" s="62">
        <f t="shared" si="4"/>
        <v>20775</v>
      </c>
      <c r="BG32" s="62">
        <f t="shared" si="5"/>
        <v>304</v>
      </c>
      <c r="BH32" s="62">
        <f t="shared" si="6"/>
        <v>5008</v>
      </c>
      <c r="BI32" s="67">
        <f t="shared" si="0"/>
        <v>26087</v>
      </c>
      <c r="BJ32" s="98">
        <f t="shared" si="3"/>
        <v>0</v>
      </c>
    </row>
    <row r="33" spans="1:62" x14ac:dyDescent="0.25">
      <c r="A33" s="47" t="s">
        <v>77</v>
      </c>
      <c r="B33" s="70">
        <f>'4b 58C 21-22 Persons Count'!Y30</f>
        <v>2.7000000000000001E-3</v>
      </c>
      <c r="C33" s="71">
        <f>ROUND(B33*C$5,0)</f>
        <v>4</v>
      </c>
      <c r="D33" s="53"/>
      <c r="E33" s="47" t="s">
        <v>77</v>
      </c>
      <c r="F33" s="70">
        <f>'4b 58C 21-22 Persons Count'!AB30</f>
        <v>2.2000000000000001E-3</v>
      </c>
      <c r="G33" s="71">
        <f t="shared" si="28"/>
        <v>152</v>
      </c>
      <c r="H33" s="53"/>
      <c r="I33" s="47" t="s">
        <v>77</v>
      </c>
      <c r="J33" s="70">
        <f>'4b 58C 21-22 Persons Count'!W30</f>
        <v>3.8E-3</v>
      </c>
      <c r="K33" s="72">
        <f t="shared" si="19"/>
        <v>3551</v>
      </c>
      <c r="L33" s="72">
        <f t="shared" si="15"/>
        <v>52</v>
      </c>
      <c r="M33" s="72">
        <f t="shared" si="20"/>
        <v>683</v>
      </c>
      <c r="N33" s="75">
        <f t="shared" si="26"/>
        <v>4286</v>
      </c>
      <c r="O33" s="53"/>
      <c r="P33" s="47" t="s">
        <v>77</v>
      </c>
      <c r="Q33" s="70">
        <f>'4a 58C 20-21 Persons Count'!AS30</f>
        <v>2.2000000000000001E-3</v>
      </c>
      <c r="R33" s="71">
        <f t="shared" si="10"/>
        <v>18</v>
      </c>
      <c r="S33" s="53"/>
      <c r="T33" s="47" t="s">
        <v>77</v>
      </c>
      <c r="U33" s="70">
        <f>'4a 58C 20-21 Persons Count'!AI30</f>
        <v>3.8E-3</v>
      </c>
      <c r="V33" s="71">
        <f t="shared" si="16"/>
        <v>2</v>
      </c>
      <c r="W33" s="71">
        <f t="shared" si="17"/>
        <v>0</v>
      </c>
      <c r="X33" s="71">
        <f t="shared" si="18"/>
        <v>0</v>
      </c>
      <c r="Y33" s="75">
        <f t="shared" si="27"/>
        <v>2</v>
      </c>
      <c r="Z33" s="53"/>
      <c r="AA33" s="71" t="s">
        <v>77</v>
      </c>
      <c r="AB33" s="21">
        <f t="shared" si="12"/>
        <v>3553</v>
      </c>
      <c r="AC33" s="21">
        <f t="shared" si="13"/>
        <v>52</v>
      </c>
      <c r="AD33" s="21">
        <f t="shared" si="14"/>
        <v>853</v>
      </c>
      <c r="AE33" s="64">
        <f t="shared" si="1"/>
        <v>4458</v>
      </c>
      <c r="AF33" s="77"/>
      <c r="AG33" s="25" t="s">
        <v>77</v>
      </c>
      <c r="AH33" s="80"/>
      <c r="AI33" s="25"/>
      <c r="AJ33" s="79"/>
      <c r="AK33" s="79"/>
      <c r="AL33" s="25"/>
      <c r="AM33" s="63"/>
      <c r="AN33" s="79" t="s">
        <v>77</v>
      </c>
      <c r="AO33" s="79"/>
      <c r="AP33" s="79"/>
      <c r="AQ33" s="79"/>
      <c r="AR33" s="79"/>
      <c r="AT33" s="79" t="s">
        <v>77</v>
      </c>
      <c r="AU33" s="79"/>
      <c r="AV33" s="79"/>
      <c r="AW33" s="79"/>
      <c r="AX33" s="79"/>
      <c r="AZ33" s="79" t="s">
        <v>77</v>
      </c>
      <c r="BA33" s="244"/>
      <c r="BB33" s="244"/>
      <c r="BC33" s="244"/>
      <c r="BD33" s="245"/>
      <c r="BE33" s="63"/>
      <c r="BF33" s="62">
        <f t="shared" si="4"/>
        <v>3557</v>
      </c>
      <c r="BG33" s="62">
        <f t="shared" si="5"/>
        <v>52</v>
      </c>
      <c r="BH33" s="62">
        <f t="shared" si="6"/>
        <v>853</v>
      </c>
      <c r="BI33" s="67">
        <f t="shared" si="0"/>
        <v>4462</v>
      </c>
      <c r="BJ33" s="98">
        <f t="shared" si="3"/>
        <v>0</v>
      </c>
    </row>
    <row r="34" spans="1:62" x14ac:dyDescent="0.25">
      <c r="A34" s="47" t="s">
        <v>78</v>
      </c>
      <c r="B34" s="70">
        <f>'4b 58C 21-22 Persons Count'!Y31</f>
        <v>3.0999999999999999E-3</v>
      </c>
      <c r="C34" s="71">
        <f>ROUND(B34*C$5,0)</f>
        <v>4</v>
      </c>
      <c r="D34" s="53"/>
      <c r="E34" s="47" t="s">
        <v>78</v>
      </c>
      <c r="F34" s="70">
        <f>'4b 58C 21-22 Persons Count'!AB31</f>
        <v>1.9E-3</v>
      </c>
      <c r="G34" s="71">
        <f t="shared" si="28"/>
        <v>132</v>
      </c>
      <c r="H34" s="53"/>
      <c r="I34" s="47" t="s">
        <v>78</v>
      </c>
      <c r="J34" s="70">
        <f>'4b 58C 21-22 Persons Count'!W31</f>
        <v>3.0999999999999999E-3</v>
      </c>
      <c r="K34" s="72">
        <f t="shared" si="19"/>
        <v>2897</v>
      </c>
      <c r="L34" s="72">
        <f>ROUND($L$5*J34,0)</f>
        <v>42</v>
      </c>
      <c r="M34" s="72">
        <f t="shared" si="20"/>
        <v>557</v>
      </c>
      <c r="N34" s="75">
        <f t="shared" si="26"/>
        <v>3496</v>
      </c>
      <c r="O34" s="53"/>
      <c r="P34" s="47" t="s">
        <v>78</v>
      </c>
      <c r="Q34" s="70">
        <f>'4a 58C 20-21 Persons Count'!AS31</f>
        <v>1.9E-3</v>
      </c>
      <c r="R34" s="71">
        <f t="shared" si="10"/>
        <v>15</v>
      </c>
      <c r="S34" s="53"/>
      <c r="T34" s="47" t="s">
        <v>78</v>
      </c>
      <c r="U34" s="70">
        <f>'4a 58C 20-21 Persons Count'!AI31</f>
        <v>3.0999999999999999E-3</v>
      </c>
      <c r="V34" s="71">
        <f t="shared" si="16"/>
        <v>1</v>
      </c>
      <c r="W34" s="71">
        <f t="shared" si="17"/>
        <v>0</v>
      </c>
      <c r="X34" s="71">
        <f t="shared" si="18"/>
        <v>0</v>
      </c>
      <c r="Y34" s="75">
        <f t="shared" si="27"/>
        <v>1</v>
      </c>
      <c r="Z34" s="53"/>
      <c r="AA34" s="71" t="s">
        <v>78</v>
      </c>
      <c r="AB34" s="21">
        <f t="shared" si="12"/>
        <v>2898</v>
      </c>
      <c r="AC34" s="21">
        <f t="shared" si="13"/>
        <v>42</v>
      </c>
      <c r="AD34" s="21">
        <f t="shared" si="14"/>
        <v>704</v>
      </c>
      <c r="AE34" s="64">
        <f t="shared" si="1"/>
        <v>3644</v>
      </c>
      <c r="AF34" s="77"/>
      <c r="AG34" s="25" t="s">
        <v>78</v>
      </c>
      <c r="AH34" s="80"/>
      <c r="AI34" s="25"/>
      <c r="AJ34" s="79"/>
      <c r="AK34" s="79"/>
      <c r="AL34" s="25"/>
      <c r="AM34" s="63"/>
      <c r="AN34" s="79" t="s">
        <v>78</v>
      </c>
      <c r="AO34" s="79"/>
      <c r="AP34" s="79"/>
      <c r="AQ34" s="79"/>
      <c r="AR34" s="79"/>
      <c r="AT34" s="79" t="s">
        <v>78</v>
      </c>
      <c r="AU34" s="79"/>
      <c r="AV34" s="79"/>
      <c r="AW34" s="79"/>
      <c r="AX34" s="79"/>
      <c r="AZ34" s="79" t="s">
        <v>78</v>
      </c>
      <c r="BA34" s="244"/>
      <c r="BB34" s="244"/>
      <c r="BC34" s="244"/>
      <c r="BD34" s="245"/>
      <c r="BE34" s="63"/>
      <c r="BF34" s="62">
        <f t="shared" si="4"/>
        <v>2902</v>
      </c>
      <c r="BG34" s="62">
        <f t="shared" si="5"/>
        <v>42</v>
      </c>
      <c r="BH34" s="62">
        <f t="shared" si="6"/>
        <v>704</v>
      </c>
      <c r="BI34" s="67">
        <f t="shared" si="0"/>
        <v>3648</v>
      </c>
      <c r="BJ34" s="98">
        <f t="shared" si="3"/>
        <v>0</v>
      </c>
    </row>
    <row r="35" spans="1:62" x14ac:dyDescent="0.25">
      <c r="A35" s="25" t="s">
        <v>79</v>
      </c>
      <c r="B35" s="25"/>
      <c r="C35" s="25"/>
      <c r="D35" s="53"/>
      <c r="E35" s="47" t="s">
        <v>79</v>
      </c>
      <c r="F35" s="70">
        <f>'4b 58C 21-22 Persons Count'!AB32</f>
        <v>6.4199999999999993E-2</v>
      </c>
      <c r="G35" s="71">
        <f t="shared" si="28"/>
        <v>4448</v>
      </c>
      <c r="H35" s="53"/>
      <c r="I35" s="25" t="s">
        <v>79</v>
      </c>
      <c r="J35" s="25"/>
      <c r="K35" s="79"/>
      <c r="L35" s="79"/>
      <c r="M35" s="79"/>
      <c r="N35" s="79"/>
      <c r="O35" s="53"/>
      <c r="P35" s="47" t="s">
        <v>79</v>
      </c>
      <c r="Q35" s="70">
        <f>'4a 58C 20-21 Persons Count'!AS32</f>
        <v>6.2799999999999995E-2</v>
      </c>
      <c r="R35" s="71">
        <f t="shared" si="10"/>
        <v>520</v>
      </c>
      <c r="S35" s="53"/>
      <c r="T35" s="25" t="s">
        <v>79</v>
      </c>
      <c r="U35" s="25"/>
      <c r="V35" s="79"/>
      <c r="W35" s="79"/>
      <c r="X35" s="79"/>
      <c r="Y35" s="79"/>
      <c r="Z35" s="53"/>
      <c r="AA35" s="71" t="s">
        <v>79</v>
      </c>
      <c r="AB35" s="21">
        <f t="shared" si="12"/>
        <v>0</v>
      </c>
      <c r="AC35" s="21">
        <f t="shared" si="13"/>
        <v>0</v>
      </c>
      <c r="AD35" s="21">
        <f t="shared" si="14"/>
        <v>4968</v>
      </c>
      <c r="AE35" s="64">
        <f t="shared" si="1"/>
        <v>4968</v>
      </c>
      <c r="AF35" s="77"/>
      <c r="AG35" s="21" t="s">
        <v>79</v>
      </c>
      <c r="AH35" s="74">
        <f>'5b SFY 2324 CalWIN MO Share Tbl'!J10</f>
        <v>0.12609999999999999</v>
      </c>
      <c r="AI35" s="71">
        <f>ROUND(AH35*AI$5,0)</f>
        <v>37493</v>
      </c>
      <c r="AJ35" s="71">
        <f t="shared" ref="AJ35:AJ36" si="30">ROUND(AH35*AJ$5,0)</f>
        <v>379</v>
      </c>
      <c r="AK35" s="71">
        <f>ROUND(AH35*AK$5,0)</f>
        <v>3684</v>
      </c>
      <c r="AL35" s="76">
        <f t="shared" ref="AL35:AL36" si="31">SUM(AI35:AK35)</f>
        <v>41556</v>
      </c>
      <c r="AM35" s="63"/>
      <c r="AN35" s="75" t="s">
        <v>79</v>
      </c>
      <c r="AO35" s="75">
        <f>SUMIF('3a SFY 23-24 Q1 CalWIN MO'!$A:$A,'SFY 23-24 Q1 Share Calculations'!$AN35,'3a SFY 23-24 Q1 CalWIN MO'!X:X)</f>
        <v>15659</v>
      </c>
      <c r="AP35" s="75">
        <f>SUMIF('3a SFY 23-24 Q1 CalWIN MO'!$A:$A,'SFY 23-24 Q1 Share Calculations'!$AN35,'3a SFY 23-24 Q1 CalWIN MO'!Y:Y)</f>
        <v>159</v>
      </c>
      <c r="AQ35" s="75">
        <f>SUMIF('3a SFY 23-24 Q1 CalWIN MO'!$A:$A,'SFY 23-24 Q1 Share Calculations'!$AN35,'3a SFY 23-24 Q1 CalWIN MO'!Z:Z)</f>
        <v>1538</v>
      </c>
      <c r="AR35" s="84">
        <f t="shared" ref="AR35" si="32">SUM(AO35:AQ35)</f>
        <v>17356</v>
      </c>
      <c r="AT35" s="75" t="s">
        <v>79</v>
      </c>
      <c r="AU35" s="75">
        <f>SUMIF('3b SFY 22-23 Q1 Adj-Late MO'!$A:$A,'SFY 23-24 Q1 Share Calculations'!$AT35,'3b SFY 22-23 Q1 Adj-Late MO'!X:X)</f>
        <v>0</v>
      </c>
      <c r="AV35" s="75">
        <f>SUMIF('3b SFY 22-23 Q1 Adj-Late MO'!$A:$A,'SFY 23-24 Q1 Share Calculations'!$AT35,'3b SFY 22-23 Q1 Adj-Late MO'!Y:Y)</f>
        <v>0</v>
      </c>
      <c r="AW35" s="75">
        <f>SUMIF('3b SFY 22-23 Q1 Adj-Late MO'!$A:$A,'SFY 23-24 Q1 Share Calculations'!$AT35,'3b SFY 22-23 Q1 Adj-Late MO'!Z:Z)</f>
        <v>0</v>
      </c>
      <c r="AX35" s="84">
        <f t="shared" ref="AX35:AX36" si="33">SUM(AU35:AW35)</f>
        <v>0</v>
      </c>
      <c r="AZ35" s="75" t="s">
        <v>79</v>
      </c>
      <c r="BA35" s="76">
        <f t="shared" ref="BA35:BA36" si="34">SUM(AI35,AO35,AU35)</f>
        <v>53152</v>
      </c>
      <c r="BB35" s="76">
        <f t="shared" ref="BB35:BB36" si="35">SUM(AJ35,AP35,AV35)</f>
        <v>538</v>
      </c>
      <c r="BC35" s="76">
        <f t="shared" ref="BC35:BC36" si="36">SUM(AK35,AQ35,AW35)</f>
        <v>5222</v>
      </c>
      <c r="BD35" s="84">
        <f t="shared" si="23"/>
        <v>58912</v>
      </c>
      <c r="BE35" s="63"/>
      <c r="BF35" s="62">
        <f t="shared" si="4"/>
        <v>53152</v>
      </c>
      <c r="BG35" s="62">
        <f t="shared" si="5"/>
        <v>538</v>
      </c>
      <c r="BH35" s="62">
        <f t="shared" si="6"/>
        <v>10190</v>
      </c>
      <c r="BI35" s="67">
        <f t="shared" si="0"/>
        <v>63880</v>
      </c>
      <c r="BJ35" s="98">
        <f t="shared" si="3"/>
        <v>0</v>
      </c>
    </row>
    <row r="36" spans="1:62" x14ac:dyDescent="0.25">
      <c r="A36" s="25" t="s">
        <v>80</v>
      </c>
      <c r="B36" s="25"/>
      <c r="C36" s="25"/>
      <c r="D36" s="53"/>
      <c r="E36" s="47" t="s">
        <v>80</v>
      </c>
      <c r="F36" s="70">
        <f>'4b 58C 21-22 Persons Count'!AB33</f>
        <v>4.5999999999999999E-3</v>
      </c>
      <c r="G36" s="71">
        <f t="shared" si="28"/>
        <v>319</v>
      </c>
      <c r="H36" s="53"/>
      <c r="I36" s="25" t="s">
        <v>80</v>
      </c>
      <c r="J36" s="25"/>
      <c r="K36" s="79"/>
      <c r="L36" s="79"/>
      <c r="M36" s="79"/>
      <c r="N36" s="79"/>
      <c r="O36" s="53"/>
      <c r="P36" s="47" t="s">
        <v>80</v>
      </c>
      <c r="Q36" s="70">
        <f>'4a 58C 20-21 Persons Count'!AS33</f>
        <v>4.4000000000000003E-3</v>
      </c>
      <c r="R36" s="71">
        <f t="shared" si="10"/>
        <v>37</v>
      </c>
      <c r="S36" s="53"/>
      <c r="T36" s="25" t="s">
        <v>80</v>
      </c>
      <c r="U36" s="25"/>
      <c r="V36" s="79"/>
      <c r="W36" s="79"/>
      <c r="X36" s="79"/>
      <c r="Y36" s="79"/>
      <c r="Z36" s="53"/>
      <c r="AA36" s="71" t="s">
        <v>80</v>
      </c>
      <c r="AB36" s="21">
        <f t="shared" si="12"/>
        <v>0</v>
      </c>
      <c r="AC36" s="21">
        <f t="shared" si="13"/>
        <v>0</v>
      </c>
      <c r="AD36" s="21">
        <f t="shared" si="14"/>
        <v>356</v>
      </c>
      <c r="AE36" s="64">
        <f t="shared" si="1"/>
        <v>356</v>
      </c>
      <c r="AF36" s="77"/>
      <c r="AG36" s="21" t="s">
        <v>80</v>
      </c>
      <c r="AH36" s="74">
        <f>'5b SFY 2324 CalWIN MO Share Tbl'!J11</f>
        <v>9.1000000000000004E-3</v>
      </c>
      <c r="AI36" s="295">
        <f t="shared" ref="AI36" si="37">ROUND(AH36*AI$5,0)</f>
        <v>2706</v>
      </c>
      <c r="AJ36" s="295">
        <f t="shared" si="30"/>
        <v>27</v>
      </c>
      <c r="AK36" s="295">
        <f t="shared" ref="AK36" si="38">ROUND(AH36*AK$5,0)</f>
        <v>266</v>
      </c>
      <c r="AL36" s="76">
        <f t="shared" si="31"/>
        <v>2999</v>
      </c>
      <c r="AM36" s="63"/>
      <c r="AN36" s="75" t="s">
        <v>80</v>
      </c>
      <c r="AO36" s="75">
        <f>SUMIF('3a SFY 23-24 Q1 CalWIN MO'!$A:$A,'SFY 23-24 Q1 Share Calculations'!$AN36,'3a SFY 23-24 Q1 CalWIN MO'!X:X)</f>
        <v>227</v>
      </c>
      <c r="AP36" s="75">
        <f>SUMIF('3a SFY 23-24 Q1 CalWIN MO'!$A:$A,'SFY 23-24 Q1 Share Calculations'!$AN36,'3a SFY 23-24 Q1 CalWIN MO'!Y:Y)</f>
        <v>3</v>
      </c>
      <c r="AQ36" s="75">
        <f>SUMIF('3a SFY 23-24 Q1 CalWIN MO'!$A:$A,'SFY 23-24 Q1 Share Calculations'!$AN36,'3a SFY 23-24 Q1 CalWIN MO'!Z:Z)</f>
        <v>22</v>
      </c>
      <c r="AR36" s="84">
        <f t="shared" ref="AR36" si="39">SUM(AO36:AQ36)</f>
        <v>252</v>
      </c>
      <c r="AT36" s="75" t="s">
        <v>80</v>
      </c>
      <c r="AU36" s="75">
        <f>SUMIF('3b SFY 22-23 Q1 Adj-Late MO'!$A:$A,'SFY 23-24 Q1 Share Calculations'!$AT36,'3b SFY 22-23 Q1 Adj-Late MO'!X:X)</f>
        <v>0</v>
      </c>
      <c r="AV36" s="75">
        <f>SUMIF('3b SFY 22-23 Q1 Adj-Late MO'!$A:$A,'SFY 23-24 Q1 Share Calculations'!$AT36,'3b SFY 22-23 Q1 Adj-Late MO'!Y:Y)</f>
        <v>0</v>
      </c>
      <c r="AW36" s="75">
        <f>SUMIF('3b SFY 22-23 Q1 Adj-Late MO'!$A:$A,'SFY 23-24 Q1 Share Calculations'!$AT36,'3b SFY 22-23 Q1 Adj-Late MO'!Z:Z)</f>
        <v>0</v>
      </c>
      <c r="AX36" s="84">
        <f t="shared" si="33"/>
        <v>0</v>
      </c>
      <c r="AZ36" s="75" t="s">
        <v>80</v>
      </c>
      <c r="BA36" s="76">
        <f t="shared" si="34"/>
        <v>2933</v>
      </c>
      <c r="BB36" s="76">
        <f t="shared" si="35"/>
        <v>30</v>
      </c>
      <c r="BC36" s="76">
        <f t="shared" si="36"/>
        <v>288</v>
      </c>
      <c r="BD36" s="84">
        <f t="shared" si="23"/>
        <v>3251</v>
      </c>
      <c r="BE36" s="63"/>
      <c r="BF36" s="62">
        <f t="shared" si="4"/>
        <v>2933</v>
      </c>
      <c r="BG36" s="62">
        <f t="shared" si="5"/>
        <v>30</v>
      </c>
      <c r="BH36" s="62">
        <f t="shared" si="6"/>
        <v>644</v>
      </c>
      <c r="BI36" s="67">
        <f t="shared" ref="BI36:BI63" si="40">SUM(BF36:BH36)</f>
        <v>3607</v>
      </c>
      <c r="BJ36" s="98">
        <f t="shared" si="3"/>
        <v>0</v>
      </c>
    </row>
    <row r="37" spans="1:62" x14ac:dyDescent="0.25">
      <c r="A37" s="47" t="s">
        <v>81</v>
      </c>
      <c r="B37" s="70">
        <f>'4b 58C 21-22 Persons Count'!Y34</f>
        <v>8.0000000000000004E-4</v>
      </c>
      <c r="C37" s="71">
        <f t="shared" ref="C37:C40" si="41">ROUND(B37*C$5,0)</f>
        <v>1</v>
      </c>
      <c r="D37" s="53"/>
      <c r="E37" s="47" t="s">
        <v>81</v>
      </c>
      <c r="F37" s="70">
        <f>'4b 58C 21-22 Persons Count'!AB34</f>
        <v>5.0000000000000001E-4</v>
      </c>
      <c r="G37" s="71">
        <f t="shared" si="28"/>
        <v>35</v>
      </c>
      <c r="H37" s="53"/>
      <c r="I37" s="47" t="s">
        <v>81</v>
      </c>
      <c r="J37" s="70">
        <f>'4b 58C 21-22 Persons Count'!W34</f>
        <v>8.0000000000000004E-4</v>
      </c>
      <c r="K37" s="72">
        <f t="shared" si="19"/>
        <v>748</v>
      </c>
      <c r="L37" s="72">
        <f t="shared" si="15"/>
        <v>11</v>
      </c>
      <c r="M37" s="72">
        <f t="shared" si="20"/>
        <v>144</v>
      </c>
      <c r="N37" s="75">
        <f t="shared" ref="N37:N38" si="42">SUM(K37:M37)</f>
        <v>903</v>
      </c>
      <c r="O37" s="53"/>
      <c r="P37" s="47" t="s">
        <v>81</v>
      </c>
      <c r="Q37" s="70">
        <f>'4a 58C 20-21 Persons Count'!AS34</f>
        <v>5.0000000000000001E-4</v>
      </c>
      <c r="R37" s="71">
        <f t="shared" si="10"/>
        <v>4</v>
      </c>
      <c r="S37" s="53"/>
      <c r="T37" s="47" t="s">
        <v>81</v>
      </c>
      <c r="U37" s="70">
        <f>'4a 58C 20-21 Persons Count'!AI34</f>
        <v>8.0000000000000004E-4</v>
      </c>
      <c r="V37" s="71">
        <f t="shared" ref="V37" si="43">ROUND($V$5*U37,0)</f>
        <v>0</v>
      </c>
      <c r="W37" s="71">
        <f t="shared" ref="W37:W38" si="44">ROUND($W$5*U37,0)</f>
        <v>0</v>
      </c>
      <c r="X37" s="71">
        <f t="shared" ref="X37:X38" si="45">ROUND($X$5*U37,0)</f>
        <v>0</v>
      </c>
      <c r="Y37" s="75">
        <f t="shared" ref="Y37:Y38" si="46">SUM(V37:X37)</f>
        <v>0</v>
      </c>
      <c r="Z37" s="53"/>
      <c r="AA37" s="71" t="s">
        <v>81</v>
      </c>
      <c r="AB37" s="21">
        <f t="shared" si="12"/>
        <v>748</v>
      </c>
      <c r="AC37" s="21">
        <f t="shared" si="13"/>
        <v>11</v>
      </c>
      <c r="AD37" s="21">
        <f t="shared" si="14"/>
        <v>183</v>
      </c>
      <c r="AE37" s="64">
        <f t="shared" ref="AE37:AE64" si="47">SUM(AB37:AD37)</f>
        <v>942</v>
      </c>
      <c r="AF37" s="77"/>
      <c r="AG37" s="25" t="s">
        <v>81</v>
      </c>
      <c r="AH37" s="80"/>
      <c r="AI37" s="25"/>
      <c r="AJ37" s="79"/>
      <c r="AK37" s="79"/>
      <c r="AL37" s="25"/>
      <c r="AM37" s="63"/>
      <c r="AN37" s="79" t="s">
        <v>81</v>
      </c>
      <c r="AO37" s="79"/>
      <c r="AP37" s="79"/>
      <c r="AQ37" s="79"/>
      <c r="AR37" s="79"/>
      <c r="AT37" s="79" t="s">
        <v>81</v>
      </c>
      <c r="AU37" s="79"/>
      <c r="AV37" s="79"/>
      <c r="AW37" s="79"/>
      <c r="AX37" s="79"/>
      <c r="AZ37" s="79" t="s">
        <v>81</v>
      </c>
      <c r="BA37" s="244"/>
      <c r="BB37" s="244"/>
      <c r="BC37" s="244"/>
      <c r="BD37" s="245"/>
      <c r="BE37" s="63"/>
      <c r="BF37" s="62">
        <f t="shared" si="4"/>
        <v>749</v>
      </c>
      <c r="BG37" s="62">
        <f t="shared" si="5"/>
        <v>11</v>
      </c>
      <c r="BH37" s="62">
        <f t="shared" si="6"/>
        <v>183</v>
      </c>
      <c r="BI37" s="67">
        <f t="shared" si="40"/>
        <v>943</v>
      </c>
      <c r="BJ37" s="98">
        <f t="shared" ref="BJ37:BJ64" si="48">SUM(C37+AE37+BD37)-BI37</f>
        <v>0</v>
      </c>
    </row>
    <row r="38" spans="1:62" x14ac:dyDescent="0.25">
      <c r="A38" s="47" t="s">
        <v>82</v>
      </c>
      <c r="B38" s="70">
        <f>'4b 58C 21-22 Persons Count'!Y35</f>
        <v>9.5100000000000004E-2</v>
      </c>
      <c r="C38" s="71">
        <f t="shared" si="41"/>
        <v>124</v>
      </c>
      <c r="D38" s="53"/>
      <c r="E38" s="47" t="s">
        <v>82</v>
      </c>
      <c r="F38" s="70">
        <f>'4b 58C 21-22 Persons Count'!AB35</f>
        <v>6.2899999999999998E-2</v>
      </c>
      <c r="G38" s="71">
        <f t="shared" si="28"/>
        <v>4358</v>
      </c>
      <c r="H38" s="53"/>
      <c r="I38" s="47" t="s">
        <v>82</v>
      </c>
      <c r="J38" s="70">
        <f>'4b 58C 21-22 Persons Count'!W35</f>
        <v>0.1065</v>
      </c>
      <c r="K38" s="72">
        <f t="shared" si="19"/>
        <v>99518</v>
      </c>
      <c r="L38" s="71">
        <f>ROUND($L$5*J38,0)</f>
        <v>1457</v>
      </c>
      <c r="M38" s="72">
        <f t="shared" si="20"/>
        <v>19152</v>
      </c>
      <c r="N38" s="75">
        <f t="shared" si="42"/>
        <v>120127</v>
      </c>
      <c r="O38" s="53"/>
      <c r="P38" s="47" t="s">
        <v>82</v>
      </c>
      <c r="Q38" s="70">
        <f>'4a 58C 20-21 Persons Count'!AS35</f>
        <v>6.2899999999999998E-2</v>
      </c>
      <c r="R38" s="71">
        <f t="shared" si="10"/>
        <v>510</v>
      </c>
      <c r="S38" s="53"/>
      <c r="T38" s="47" t="s">
        <v>82</v>
      </c>
      <c r="U38" s="70">
        <f>'4a 58C 20-21 Persons Count'!AI35</f>
        <v>0.10580000000000001</v>
      </c>
      <c r="V38" s="82">
        <f>ROUNDUP($V$5*U38,0)</f>
        <v>47</v>
      </c>
      <c r="W38" s="71">
        <f t="shared" si="44"/>
        <v>1</v>
      </c>
      <c r="X38" s="71">
        <f t="shared" si="45"/>
        <v>9</v>
      </c>
      <c r="Y38" s="75">
        <f t="shared" si="46"/>
        <v>57</v>
      </c>
      <c r="Z38" s="53"/>
      <c r="AA38" s="71" t="s">
        <v>82</v>
      </c>
      <c r="AB38" s="21">
        <f t="shared" si="12"/>
        <v>99565</v>
      </c>
      <c r="AC38" s="21">
        <f t="shared" si="13"/>
        <v>1458</v>
      </c>
      <c r="AD38" s="21">
        <f t="shared" si="14"/>
        <v>24029</v>
      </c>
      <c r="AE38" s="64">
        <f t="shared" si="47"/>
        <v>125052</v>
      </c>
      <c r="AF38" s="77"/>
      <c r="AG38" s="25" t="s">
        <v>82</v>
      </c>
      <c r="AH38" s="80"/>
      <c r="AI38" s="25"/>
      <c r="AJ38" s="79"/>
      <c r="AK38" s="79"/>
      <c r="AL38" s="25"/>
      <c r="AM38" s="63"/>
      <c r="AN38" s="79" t="s">
        <v>82</v>
      </c>
      <c r="AO38" s="79"/>
      <c r="AP38" s="79"/>
      <c r="AQ38" s="79"/>
      <c r="AR38" s="79"/>
      <c r="AT38" s="79" t="s">
        <v>82</v>
      </c>
      <c r="AU38" s="79"/>
      <c r="AV38" s="79"/>
      <c r="AW38" s="79"/>
      <c r="AX38" s="79"/>
      <c r="AZ38" s="79" t="s">
        <v>82</v>
      </c>
      <c r="BA38" s="244"/>
      <c r="BB38" s="244"/>
      <c r="BC38" s="244"/>
      <c r="BD38" s="245"/>
      <c r="BE38" s="63"/>
      <c r="BF38" s="62">
        <f t="shared" si="4"/>
        <v>99689</v>
      </c>
      <c r="BG38" s="62">
        <f t="shared" si="5"/>
        <v>1458</v>
      </c>
      <c r="BH38" s="62">
        <f t="shared" si="6"/>
        <v>24029</v>
      </c>
      <c r="BI38" s="67">
        <f t="shared" si="40"/>
        <v>125176</v>
      </c>
      <c r="BJ38" s="98">
        <f t="shared" si="48"/>
        <v>0</v>
      </c>
    </row>
    <row r="39" spans="1:62" x14ac:dyDescent="0.25">
      <c r="A39" s="25" t="s">
        <v>83</v>
      </c>
      <c r="B39" s="25"/>
      <c r="C39" s="25"/>
      <c r="D39" s="53"/>
      <c r="E39" s="47" t="s">
        <v>83</v>
      </c>
      <c r="F39" s="70">
        <f>'4b 58C 21-22 Persons Count'!AB36</f>
        <v>4.41E-2</v>
      </c>
      <c r="G39" s="82">
        <f>ROUNDDOWN(G$5*$F39,0)</f>
        <v>3055</v>
      </c>
      <c r="H39" s="53"/>
      <c r="I39" s="25" t="s">
        <v>83</v>
      </c>
      <c r="J39" s="25"/>
      <c r="K39" s="79"/>
      <c r="L39" s="79"/>
      <c r="M39" s="79"/>
      <c r="N39" s="79"/>
      <c r="O39" s="53"/>
      <c r="P39" s="47" t="s">
        <v>83</v>
      </c>
      <c r="Q39" s="70">
        <f>'4a 58C 20-21 Persons Count'!AS36</f>
        <v>4.4200000000000003E-2</v>
      </c>
      <c r="R39" s="71">
        <f t="shared" si="10"/>
        <v>357</v>
      </c>
      <c r="S39" s="53"/>
      <c r="T39" s="25" t="s">
        <v>83</v>
      </c>
      <c r="U39" s="25"/>
      <c r="V39" s="79"/>
      <c r="W39" s="79"/>
      <c r="X39" s="79"/>
      <c r="Y39" s="79"/>
      <c r="Z39" s="53"/>
      <c r="AA39" s="71" t="s">
        <v>83</v>
      </c>
      <c r="AB39" s="21">
        <f t="shared" si="12"/>
        <v>0</v>
      </c>
      <c r="AC39" s="21">
        <f t="shared" si="13"/>
        <v>0</v>
      </c>
      <c r="AD39" s="21">
        <f t="shared" si="14"/>
        <v>3412</v>
      </c>
      <c r="AE39" s="64">
        <f t="shared" si="47"/>
        <v>3412</v>
      </c>
      <c r="AF39" s="77"/>
      <c r="AG39" s="21" t="s">
        <v>83</v>
      </c>
      <c r="AH39" s="74">
        <f>'5b SFY 2324 CalWIN MO Share Tbl'!J12</f>
        <v>0.1096</v>
      </c>
      <c r="AI39" s="71">
        <f t="shared" ref="AI39" si="49">ROUND(AH39*AI$5,0)</f>
        <v>32587</v>
      </c>
      <c r="AJ39" s="71">
        <f>ROUND(AH39*AJ$5,0)</f>
        <v>329</v>
      </c>
      <c r="AK39" s="71">
        <f>ROUND(AH39*AK$5,0)</f>
        <v>3202</v>
      </c>
      <c r="AL39" s="76">
        <f>SUM(AI39:AK39)</f>
        <v>36118</v>
      </c>
      <c r="AM39" s="63"/>
      <c r="AN39" s="75" t="s">
        <v>83</v>
      </c>
      <c r="AO39" s="75">
        <f>SUMIF('3a SFY 23-24 Q1 CalWIN MO'!$A:$A,'SFY 23-24 Q1 Share Calculations'!$AN39,'3a SFY 23-24 Q1 CalWIN MO'!X:X)</f>
        <v>27495</v>
      </c>
      <c r="AP39" s="75">
        <f>SUMIF('3a SFY 23-24 Q1 CalWIN MO'!$A:$A,'SFY 23-24 Q1 Share Calculations'!$AN39,'3a SFY 23-24 Q1 CalWIN MO'!Y:Y)</f>
        <v>278</v>
      </c>
      <c r="AQ39" s="75">
        <f>SUMIF('3a SFY 23-24 Q1 CalWIN MO'!$A:$A,'SFY 23-24 Q1 Share Calculations'!$AN39,'3a SFY 23-24 Q1 CalWIN MO'!Z:Z)</f>
        <v>2702</v>
      </c>
      <c r="AR39" s="84">
        <f>SUM(AO39:AQ39)</f>
        <v>30475</v>
      </c>
      <c r="AT39" s="75" t="s">
        <v>83</v>
      </c>
      <c r="AU39" s="75">
        <f>SUMIF('3b SFY 22-23 Q1 Adj-Late MO'!$A:$A,'SFY 23-24 Q1 Share Calculations'!$AT39,'3b SFY 22-23 Q1 Adj-Late MO'!X:X)</f>
        <v>15998</v>
      </c>
      <c r="AV39" s="75">
        <f>SUMIF('3b SFY 22-23 Q1 Adj-Late MO'!$A:$A,'SFY 23-24 Q1 Share Calculations'!$AT39,'3b SFY 22-23 Q1 Adj-Late MO'!Y:Y)</f>
        <v>189</v>
      </c>
      <c r="AW39" s="75">
        <f>SUMIF('3b SFY 22-23 Q1 Adj-Late MO'!$A:$A,'SFY 23-24 Q1 Share Calculations'!$AT39,'3b SFY 22-23 Q1 Adj-Late MO'!Z:Z)</f>
        <v>1530</v>
      </c>
      <c r="AX39" s="84">
        <f>SUM(AU39:AW39)</f>
        <v>17717</v>
      </c>
      <c r="AZ39" s="75" t="s">
        <v>83</v>
      </c>
      <c r="BA39" s="76">
        <f>SUM(AI39,AO39,AU39)</f>
        <v>76080</v>
      </c>
      <c r="BB39" s="76">
        <f>SUM(AJ39,AP39,AV39)</f>
        <v>796</v>
      </c>
      <c r="BC39" s="76">
        <f>SUM(AK39,AQ39,AW39)</f>
        <v>7434</v>
      </c>
      <c r="BD39" s="84">
        <f t="shared" si="23"/>
        <v>84310</v>
      </c>
      <c r="BE39" s="63"/>
      <c r="BF39" s="62">
        <f t="shared" si="4"/>
        <v>76080</v>
      </c>
      <c r="BG39" s="62">
        <f t="shared" si="5"/>
        <v>796</v>
      </c>
      <c r="BH39" s="62">
        <f t="shared" si="6"/>
        <v>10846</v>
      </c>
      <c r="BI39" s="67">
        <f t="shared" si="40"/>
        <v>87722</v>
      </c>
      <c r="BJ39" s="98">
        <f t="shared" si="48"/>
        <v>0</v>
      </c>
    </row>
    <row r="40" spans="1:62" x14ac:dyDescent="0.25">
      <c r="A40" s="47" t="s">
        <v>84</v>
      </c>
      <c r="B40" s="70">
        <f>'4b 58C 21-22 Persons Count'!Y37</f>
        <v>2.0999999999999999E-3</v>
      </c>
      <c r="C40" s="71">
        <f t="shared" si="41"/>
        <v>3</v>
      </c>
      <c r="D40" s="53"/>
      <c r="E40" s="47" t="s">
        <v>84</v>
      </c>
      <c r="F40" s="70">
        <f>'4b 58C 21-22 Persons Count'!AB37</f>
        <v>1.2999999999999999E-3</v>
      </c>
      <c r="G40" s="71">
        <f t="shared" si="28"/>
        <v>90</v>
      </c>
      <c r="H40" s="53"/>
      <c r="I40" s="47" t="s">
        <v>84</v>
      </c>
      <c r="J40" s="70">
        <f>'4b 58C 21-22 Persons Count'!W37</f>
        <v>2.3E-3</v>
      </c>
      <c r="K40" s="72">
        <f t="shared" si="19"/>
        <v>2149</v>
      </c>
      <c r="L40" s="82">
        <f>ROUNDUP($L$5*J40,0)</f>
        <v>32</v>
      </c>
      <c r="M40" s="72">
        <f t="shared" si="20"/>
        <v>414</v>
      </c>
      <c r="N40" s="75">
        <f t="shared" ref="N40:N41" si="50">SUM(K40:M40)</f>
        <v>2595</v>
      </c>
      <c r="O40" s="53"/>
      <c r="P40" s="47" t="s">
        <v>84</v>
      </c>
      <c r="Q40" s="70">
        <f>'4a 58C 20-21 Persons Count'!AS37</f>
        <v>1.2999999999999999E-3</v>
      </c>
      <c r="R40" s="71">
        <f t="shared" si="10"/>
        <v>11</v>
      </c>
      <c r="S40" s="53"/>
      <c r="T40" s="47" t="s">
        <v>84</v>
      </c>
      <c r="U40" s="70">
        <f>'4a 58C 20-21 Persons Count'!AI37</f>
        <v>2.2000000000000001E-3</v>
      </c>
      <c r="V40" s="71">
        <f t="shared" ref="V40:V41" si="51">ROUND($V$5*U40,0)</f>
        <v>1</v>
      </c>
      <c r="W40" s="71">
        <f t="shared" ref="W40:W41" si="52">ROUND($W$5*U40,0)</f>
        <v>0</v>
      </c>
      <c r="X40" s="71">
        <f t="shared" ref="X40:X41" si="53">ROUND($X$5*U40,0)</f>
        <v>0</v>
      </c>
      <c r="Y40" s="75">
        <f t="shared" ref="Y40:Y41" si="54">SUM(V40:X40)</f>
        <v>1</v>
      </c>
      <c r="Z40" s="53"/>
      <c r="AA40" s="71" t="s">
        <v>84</v>
      </c>
      <c r="AB40" s="21">
        <f t="shared" si="12"/>
        <v>2150</v>
      </c>
      <c r="AC40" s="21">
        <f t="shared" si="13"/>
        <v>32</v>
      </c>
      <c r="AD40" s="21">
        <f t="shared" si="14"/>
        <v>515</v>
      </c>
      <c r="AE40" s="64">
        <f t="shared" si="47"/>
        <v>2697</v>
      </c>
      <c r="AF40" s="77"/>
      <c r="AG40" s="25" t="s">
        <v>84</v>
      </c>
      <c r="AH40" s="80"/>
      <c r="AI40" s="79"/>
      <c r="AJ40" s="79"/>
      <c r="AK40" s="79"/>
      <c r="AL40" s="25"/>
      <c r="AM40" s="63"/>
      <c r="AN40" s="79" t="s">
        <v>84</v>
      </c>
      <c r="AO40" s="79"/>
      <c r="AP40" s="79"/>
      <c r="AQ40" s="79"/>
      <c r="AR40" s="79"/>
      <c r="AT40" s="79" t="s">
        <v>84</v>
      </c>
      <c r="AU40" s="79"/>
      <c r="AV40" s="79"/>
      <c r="AW40" s="79"/>
      <c r="AX40" s="79"/>
      <c r="AZ40" s="79" t="s">
        <v>84</v>
      </c>
      <c r="BA40" s="244"/>
      <c r="BB40" s="244"/>
      <c r="BC40" s="244"/>
      <c r="BD40" s="245"/>
      <c r="BE40" s="63"/>
      <c r="BF40" s="62">
        <f t="shared" si="4"/>
        <v>2153</v>
      </c>
      <c r="BG40" s="62">
        <f t="shared" si="5"/>
        <v>32</v>
      </c>
      <c r="BH40" s="62">
        <f t="shared" si="6"/>
        <v>515</v>
      </c>
      <c r="BI40" s="67">
        <f t="shared" si="40"/>
        <v>2700</v>
      </c>
      <c r="BJ40" s="98">
        <f t="shared" si="48"/>
        <v>0</v>
      </c>
    </row>
    <row r="41" spans="1:62" x14ac:dyDescent="0.25">
      <c r="A41" s="47" t="s">
        <v>85</v>
      </c>
      <c r="B41" s="70">
        <f>'4b 58C 21-22 Persons Count'!Y38</f>
        <v>0.1142</v>
      </c>
      <c r="C41" s="296">
        <f>ROUND(B41*C$5,0)</f>
        <v>149</v>
      </c>
      <c r="D41" s="53"/>
      <c r="E41" s="47" t="s">
        <v>85</v>
      </c>
      <c r="F41" s="70">
        <f>'4b 58C 21-22 Persons Count'!AB38</f>
        <v>6.5600000000000006E-2</v>
      </c>
      <c r="G41" s="71">
        <f t="shared" si="28"/>
        <v>4545</v>
      </c>
      <c r="H41" s="53"/>
      <c r="I41" s="47" t="s">
        <v>85</v>
      </c>
      <c r="J41" s="70">
        <f>'4b 58C 21-22 Persons Count'!W38</f>
        <v>0.111</v>
      </c>
      <c r="K41" s="72">
        <f t="shared" si="19"/>
        <v>103723</v>
      </c>
      <c r="L41" s="72">
        <f>ROUND($L$5*J41,0)</f>
        <v>1519</v>
      </c>
      <c r="M41" s="71">
        <f>ROUND($M$5*J41,0)</f>
        <v>19961</v>
      </c>
      <c r="N41" s="75">
        <f t="shared" si="50"/>
        <v>125203</v>
      </c>
      <c r="O41" s="53"/>
      <c r="P41" s="47" t="s">
        <v>85</v>
      </c>
      <c r="Q41" s="70">
        <f>'4a 58C 20-21 Persons Count'!AS38</f>
        <v>6.6900000000000001E-2</v>
      </c>
      <c r="R41" s="71">
        <f t="shared" si="10"/>
        <v>532</v>
      </c>
      <c r="S41" s="53"/>
      <c r="T41" s="47" t="s">
        <v>85</v>
      </c>
      <c r="U41" s="70">
        <f>'4a 58C 20-21 Persons Count'!AI38</f>
        <v>0.11260000000000001</v>
      </c>
      <c r="V41" s="71">
        <f t="shared" si="51"/>
        <v>49</v>
      </c>
      <c r="W41" s="71">
        <f t="shared" si="52"/>
        <v>1</v>
      </c>
      <c r="X41" s="71">
        <f t="shared" si="53"/>
        <v>10</v>
      </c>
      <c r="Y41" s="75">
        <f t="shared" si="54"/>
        <v>60</v>
      </c>
      <c r="Z41" s="53"/>
      <c r="AA41" s="71" t="s">
        <v>85</v>
      </c>
      <c r="AB41" s="21">
        <f t="shared" si="12"/>
        <v>103772</v>
      </c>
      <c r="AC41" s="21">
        <f t="shared" si="13"/>
        <v>1520</v>
      </c>
      <c r="AD41" s="21">
        <f t="shared" si="14"/>
        <v>25048</v>
      </c>
      <c r="AE41" s="64">
        <f t="shared" si="47"/>
        <v>130340</v>
      </c>
      <c r="AF41" s="77"/>
      <c r="AG41" s="25" t="s">
        <v>85</v>
      </c>
      <c r="AH41" s="80"/>
      <c r="AI41" s="79"/>
      <c r="AJ41" s="79"/>
      <c r="AK41" s="79"/>
      <c r="AL41" s="25"/>
      <c r="AM41" s="63"/>
      <c r="AN41" s="79" t="s">
        <v>85</v>
      </c>
      <c r="AO41" s="79"/>
      <c r="AP41" s="79"/>
      <c r="AQ41" s="79"/>
      <c r="AR41" s="79"/>
      <c r="AT41" s="79" t="s">
        <v>85</v>
      </c>
      <c r="AU41" s="79"/>
      <c r="AV41" s="79"/>
      <c r="AW41" s="79"/>
      <c r="AX41" s="79"/>
      <c r="AZ41" s="79" t="s">
        <v>85</v>
      </c>
      <c r="BA41" s="244"/>
      <c r="BB41" s="244"/>
      <c r="BC41" s="244"/>
      <c r="BD41" s="245"/>
      <c r="BE41" s="63"/>
      <c r="BF41" s="62">
        <f t="shared" si="4"/>
        <v>103921</v>
      </c>
      <c r="BG41" s="62">
        <f t="shared" si="5"/>
        <v>1520</v>
      </c>
      <c r="BH41" s="62">
        <f t="shared" si="6"/>
        <v>25048</v>
      </c>
      <c r="BI41" s="67">
        <f t="shared" si="40"/>
        <v>130489</v>
      </c>
      <c r="BJ41" s="98">
        <f t="shared" si="48"/>
        <v>0</v>
      </c>
    </row>
    <row r="42" spans="1:62" x14ac:dyDescent="0.25">
      <c r="A42" s="25" t="s">
        <v>86</v>
      </c>
      <c r="B42" s="25"/>
      <c r="C42" s="25"/>
      <c r="D42" s="53"/>
      <c r="E42" s="47" t="s">
        <v>86</v>
      </c>
      <c r="F42" s="70">
        <f>'4b 58C 21-22 Persons Count'!AB39</f>
        <v>6.9800000000000001E-2</v>
      </c>
      <c r="G42" s="71">
        <f t="shared" si="28"/>
        <v>4836</v>
      </c>
      <c r="H42" s="53"/>
      <c r="I42" s="25" t="s">
        <v>86</v>
      </c>
      <c r="J42" s="25"/>
      <c r="K42" s="79"/>
      <c r="L42" s="79"/>
      <c r="M42" s="79"/>
      <c r="N42" s="79"/>
      <c r="O42" s="53"/>
      <c r="P42" s="47" t="s">
        <v>86</v>
      </c>
      <c r="Q42" s="70">
        <f>'4a 58C 20-21 Persons Count'!AS39</f>
        <v>6.8500000000000005E-2</v>
      </c>
      <c r="R42" s="71">
        <f t="shared" si="10"/>
        <v>566</v>
      </c>
      <c r="S42" s="53"/>
      <c r="T42" s="25" t="s">
        <v>86</v>
      </c>
      <c r="U42" s="25"/>
      <c r="V42" s="79"/>
      <c r="W42" s="79"/>
      <c r="X42" s="79"/>
      <c r="Y42" s="79"/>
      <c r="Z42" s="53"/>
      <c r="AA42" s="71" t="s">
        <v>86</v>
      </c>
      <c r="AB42" s="21">
        <f t="shared" si="12"/>
        <v>0</v>
      </c>
      <c r="AC42" s="21">
        <f t="shared" si="13"/>
        <v>0</v>
      </c>
      <c r="AD42" s="21">
        <f t="shared" si="14"/>
        <v>5402</v>
      </c>
      <c r="AE42" s="64">
        <f t="shared" si="47"/>
        <v>5402</v>
      </c>
      <c r="AF42" s="77"/>
      <c r="AG42" s="21" t="s">
        <v>86</v>
      </c>
      <c r="AH42" s="74">
        <f>'5b SFY 2324 CalWIN MO Share Tbl'!J13</f>
        <v>0.16039999999999999</v>
      </c>
      <c r="AI42" s="72">
        <f t="shared" ref="AI42" si="55">ROUND(AH42*AI$5,0)</f>
        <v>47691</v>
      </c>
      <c r="AJ42" s="72">
        <f t="shared" ref="AJ42:AJ43" si="56">ROUND(AH42*AJ$5,0)</f>
        <v>482</v>
      </c>
      <c r="AK42" s="72">
        <f>ROUND(AH42*AK$5,0)</f>
        <v>4685</v>
      </c>
      <c r="AL42" s="76">
        <f t="shared" ref="AL42:AL43" si="57">SUM(AI42:AK42)</f>
        <v>52858</v>
      </c>
      <c r="AM42" s="63"/>
      <c r="AN42" s="75" t="s">
        <v>86</v>
      </c>
      <c r="AO42" s="75">
        <f>SUMIF('3a SFY 23-24 Q1 CalWIN MO'!$A:$A,'SFY 23-24 Q1 Share Calculations'!$AN42,'3a SFY 23-24 Q1 CalWIN MO'!X:X)</f>
        <v>8783</v>
      </c>
      <c r="AP42" s="75">
        <f>SUMIF('3a SFY 23-24 Q1 CalWIN MO'!$A:$A,'SFY 23-24 Q1 Share Calculations'!$AN42,'3a SFY 23-24 Q1 CalWIN MO'!Y:Y)</f>
        <v>89</v>
      </c>
      <c r="AQ42" s="75">
        <f>SUMIF('3a SFY 23-24 Q1 CalWIN MO'!$A:$A,'SFY 23-24 Q1 Share Calculations'!$AN42,'3a SFY 23-24 Q1 CalWIN MO'!Z:Z)</f>
        <v>863</v>
      </c>
      <c r="AR42" s="84">
        <f t="shared" ref="AR42:AR43" si="58">SUM(AO42:AQ42)</f>
        <v>9735</v>
      </c>
      <c r="AT42" s="75" t="s">
        <v>86</v>
      </c>
      <c r="AU42" s="75">
        <f>SUMIF('3b SFY 22-23 Q1 Adj-Late MO'!$A:$A,'SFY 23-24 Q1 Share Calculations'!$AT42,'3b SFY 22-23 Q1 Adj-Late MO'!X:X)</f>
        <v>0</v>
      </c>
      <c r="AV42" s="75">
        <f>SUMIF('3b SFY 22-23 Q1 Adj-Late MO'!$A:$A,'SFY 23-24 Q1 Share Calculations'!$AT42,'3b SFY 22-23 Q1 Adj-Late MO'!Y:Y)</f>
        <v>0</v>
      </c>
      <c r="AW42" s="75">
        <f>SUMIF('3b SFY 22-23 Q1 Adj-Late MO'!$A:$A,'SFY 23-24 Q1 Share Calculations'!$AT42,'3b SFY 22-23 Q1 Adj-Late MO'!Z:Z)</f>
        <v>0</v>
      </c>
      <c r="AX42" s="84">
        <f t="shared" ref="AX42:AX43" si="59">SUM(AU42:AW42)</f>
        <v>0</v>
      </c>
      <c r="AZ42" s="75" t="s">
        <v>86</v>
      </c>
      <c r="BA42" s="76">
        <f t="shared" ref="BA42:BA43" si="60">SUM(AI42,AO42,AU42)</f>
        <v>56474</v>
      </c>
      <c r="BB42" s="76">
        <f t="shared" ref="BB42:BB43" si="61">SUM(AJ42,AP42,AV42)</f>
        <v>571</v>
      </c>
      <c r="BC42" s="76">
        <f t="shared" ref="BC42:BC43" si="62">SUM(AK42,AQ42,AW42)</f>
        <v>5548</v>
      </c>
      <c r="BD42" s="84">
        <f t="shared" si="23"/>
        <v>62593</v>
      </c>
      <c r="BE42" s="63"/>
      <c r="BF42" s="62">
        <f t="shared" si="4"/>
        <v>56474</v>
      </c>
      <c r="BG42" s="62">
        <f t="shared" si="5"/>
        <v>571</v>
      </c>
      <c r="BH42" s="62">
        <f t="shared" si="6"/>
        <v>10950</v>
      </c>
      <c r="BI42" s="67">
        <f t="shared" si="40"/>
        <v>67995</v>
      </c>
      <c r="BJ42" s="98">
        <f t="shared" si="48"/>
        <v>0</v>
      </c>
    </row>
    <row r="43" spans="1:62" x14ac:dyDescent="0.25">
      <c r="A43" s="25" t="s">
        <v>87</v>
      </c>
      <c r="B43" s="25"/>
      <c r="C43" s="25"/>
      <c r="D43" s="53"/>
      <c r="E43" s="47" t="s">
        <v>87</v>
      </c>
      <c r="F43" s="70">
        <f>'4b 58C 21-22 Persons Count'!AB40</f>
        <v>1.7000000000000001E-2</v>
      </c>
      <c r="G43" s="71">
        <f t="shared" si="28"/>
        <v>1178</v>
      </c>
      <c r="H43" s="53"/>
      <c r="I43" s="25" t="s">
        <v>87</v>
      </c>
      <c r="J43" s="25"/>
      <c r="K43" s="79"/>
      <c r="L43" s="79"/>
      <c r="M43" s="79"/>
      <c r="N43" s="79"/>
      <c r="O43" s="53"/>
      <c r="P43" s="47" t="s">
        <v>87</v>
      </c>
      <c r="Q43" s="70">
        <f>'4a 58C 20-21 Persons Count'!AS40</f>
        <v>1.6799999999999999E-2</v>
      </c>
      <c r="R43" s="71">
        <f t="shared" si="10"/>
        <v>138</v>
      </c>
      <c r="S43" s="53"/>
      <c r="T43" s="25" t="s">
        <v>87</v>
      </c>
      <c r="U43" s="25"/>
      <c r="V43" s="79"/>
      <c r="W43" s="79"/>
      <c r="X43" s="79"/>
      <c r="Y43" s="79"/>
      <c r="Z43" s="53"/>
      <c r="AA43" s="71" t="s">
        <v>87</v>
      </c>
      <c r="AB43" s="21">
        <f t="shared" si="12"/>
        <v>0</v>
      </c>
      <c r="AC43" s="21">
        <f t="shared" si="13"/>
        <v>0</v>
      </c>
      <c r="AD43" s="21">
        <f t="shared" si="14"/>
        <v>1316</v>
      </c>
      <c r="AE43" s="64">
        <f t="shared" si="47"/>
        <v>1316</v>
      </c>
      <c r="AF43" s="77"/>
      <c r="AG43" s="47" t="s">
        <v>87</v>
      </c>
      <c r="AH43" s="74">
        <f>'5b SFY 2324 CalWIN MO Share Tbl'!J14</f>
        <v>5.8299999999999998E-2</v>
      </c>
      <c r="AI43" s="72">
        <f>ROUND(AH43*AI$5,0)</f>
        <v>17334</v>
      </c>
      <c r="AJ43" s="72">
        <f t="shared" si="56"/>
        <v>175</v>
      </c>
      <c r="AK43" s="72">
        <f t="shared" ref="AK43" si="63">ROUND(AH43*AK$5,0)</f>
        <v>1703</v>
      </c>
      <c r="AL43" s="76">
        <f t="shared" si="57"/>
        <v>19212</v>
      </c>
      <c r="AM43" s="63"/>
      <c r="AN43" s="83" t="s">
        <v>87</v>
      </c>
      <c r="AO43" s="75">
        <f>SUMIF('3a SFY 23-24 Q1 CalWIN MO'!$A:$A,'SFY 23-24 Q1 Share Calculations'!$AN43,'3a SFY 23-24 Q1 CalWIN MO'!X:X)</f>
        <v>15906</v>
      </c>
      <c r="AP43" s="75">
        <f>SUMIF('3a SFY 23-24 Q1 CalWIN MO'!$A:$A,'SFY 23-24 Q1 Share Calculations'!$AN43,'3a SFY 23-24 Q1 CalWIN MO'!Y:Y)</f>
        <v>161</v>
      </c>
      <c r="AQ43" s="75">
        <f>SUMIF('3a SFY 23-24 Q1 CalWIN MO'!$A:$A,'SFY 23-24 Q1 Share Calculations'!$AN43,'3a SFY 23-24 Q1 CalWIN MO'!Z:Z)</f>
        <v>1563</v>
      </c>
      <c r="AR43" s="84">
        <f t="shared" si="58"/>
        <v>17630</v>
      </c>
      <c r="AT43" s="83" t="s">
        <v>87</v>
      </c>
      <c r="AU43" s="75">
        <f>SUMIF('3b SFY 22-23 Q1 Adj-Late MO'!$A:$A,'SFY 23-24 Q1 Share Calculations'!$AT43,'3b SFY 22-23 Q1 Adj-Late MO'!X:X)</f>
        <v>12148</v>
      </c>
      <c r="AV43" s="75">
        <f>SUMIF('3b SFY 22-23 Q1 Adj-Late MO'!$A:$A,'SFY 23-24 Q1 Share Calculations'!$AT43,'3b SFY 22-23 Q1 Adj-Late MO'!Y:Y)</f>
        <v>143</v>
      </c>
      <c r="AW43" s="75">
        <f>SUMIF('3b SFY 22-23 Q1 Adj-Late MO'!$A:$A,'SFY 23-24 Q1 Share Calculations'!$AT43,'3b SFY 22-23 Q1 Adj-Late MO'!Z:Z)</f>
        <v>1162</v>
      </c>
      <c r="AX43" s="84">
        <f t="shared" si="59"/>
        <v>13453</v>
      </c>
      <c r="AZ43" s="83" t="s">
        <v>87</v>
      </c>
      <c r="BA43" s="76">
        <f t="shared" si="60"/>
        <v>45388</v>
      </c>
      <c r="BB43" s="76">
        <f t="shared" si="61"/>
        <v>479</v>
      </c>
      <c r="BC43" s="76">
        <f t="shared" si="62"/>
        <v>4428</v>
      </c>
      <c r="BD43" s="84">
        <f t="shared" si="23"/>
        <v>50295</v>
      </c>
      <c r="BE43" s="63"/>
      <c r="BF43" s="62">
        <f t="shared" si="4"/>
        <v>45388</v>
      </c>
      <c r="BG43" s="62">
        <f t="shared" si="5"/>
        <v>479</v>
      </c>
      <c r="BH43" s="62">
        <f t="shared" si="6"/>
        <v>5744</v>
      </c>
      <c r="BI43" s="67">
        <f t="shared" si="40"/>
        <v>51611</v>
      </c>
      <c r="BJ43" s="98">
        <f t="shared" si="48"/>
        <v>0</v>
      </c>
    </row>
    <row r="44" spans="1:62" x14ac:dyDescent="0.25">
      <c r="A44" s="47" t="s">
        <v>88</v>
      </c>
      <c r="B44" s="70">
        <f>'4b 58C 21-22 Persons Count'!Y41</f>
        <v>3.8300000000000001E-2</v>
      </c>
      <c r="C44" s="82">
        <f>ROUNDDOWN(B44*C$5,0)</f>
        <v>49</v>
      </c>
      <c r="D44" s="53"/>
      <c r="E44" s="47" t="s">
        <v>88</v>
      </c>
      <c r="F44" s="70">
        <f>'4b 58C 21-22 Persons Count'!AB41</f>
        <v>2.1899999999999999E-2</v>
      </c>
      <c r="G44" s="71">
        <f t="shared" si="28"/>
        <v>1517</v>
      </c>
      <c r="H44" s="53"/>
      <c r="I44" s="47" t="s">
        <v>88</v>
      </c>
      <c r="J44" s="70">
        <f>'4b 58C 21-22 Persons Count'!W41</f>
        <v>3.7100000000000001E-2</v>
      </c>
      <c r="K44" s="72">
        <f t="shared" si="19"/>
        <v>34668</v>
      </c>
      <c r="L44" s="71">
        <f>ROUND($L$5*J44,0)</f>
        <v>508</v>
      </c>
      <c r="M44" s="72">
        <f>ROUND($M$5*J44,0)</f>
        <v>6672</v>
      </c>
      <c r="N44" s="75">
        <f t="shared" ref="N44" si="64">SUM(K44:M44)</f>
        <v>41848</v>
      </c>
      <c r="O44" s="53"/>
      <c r="P44" s="47" t="s">
        <v>88</v>
      </c>
      <c r="Q44" s="70">
        <f>'4a 58C 20-21 Persons Count'!AS41</f>
        <v>2.1899999999999999E-2</v>
      </c>
      <c r="R44" s="71">
        <f t="shared" si="10"/>
        <v>177</v>
      </c>
      <c r="S44" s="53"/>
      <c r="T44" s="47" t="s">
        <v>88</v>
      </c>
      <c r="U44" s="70">
        <f>'4a 58C 20-21 Persons Count'!AI41</f>
        <v>3.6799999999999999E-2</v>
      </c>
      <c r="V44" s="71">
        <f t="shared" ref="V44" si="65">ROUND($V$5*U44,0)</f>
        <v>16</v>
      </c>
      <c r="W44" s="71">
        <f t="shared" ref="W44" si="66">ROUND($W$5*U44,0)</f>
        <v>0</v>
      </c>
      <c r="X44" s="82">
        <f>ROUNDUP($X$5*U44,0)</f>
        <v>4</v>
      </c>
      <c r="Y44" s="75">
        <f t="shared" ref="Y44" si="67">SUM(V44:X44)</f>
        <v>20</v>
      </c>
      <c r="Z44" s="53"/>
      <c r="AA44" s="71" t="s">
        <v>88</v>
      </c>
      <c r="AB44" s="21">
        <f t="shared" si="12"/>
        <v>34684</v>
      </c>
      <c r="AC44" s="21">
        <f t="shared" si="13"/>
        <v>508</v>
      </c>
      <c r="AD44" s="21">
        <f t="shared" si="14"/>
        <v>8370</v>
      </c>
      <c r="AE44" s="64">
        <f t="shared" si="47"/>
        <v>43562</v>
      </c>
      <c r="AF44" s="77"/>
      <c r="AG44" s="25" t="s">
        <v>88</v>
      </c>
      <c r="AH44" s="80"/>
      <c r="AI44" s="79"/>
      <c r="AJ44" s="79"/>
      <c r="AK44" s="79"/>
      <c r="AL44" s="25"/>
      <c r="AM44" s="63"/>
      <c r="AN44" s="79" t="s">
        <v>88</v>
      </c>
      <c r="AO44" s="79"/>
      <c r="AP44" s="79"/>
      <c r="AQ44" s="79"/>
      <c r="AR44" s="79"/>
      <c r="AT44" s="79" t="s">
        <v>88</v>
      </c>
      <c r="AU44" s="79"/>
      <c r="AV44" s="79"/>
      <c r="AW44" s="79"/>
      <c r="AX44" s="79"/>
      <c r="AZ44" s="79" t="s">
        <v>88</v>
      </c>
      <c r="BA44" s="244"/>
      <c r="BB44" s="244"/>
      <c r="BC44" s="244"/>
      <c r="BD44" s="245"/>
      <c r="BE44" s="63"/>
      <c r="BF44" s="62">
        <f t="shared" si="4"/>
        <v>34733</v>
      </c>
      <c r="BG44" s="62">
        <f t="shared" si="5"/>
        <v>508</v>
      </c>
      <c r="BH44" s="62">
        <f t="shared" si="6"/>
        <v>8370</v>
      </c>
      <c r="BI44" s="67">
        <f t="shared" si="40"/>
        <v>43611</v>
      </c>
      <c r="BJ44" s="98">
        <f t="shared" si="48"/>
        <v>0</v>
      </c>
    </row>
    <row r="45" spans="1:62" x14ac:dyDescent="0.25">
      <c r="A45" s="25" t="s">
        <v>89</v>
      </c>
      <c r="B45" s="25"/>
      <c r="C45" s="25"/>
      <c r="D45" s="53"/>
      <c r="E45" s="47" t="s">
        <v>89</v>
      </c>
      <c r="F45" s="70">
        <f>'4b 58C 21-22 Persons Count'!AB42</f>
        <v>4.4999999999999997E-3</v>
      </c>
      <c r="G45" s="71">
        <f t="shared" si="28"/>
        <v>312</v>
      </c>
      <c r="H45" s="53"/>
      <c r="I45" s="25" t="s">
        <v>89</v>
      </c>
      <c r="J45" s="25"/>
      <c r="K45" s="79"/>
      <c r="L45" s="79"/>
      <c r="M45" s="79"/>
      <c r="N45" s="79"/>
      <c r="O45" s="53"/>
      <c r="P45" s="47" t="s">
        <v>89</v>
      </c>
      <c r="Q45" s="70">
        <f>'4a 58C 20-21 Persons Count'!AS42</f>
        <v>4.3E-3</v>
      </c>
      <c r="R45" s="71">
        <f t="shared" si="10"/>
        <v>36</v>
      </c>
      <c r="S45" s="53"/>
      <c r="T45" s="25" t="s">
        <v>89</v>
      </c>
      <c r="U45" s="25"/>
      <c r="V45" s="79"/>
      <c r="W45" s="79"/>
      <c r="X45" s="79"/>
      <c r="Y45" s="79"/>
      <c r="Z45" s="53"/>
      <c r="AA45" s="71" t="s">
        <v>89</v>
      </c>
      <c r="AB45" s="21">
        <f t="shared" si="12"/>
        <v>0</v>
      </c>
      <c r="AC45" s="21">
        <f t="shared" si="13"/>
        <v>0</v>
      </c>
      <c r="AD45" s="21">
        <f t="shared" si="14"/>
        <v>348</v>
      </c>
      <c r="AE45" s="64">
        <f t="shared" si="47"/>
        <v>348</v>
      </c>
      <c r="AF45" s="77"/>
      <c r="AG45" s="47" t="s">
        <v>89</v>
      </c>
      <c r="AH45" s="74">
        <f>'5b SFY 2324 CalWIN MO Share Tbl'!J15</f>
        <v>1.34E-2</v>
      </c>
      <c r="AI45" s="72">
        <f t="shared" ref="AI45:AI49" si="68">ROUND(AH45*AI$5,0)</f>
        <v>3984</v>
      </c>
      <c r="AJ45" s="72">
        <f t="shared" ref="AJ45:AJ49" si="69">ROUND(AH45*AJ$5,0)</f>
        <v>40</v>
      </c>
      <c r="AK45" s="72">
        <f t="shared" ref="AK45:AK49" si="70">ROUND(AH45*AK$5,0)</f>
        <v>391</v>
      </c>
      <c r="AL45" s="76">
        <f>SUM(AI45:AK45)</f>
        <v>4415</v>
      </c>
      <c r="AM45" s="63"/>
      <c r="AN45" s="83" t="s">
        <v>89</v>
      </c>
      <c r="AO45" s="75">
        <f>SUMIF('3a SFY 23-24 Q1 CalWIN MO'!$A:$A,'SFY 23-24 Q1 Share Calculations'!$AN45,'3a SFY 23-24 Q1 CalWIN MO'!X:X)</f>
        <v>5813</v>
      </c>
      <c r="AP45" s="75">
        <f>SUMIF('3a SFY 23-24 Q1 CalWIN MO'!$A:$A,'SFY 23-24 Q1 Share Calculations'!$AN45,'3a SFY 23-24 Q1 CalWIN MO'!Y:Y)</f>
        <v>58</v>
      </c>
      <c r="AQ45" s="75">
        <f>SUMIF('3a SFY 23-24 Q1 CalWIN MO'!$A:$A,'SFY 23-24 Q1 Share Calculations'!$AN45,'3a SFY 23-24 Q1 CalWIN MO'!Z:Z)</f>
        <v>571</v>
      </c>
      <c r="AR45" s="84">
        <f t="shared" ref="AR45:AR49" si="71">SUM(AO45:AQ45)</f>
        <v>6442</v>
      </c>
      <c r="AT45" s="83" t="s">
        <v>89</v>
      </c>
      <c r="AU45" s="75">
        <f>SUMIF('3b SFY 22-23 Q1 Adj-Late MO'!$A:$A,'SFY 23-24 Q1 Share Calculations'!$AT45,'3b SFY 22-23 Q1 Adj-Late MO'!X:X)</f>
        <v>0</v>
      </c>
      <c r="AV45" s="75">
        <f>SUMIF('3b SFY 22-23 Q1 Adj-Late MO'!$A:$A,'SFY 23-24 Q1 Share Calculations'!$AT45,'3b SFY 22-23 Q1 Adj-Late MO'!Y:Y)</f>
        <v>0</v>
      </c>
      <c r="AW45" s="75">
        <f>SUMIF('3b SFY 22-23 Q1 Adj-Late MO'!$A:$A,'SFY 23-24 Q1 Share Calculations'!$AT45,'3b SFY 22-23 Q1 Adj-Late MO'!Z:Z)</f>
        <v>0</v>
      </c>
      <c r="AX45" s="84">
        <f t="shared" ref="AX45:AX49" si="72">SUM(AU45:AW45)</f>
        <v>0</v>
      </c>
      <c r="AZ45" s="83" t="s">
        <v>89</v>
      </c>
      <c r="BA45" s="76">
        <f t="shared" ref="BA45:BA49" si="73">SUM(AI45,AO45,AU45)</f>
        <v>9797</v>
      </c>
      <c r="BB45" s="76">
        <f t="shared" ref="BB45:BB49" si="74">SUM(AJ45,AP45,AV45)</f>
        <v>98</v>
      </c>
      <c r="BC45" s="76">
        <f t="shared" ref="BC45:BC49" si="75">SUM(AK45,AQ45,AW45)</f>
        <v>962</v>
      </c>
      <c r="BD45" s="84">
        <f t="shared" si="23"/>
        <v>10857</v>
      </c>
      <c r="BE45" s="63"/>
      <c r="BF45" s="62">
        <f t="shared" si="4"/>
        <v>9797</v>
      </c>
      <c r="BG45" s="62">
        <f t="shared" si="5"/>
        <v>98</v>
      </c>
      <c r="BH45" s="62">
        <f t="shared" si="6"/>
        <v>1310</v>
      </c>
      <c r="BI45" s="67">
        <f t="shared" si="40"/>
        <v>11205</v>
      </c>
      <c r="BJ45" s="98">
        <f t="shared" si="48"/>
        <v>0</v>
      </c>
    </row>
    <row r="46" spans="1:62" x14ac:dyDescent="0.25">
      <c r="A46" s="25" t="s">
        <v>90</v>
      </c>
      <c r="B46" s="25"/>
      <c r="C46" s="25"/>
      <c r="D46" s="53"/>
      <c r="E46" s="76" t="s">
        <v>90</v>
      </c>
      <c r="F46" s="70">
        <f>'4b 58C 21-22 Persons Count'!AB43</f>
        <v>9.5999999999999992E-3</v>
      </c>
      <c r="G46" s="71">
        <f t="shared" si="28"/>
        <v>665</v>
      </c>
      <c r="H46" s="53"/>
      <c r="I46" s="25" t="s">
        <v>90</v>
      </c>
      <c r="J46" s="25"/>
      <c r="K46" s="79"/>
      <c r="L46" s="79"/>
      <c r="M46" s="79"/>
      <c r="N46" s="79"/>
      <c r="O46" s="53"/>
      <c r="P46" s="76" t="s">
        <v>90</v>
      </c>
      <c r="Q46" s="70">
        <f>'4a 58C 20-21 Persons Count'!AS43</f>
        <v>9.5999999999999992E-3</v>
      </c>
      <c r="R46" s="71">
        <f t="shared" si="10"/>
        <v>78</v>
      </c>
      <c r="S46" s="53"/>
      <c r="T46" s="25" t="s">
        <v>90</v>
      </c>
      <c r="U46" s="25"/>
      <c r="V46" s="79"/>
      <c r="W46" s="79"/>
      <c r="X46" s="79"/>
      <c r="Y46" s="79"/>
      <c r="Z46" s="53"/>
      <c r="AA46" s="71" t="s">
        <v>90</v>
      </c>
      <c r="AB46" s="21">
        <f t="shared" si="12"/>
        <v>0</v>
      </c>
      <c r="AC46" s="21">
        <f t="shared" si="13"/>
        <v>0</v>
      </c>
      <c r="AD46" s="21">
        <f t="shared" si="14"/>
        <v>743</v>
      </c>
      <c r="AE46" s="64">
        <f t="shared" si="47"/>
        <v>743</v>
      </c>
      <c r="AF46" s="77"/>
      <c r="AG46" s="76" t="s">
        <v>90</v>
      </c>
      <c r="AH46" s="74">
        <f>'5b SFY 2324 CalWIN MO Share Tbl'!J16</f>
        <v>2.3599999999999999E-2</v>
      </c>
      <c r="AI46" s="72">
        <f t="shared" si="68"/>
        <v>7017</v>
      </c>
      <c r="AJ46" s="72">
        <f t="shared" si="69"/>
        <v>71</v>
      </c>
      <c r="AK46" s="72">
        <f t="shared" si="70"/>
        <v>689</v>
      </c>
      <c r="AL46" s="76">
        <f>SUM(AI46:AK46)</f>
        <v>7777</v>
      </c>
      <c r="AM46" s="63"/>
      <c r="AN46" s="84" t="s">
        <v>90</v>
      </c>
      <c r="AO46" s="75">
        <f>SUMIF('3a SFY 23-24 Q1 CalWIN MO'!$A:$A,'SFY 23-24 Q1 Share Calculations'!$AN46,'3a SFY 23-24 Q1 CalWIN MO'!X:X)</f>
        <v>2629</v>
      </c>
      <c r="AP46" s="75">
        <f>SUMIF('3a SFY 23-24 Q1 CalWIN MO'!$A:$A,'SFY 23-24 Q1 Share Calculations'!$AN46,'3a SFY 23-24 Q1 CalWIN MO'!Y:Y)</f>
        <v>27</v>
      </c>
      <c r="AQ46" s="75">
        <f>SUMIF('3a SFY 23-24 Q1 CalWIN MO'!$A:$A,'SFY 23-24 Q1 Share Calculations'!$AN46,'3a SFY 23-24 Q1 CalWIN MO'!Z:Z)</f>
        <v>259</v>
      </c>
      <c r="AR46" s="84">
        <f t="shared" si="71"/>
        <v>2915</v>
      </c>
      <c r="AT46" s="84" t="s">
        <v>90</v>
      </c>
      <c r="AU46" s="75">
        <f>SUMIF('3b SFY 22-23 Q1 Adj-Late MO'!$A:$A,'SFY 23-24 Q1 Share Calculations'!$AT46,'3b SFY 22-23 Q1 Adj-Late MO'!X:X)</f>
        <v>2503</v>
      </c>
      <c r="AV46" s="75">
        <f>SUMIF('3b SFY 22-23 Q1 Adj-Late MO'!$A:$A,'SFY 23-24 Q1 Share Calculations'!$AT46,'3b SFY 22-23 Q1 Adj-Late MO'!Y:Y)</f>
        <v>30</v>
      </c>
      <c r="AW46" s="75">
        <f>SUMIF('3b SFY 22-23 Q1 Adj-Late MO'!$A:$A,'SFY 23-24 Q1 Share Calculations'!$AT46,'3b SFY 22-23 Q1 Adj-Late MO'!Z:Z)</f>
        <v>239</v>
      </c>
      <c r="AX46" s="84">
        <f t="shared" si="72"/>
        <v>2772</v>
      </c>
      <c r="AZ46" s="84" t="s">
        <v>90</v>
      </c>
      <c r="BA46" s="76">
        <f t="shared" si="73"/>
        <v>12149</v>
      </c>
      <c r="BB46" s="76">
        <f t="shared" si="74"/>
        <v>128</v>
      </c>
      <c r="BC46" s="76">
        <f t="shared" si="75"/>
        <v>1187</v>
      </c>
      <c r="BD46" s="84">
        <f t="shared" si="23"/>
        <v>13464</v>
      </c>
      <c r="BE46" s="63"/>
      <c r="BF46" s="62">
        <f t="shared" si="4"/>
        <v>12149</v>
      </c>
      <c r="BG46" s="62">
        <f t="shared" si="5"/>
        <v>128</v>
      </c>
      <c r="BH46" s="62">
        <f t="shared" si="6"/>
        <v>1930</v>
      </c>
      <c r="BI46" s="67">
        <f t="shared" si="40"/>
        <v>14207</v>
      </c>
      <c r="BJ46" s="98">
        <f t="shared" si="48"/>
        <v>0</v>
      </c>
    </row>
    <row r="47" spans="1:62" x14ac:dyDescent="0.25">
      <c r="A47" s="25" t="s">
        <v>91</v>
      </c>
      <c r="B47" s="25"/>
      <c r="C47" s="25"/>
      <c r="D47" s="53"/>
      <c r="E47" s="47" t="s">
        <v>91</v>
      </c>
      <c r="F47" s="70">
        <f>'4b 58C 21-22 Persons Count'!AB44</f>
        <v>1.11E-2</v>
      </c>
      <c r="G47" s="82">
        <f>ROUNDDOWN(G$5*$F47,0)</f>
        <v>769</v>
      </c>
      <c r="H47" s="53"/>
      <c r="I47" s="25" t="s">
        <v>91</v>
      </c>
      <c r="J47" s="25"/>
      <c r="K47" s="79"/>
      <c r="L47" s="79"/>
      <c r="M47" s="79"/>
      <c r="N47" s="79"/>
      <c r="O47" s="53"/>
      <c r="P47" s="47" t="s">
        <v>91</v>
      </c>
      <c r="Q47" s="70">
        <f>'4a 58C 20-21 Persons Count'!AS44</f>
        <v>1.0999999999999999E-2</v>
      </c>
      <c r="R47" s="82">
        <f>ROUNDUP(R$5*$F47,0)</f>
        <v>90</v>
      </c>
      <c r="S47" s="53"/>
      <c r="T47" s="25" t="s">
        <v>91</v>
      </c>
      <c r="U47" s="25"/>
      <c r="V47" s="79"/>
      <c r="W47" s="79"/>
      <c r="X47" s="79"/>
      <c r="Y47" s="79"/>
      <c r="Z47" s="53"/>
      <c r="AA47" s="71" t="s">
        <v>91</v>
      </c>
      <c r="AB47" s="21">
        <f t="shared" si="12"/>
        <v>0</v>
      </c>
      <c r="AC47" s="21">
        <f t="shared" si="13"/>
        <v>0</v>
      </c>
      <c r="AD47" s="21">
        <f t="shared" si="14"/>
        <v>859</v>
      </c>
      <c r="AE47" s="64">
        <f t="shared" si="47"/>
        <v>859</v>
      </c>
      <c r="AF47" s="77"/>
      <c r="AG47" s="47" t="s">
        <v>91</v>
      </c>
      <c r="AH47" s="74">
        <f>'5b SFY 2324 CalWIN MO Share Tbl'!J17</f>
        <v>2.4199999999999999E-2</v>
      </c>
      <c r="AI47" s="72">
        <f t="shared" si="68"/>
        <v>7195</v>
      </c>
      <c r="AJ47" s="72">
        <f t="shared" si="69"/>
        <v>73</v>
      </c>
      <c r="AK47" s="72">
        <f t="shared" si="70"/>
        <v>707</v>
      </c>
      <c r="AL47" s="76">
        <f>SUM(AI47:AK47)</f>
        <v>7975</v>
      </c>
      <c r="AM47" s="63"/>
      <c r="AN47" s="83" t="s">
        <v>91</v>
      </c>
      <c r="AO47" s="75">
        <f>SUMIF('3a SFY 23-24 Q1 CalWIN MO'!$A:$A,'SFY 23-24 Q1 Share Calculations'!$AN47,'3a SFY 23-24 Q1 CalWIN MO'!X:X)</f>
        <v>2517</v>
      </c>
      <c r="AP47" s="75">
        <f>SUMIF('3a SFY 23-24 Q1 CalWIN MO'!$A:$A,'SFY 23-24 Q1 Share Calculations'!$AN47,'3a SFY 23-24 Q1 CalWIN MO'!Y:Y)</f>
        <v>25</v>
      </c>
      <c r="AQ47" s="75">
        <f>SUMIF('3a SFY 23-24 Q1 CalWIN MO'!$A:$A,'SFY 23-24 Q1 Share Calculations'!$AN47,'3a SFY 23-24 Q1 CalWIN MO'!Z:Z)</f>
        <v>247</v>
      </c>
      <c r="AR47" s="84">
        <f t="shared" si="71"/>
        <v>2789</v>
      </c>
      <c r="AT47" s="83" t="s">
        <v>91</v>
      </c>
      <c r="AU47" s="75">
        <f>SUMIF('3b SFY 22-23 Q1 Adj-Late MO'!$A:$A,'SFY 23-24 Q1 Share Calculations'!$AT47,'3b SFY 22-23 Q1 Adj-Late MO'!X:X)</f>
        <v>0</v>
      </c>
      <c r="AV47" s="75">
        <f>SUMIF('3b SFY 22-23 Q1 Adj-Late MO'!$A:$A,'SFY 23-24 Q1 Share Calculations'!$AT47,'3b SFY 22-23 Q1 Adj-Late MO'!Y:Y)</f>
        <v>0</v>
      </c>
      <c r="AW47" s="75">
        <f>SUMIF('3b SFY 22-23 Q1 Adj-Late MO'!$A:$A,'SFY 23-24 Q1 Share Calculations'!$AT47,'3b SFY 22-23 Q1 Adj-Late MO'!Z:Z)</f>
        <v>0</v>
      </c>
      <c r="AX47" s="84">
        <f t="shared" si="72"/>
        <v>0</v>
      </c>
      <c r="AZ47" s="83" t="s">
        <v>91</v>
      </c>
      <c r="BA47" s="76">
        <f t="shared" si="73"/>
        <v>9712</v>
      </c>
      <c r="BB47" s="76">
        <f t="shared" si="74"/>
        <v>98</v>
      </c>
      <c r="BC47" s="76">
        <f t="shared" si="75"/>
        <v>954</v>
      </c>
      <c r="BD47" s="84">
        <f t="shared" si="23"/>
        <v>10764</v>
      </c>
      <c r="BE47" s="63"/>
      <c r="BF47" s="62">
        <f t="shared" si="4"/>
        <v>9712</v>
      </c>
      <c r="BG47" s="62">
        <f t="shared" si="5"/>
        <v>98</v>
      </c>
      <c r="BH47" s="62">
        <f t="shared" si="6"/>
        <v>1813</v>
      </c>
      <c r="BI47" s="67">
        <f t="shared" si="40"/>
        <v>11623</v>
      </c>
      <c r="BJ47" s="98">
        <f t="shared" si="48"/>
        <v>0</v>
      </c>
    </row>
    <row r="48" spans="1:62" x14ac:dyDescent="0.25">
      <c r="A48" s="25" t="s">
        <v>92</v>
      </c>
      <c r="B48" s="25"/>
      <c r="C48" s="25"/>
      <c r="D48" s="53"/>
      <c r="E48" s="47" t="s">
        <v>92</v>
      </c>
      <c r="F48" s="70">
        <f>'4b 58C 21-22 Persons Count'!AB45</f>
        <v>2.87E-2</v>
      </c>
      <c r="G48" s="71">
        <f t="shared" si="28"/>
        <v>1989</v>
      </c>
      <c r="H48" s="53"/>
      <c r="I48" s="25" t="s">
        <v>92</v>
      </c>
      <c r="J48" s="25"/>
      <c r="K48" s="79"/>
      <c r="L48" s="79"/>
      <c r="M48" s="79"/>
      <c r="N48" s="79"/>
      <c r="O48" s="53"/>
      <c r="P48" s="47" t="s">
        <v>92</v>
      </c>
      <c r="Q48" s="70">
        <f>'4a 58C 20-21 Persons Count'!AS45</f>
        <v>2.8299999999999999E-2</v>
      </c>
      <c r="R48" s="71">
        <f t="shared" si="10"/>
        <v>233</v>
      </c>
      <c r="S48" s="53"/>
      <c r="T48" s="25" t="s">
        <v>92</v>
      </c>
      <c r="U48" s="25"/>
      <c r="V48" s="79"/>
      <c r="W48" s="79"/>
      <c r="X48" s="79"/>
      <c r="Y48" s="79"/>
      <c r="Z48" s="53"/>
      <c r="AA48" s="71" t="s">
        <v>92</v>
      </c>
      <c r="AB48" s="21">
        <f t="shared" si="12"/>
        <v>0</v>
      </c>
      <c r="AC48" s="21">
        <f t="shared" si="13"/>
        <v>0</v>
      </c>
      <c r="AD48" s="21">
        <f t="shared" si="14"/>
        <v>2222</v>
      </c>
      <c r="AE48" s="64">
        <f t="shared" si="47"/>
        <v>2222</v>
      </c>
      <c r="AF48" s="77"/>
      <c r="AG48" s="47" t="s">
        <v>92</v>
      </c>
      <c r="AH48" s="74">
        <f>'5b SFY 2324 CalWIN MO Share Tbl'!J18</f>
        <v>8.0600000000000005E-2</v>
      </c>
      <c r="AI48" s="72">
        <f t="shared" si="68"/>
        <v>23965</v>
      </c>
      <c r="AJ48" s="72">
        <f t="shared" si="69"/>
        <v>242</v>
      </c>
      <c r="AK48" s="72">
        <f>ROUND(AH48*AK$5,0)</f>
        <v>2354</v>
      </c>
      <c r="AL48" s="76">
        <f>SUM(AI48:AK48)</f>
        <v>26561</v>
      </c>
      <c r="AM48" s="63"/>
      <c r="AN48" s="83" t="s">
        <v>92</v>
      </c>
      <c r="AO48" s="75">
        <f>SUMIF('3a SFY 23-24 Q1 CalWIN MO'!$A:$A,'SFY 23-24 Q1 Share Calculations'!$AN48,'3a SFY 23-24 Q1 CalWIN MO'!X:X)</f>
        <v>87</v>
      </c>
      <c r="AP48" s="75">
        <f>SUMIF('3a SFY 23-24 Q1 CalWIN MO'!$A:$A,'SFY 23-24 Q1 Share Calculations'!$AN48,'3a SFY 23-24 Q1 CalWIN MO'!Y:Y)</f>
        <v>1</v>
      </c>
      <c r="AQ48" s="75">
        <f>SUMIF('3a SFY 23-24 Q1 CalWIN MO'!$A:$A,'SFY 23-24 Q1 Share Calculations'!$AN48,'3a SFY 23-24 Q1 CalWIN MO'!Z:Z)</f>
        <v>9</v>
      </c>
      <c r="AR48" s="84">
        <f t="shared" si="71"/>
        <v>97</v>
      </c>
      <c r="AT48" s="83" t="s">
        <v>92</v>
      </c>
      <c r="AU48" s="75">
        <f>SUMIF('3b SFY 22-23 Q1 Adj-Late MO'!$A:$A,'SFY 23-24 Q1 Share Calculations'!$AT48,'3b SFY 22-23 Q1 Adj-Late MO'!X:X)</f>
        <v>0</v>
      </c>
      <c r="AV48" s="75">
        <f>SUMIF('3b SFY 22-23 Q1 Adj-Late MO'!$A:$A,'SFY 23-24 Q1 Share Calculations'!$AT48,'3b SFY 22-23 Q1 Adj-Late MO'!Y:Y)</f>
        <v>0</v>
      </c>
      <c r="AW48" s="75">
        <f>SUMIF('3b SFY 22-23 Q1 Adj-Late MO'!$A:$A,'SFY 23-24 Q1 Share Calculations'!$AT48,'3b SFY 22-23 Q1 Adj-Late MO'!Z:Z)</f>
        <v>0</v>
      </c>
      <c r="AX48" s="84">
        <f t="shared" si="72"/>
        <v>0</v>
      </c>
      <c r="AZ48" s="83" t="s">
        <v>92</v>
      </c>
      <c r="BA48" s="76">
        <f t="shared" si="73"/>
        <v>24052</v>
      </c>
      <c r="BB48" s="76">
        <f t="shared" si="74"/>
        <v>243</v>
      </c>
      <c r="BC48" s="76">
        <f t="shared" si="75"/>
        <v>2363</v>
      </c>
      <c r="BD48" s="84">
        <f t="shared" si="23"/>
        <v>26658</v>
      </c>
      <c r="BE48" s="63"/>
      <c r="BF48" s="62">
        <f t="shared" si="4"/>
        <v>24052</v>
      </c>
      <c r="BG48" s="62">
        <f t="shared" si="5"/>
        <v>243</v>
      </c>
      <c r="BH48" s="62">
        <f t="shared" si="6"/>
        <v>4585</v>
      </c>
      <c r="BI48" s="67">
        <f t="shared" si="40"/>
        <v>28880</v>
      </c>
      <c r="BJ48" s="98">
        <f t="shared" si="48"/>
        <v>0</v>
      </c>
    </row>
    <row r="49" spans="1:62" x14ac:dyDescent="0.25">
      <c r="A49" s="25" t="s">
        <v>93</v>
      </c>
      <c r="B49" s="25"/>
      <c r="C49" s="25"/>
      <c r="D49" s="53"/>
      <c r="E49" s="47" t="s">
        <v>93</v>
      </c>
      <c r="F49" s="70">
        <f>'4b 58C 21-22 Persons Count'!AB46</f>
        <v>5.7000000000000002E-3</v>
      </c>
      <c r="G49" s="71">
        <f t="shared" si="28"/>
        <v>395</v>
      </c>
      <c r="H49" s="53"/>
      <c r="I49" s="25" t="s">
        <v>93</v>
      </c>
      <c r="J49" s="25"/>
      <c r="K49" s="79"/>
      <c r="L49" s="79"/>
      <c r="M49" s="79"/>
      <c r="N49" s="79"/>
      <c r="O49" s="53"/>
      <c r="P49" s="47" t="s">
        <v>93</v>
      </c>
      <c r="Q49" s="70">
        <f>'4a 58C 20-21 Persons Count'!AS46</f>
        <v>5.7999999999999996E-3</v>
      </c>
      <c r="R49" s="71">
        <f t="shared" si="10"/>
        <v>46</v>
      </c>
      <c r="S49" s="53"/>
      <c r="T49" s="25" t="s">
        <v>93</v>
      </c>
      <c r="U49" s="25"/>
      <c r="V49" s="79"/>
      <c r="W49" s="79"/>
      <c r="X49" s="79"/>
      <c r="Y49" s="79"/>
      <c r="Z49" s="53"/>
      <c r="AA49" s="71" t="s">
        <v>93</v>
      </c>
      <c r="AB49" s="21">
        <f t="shared" si="12"/>
        <v>0</v>
      </c>
      <c r="AC49" s="21">
        <f t="shared" si="13"/>
        <v>0</v>
      </c>
      <c r="AD49" s="21">
        <f t="shared" si="14"/>
        <v>441</v>
      </c>
      <c r="AE49" s="64">
        <f t="shared" si="47"/>
        <v>441</v>
      </c>
      <c r="AF49" s="77"/>
      <c r="AG49" s="47" t="s">
        <v>93</v>
      </c>
      <c r="AH49" s="74">
        <f>'5b SFY 2324 CalWIN MO Share Tbl'!J19</f>
        <v>1.3599999999999999E-2</v>
      </c>
      <c r="AI49" s="72">
        <f t="shared" si="68"/>
        <v>4044</v>
      </c>
      <c r="AJ49" s="72">
        <f t="shared" si="69"/>
        <v>41</v>
      </c>
      <c r="AK49" s="72">
        <f t="shared" si="70"/>
        <v>397</v>
      </c>
      <c r="AL49" s="76">
        <f>SUM(AI49:AK49)</f>
        <v>4482</v>
      </c>
      <c r="AM49" s="63"/>
      <c r="AN49" s="83" t="s">
        <v>93</v>
      </c>
      <c r="AO49" s="75">
        <f>SUMIF('3a SFY 23-24 Q1 CalWIN MO'!$A:$A,'SFY 23-24 Q1 Share Calculations'!$AN49,'3a SFY 23-24 Q1 CalWIN MO'!X:X)</f>
        <v>1871</v>
      </c>
      <c r="AP49" s="75">
        <f>SUMIF('3a SFY 23-24 Q1 CalWIN MO'!$A:$A,'SFY 23-24 Q1 Share Calculations'!$AN49,'3a SFY 23-24 Q1 CalWIN MO'!Y:Y)</f>
        <v>18</v>
      </c>
      <c r="AQ49" s="75">
        <f>SUMIF('3a SFY 23-24 Q1 CalWIN MO'!$A:$A,'SFY 23-24 Q1 Share Calculations'!$AN49,'3a SFY 23-24 Q1 CalWIN MO'!Z:Z)</f>
        <v>184</v>
      </c>
      <c r="AR49" s="84">
        <f t="shared" si="71"/>
        <v>2073</v>
      </c>
      <c r="AT49" s="83" t="s">
        <v>93</v>
      </c>
      <c r="AU49" s="75">
        <f>SUMIF('3b SFY 22-23 Q1 Adj-Late MO'!$A:$A,'SFY 23-24 Q1 Share Calculations'!$AT49,'3b SFY 22-23 Q1 Adj-Late MO'!X:X)</f>
        <v>0</v>
      </c>
      <c r="AV49" s="75">
        <f>SUMIF('3b SFY 22-23 Q1 Adj-Late MO'!$A:$A,'SFY 23-24 Q1 Share Calculations'!$AT49,'3b SFY 22-23 Q1 Adj-Late MO'!Y:Y)</f>
        <v>0</v>
      </c>
      <c r="AW49" s="75">
        <f>SUMIF('3b SFY 22-23 Q1 Adj-Late MO'!$A:$A,'SFY 23-24 Q1 Share Calculations'!$AT49,'3b SFY 22-23 Q1 Adj-Late MO'!Z:Z)</f>
        <v>0</v>
      </c>
      <c r="AX49" s="84">
        <f t="shared" si="72"/>
        <v>0</v>
      </c>
      <c r="AZ49" s="83" t="s">
        <v>93</v>
      </c>
      <c r="BA49" s="76">
        <f t="shared" si="73"/>
        <v>5915</v>
      </c>
      <c r="BB49" s="76">
        <f t="shared" si="74"/>
        <v>59</v>
      </c>
      <c r="BC49" s="76">
        <f t="shared" si="75"/>
        <v>581</v>
      </c>
      <c r="BD49" s="84">
        <f t="shared" si="23"/>
        <v>6555</v>
      </c>
      <c r="BE49" s="63"/>
      <c r="BF49" s="62">
        <f t="shared" si="4"/>
        <v>5915</v>
      </c>
      <c r="BG49" s="62">
        <f t="shared" si="5"/>
        <v>59</v>
      </c>
      <c r="BH49" s="62">
        <f t="shared" si="6"/>
        <v>1022</v>
      </c>
      <c r="BI49" s="67">
        <f t="shared" si="40"/>
        <v>6996</v>
      </c>
      <c r="BJ49" s="98">
        <f t="shared" si="48"/>
        <v>0</v>
      </c>
    </row>
    <row r="50" spans="1:62" x14ac:dyDescent="0.25">
      <c r="A50" s="47" t="s">
        <v>94</v>
      </c>
      <c r="B50" s="70">
        <f>'4b 58C 21-22 Persons Count'!Y47</f>
        <v>9.1000000000000004E-3</v>
      </c>
      <c r="C50" s="71">
        <f t="shared" ref="C50:C63" si="76">ROUND(B50*C$5,0)</f>
        <v>12</v>
      </c>
      <c r="D50" s="53"/>
      <c r="E50" s="47" t="s">
        <v>94</v>
      </c>
      <c r="F50" s="70">
        <f>'4b 58C 21-22 Persons Count'!AB47</f>
        <v>4.8999999999999998E-3</v>
      </c>
      <c r="G50" s="71">
        <f t="shared" si="28"/>
        <v>340</v>
      </c>
      <c r="H50" s="53"/>
      <c r="I50" s="47" t="s">
        <v>94</v>
      </c>
      <c r="J50" s="70">
        <f>'4b 58C 21-22 Persons Count'!W47</f>
        <v>8.3000000000000001E-3</v>
      </c>
      <c r="K50" s="72">
        <f t="shared" si="19"/>
        <v>7756</v>
      </c>
      <c r="L50" s="72">
        <f t="shared" si="15"/>
        <v>114</v>
      </c>
      <c r="M50" s="82">
        <f>ROUNDDOWN($M$5*J50,0)</f>
        <v>1492</v>
      </c>
      <c r="N50" s="75">
        <f t="shared" ref="N50:N52" si="77">SUM(K50:M50)</f>
        <v>9362</v>
      </c>
      <c r="O50" s="53"/>
      <c r="P50" s="47" t="s">
        <v>94</v>
      </c>
      <c r="Q50" s="70">
        <f>'4a 58C 20-21 Persons Count'!AS47</f>
        <v>4.8999999999999998E-3</v>
      </c>
      <c r="R50" s="71">
        <f t="shared" si="10"/>
        <v>40</v>
      </c>
      <c r="S50" s="53"/>
      <c r="T50" s="47" t="s">
        <v>94</v>
      </c>
      <c r="U50" s="70">
        <f>'4a 58C 20-21 Persons Count'!AI47</f>
        <v>8.3000000000000001E-3</v>
      </c>
      <c r="V50" s="71">
        <f t="shared" ref="V50:V52" si="78">ROUND($V$5*U50,0)</f>
        <v>4</v>
      </c>
      <c r="W50" s="71">
        <f t="shared" ref="W50:W51" si="79">ROUND($W$5*U50,0)</f>
        <v>0</v>
      </c>
      <c r="X50" s="71">
        <f t="shared" ref="X50:X52" si="80">ROUND($X$5*U50,0)</f>
        <v>1</v>
      </c>
      <c r="Y50" s="75">
        <f t="shared" ref="Y50:Y52" si="81">SUM(V50:X50)</f>
        <v>5</v>
      </c>
      <c r="Z50" s="53"/>
      <c r="AA50" s="71" t="s">
        <v>94</v>
      </c>
      <c r="AB50" s="21">
        <f t="shared" si="12"/>
        <v>7760</v>
      </c>
      <c r="AC50" s="21">
        <f t="shared" si="13"/>
        <v>114</v>
      </c>
      <c r="AD50" s="21">
        <f t="shared" si="14"/>
        <v>1873</v>
      </c>
      <c r="AE50" s="64">
        <f t="shared" si="47"/>
        <v>9747</v>
      </c>
      <c r="AF50" s="77"/>
      <c r="AG50" s="25" t="s">
        <v>94</v>
      </c>
      <c r="AH50" s="80"/>
      <c r="AI50" s="79"/>
      <c r="AJ50" s="79"/>
      <c r="AK50" s="79"/>
      <c r="AL50" s="25"/>
      <c r="AM50" s="63"/>
      <c r="AN50" s="79" t="s">
        <v>94</v>
      </c>
      <c r="AO50" s="79"/>
      <c r="AP50" s="79"/>
      <c r="AQ50" s="79"/>
      <c r="AR50" s="79"/>
      <c r="AT50" s="79" t="s">
        <v>94</v>
      </c>
      <c r="AU50" s="79"/>
      <c r="AV50" s="79"/>
      <c r="AW50" s="79"/>
      <c r="AX50" s="79"/>
      <c r="AZ50" s="79" t="s">
        <v>94</v>
      </c>
      <c r="BA50" s="244"/>
      <c r="BB50" s="244"/>
      <c r="BC50" s="244"/>
      <c r="BD50" s="245"/>
      <c r="BE50" s="63"/>
      <c r="BF50" s="62">
        <f t="shared" si="4"/>
        <v>7772</v>
      </c>
      <c r="BG50" s="62">
        <f t="shared" si="5"/>
        <v>114</v>
      </c>
      <c r="BH50" s="62">
        <f t="shared" si="6"/>
        <v>1873</v>
      </c>
      <c r="BI50" s="67">
        <f t="shared" si="40"/>
        <v>9759</v>
      </c>
      <c r="BJ50" s="98">
        <f t="shared" si="48"/>
        <v>0</v>
      </c>
    </row>
    <row r="51" spans="1:62" x14ac:dyDescent="0.25">
      <c r="A51" s="47" t="s">
        <v>95</v>
      </c>
      <c r="B51" s="70">
        <f>'4b 58C 21-22 Persons Count'!Y48</f>
        <v>1E-4</v>
      </c>
      <c r="C51" s="71">
        <f t="shared" si="76"/>
        <v>0</v>
      </c>
      <c r="D51" s="53"/>
      <c r="E51" s="47" t="s">
        <v>95</v>
      </c>
      <c r="F51" s="70">
        <f>'4b 58C 21-22 Persons Count'!AB48</f>
        <v>1E-4</v>
      </c>
      <c r="G51" s="71">
        <f t="shared" si="28"/>
        <v>7</v>
      </c>
      <c r="H51" s="53"/>
      <c r="I51" s="47" t="s">
        <v>95</v>
      </c>
      <c r="J51" s="70">
        <f>'4b 58C 21-22 Persons Count'!W48</f>
        <v>1E-4</v>
      </c>
      <c r="K51" s="72">
        <f t="shared" si="19"/>
        <v>93</v>
      </c>
      <c r="L51" s="72">
        <f t="shared" si="15"/>
        <v>1</v>
      </c>
      <c r="M51" s="72">
        <f t="shared" si="20"/>
        <v>18</v>
      </c>
      <c r="N51" s="75">
        <f t="shared" si="77"/>
        <v>112</v>
      </c>
      <c r="O51" s="53"/>
      <c r="P51" s="47" t="s">
        <v>95</v>
      </c>
      <c r="Q51" s="70">
        <f>'4a 58C 20-21 Persons Count'!AS48</f>
        <v>1E-4</v>
      </c>
      <c r="R51" s="71">
        <f t="shared" si="10"/>
        <v>1</v>
      </c>
      <c r="S51" s="53"/>
      <c r="T51" s="47" t="s">
        <v>95</v>
      </c>
      <c r="U51" s="70">
        <f>'4a 58C 20-21 Persons Count'!AI48</f>
        <v>1E-4</v>
      </c>
      <c r="V51" s="71">
        <f t="shared" si="78"/>
        <v>0</v>
      </c>
      <c r="W51" s="71">
        <f t="shared" si="79"/>
        <v>0</v>
      </c>
      <c r="X51" s="71">
        <f t="shared" si="80"/>
        <v>0</v>
      </c>
      <c r="Y51" s="75">
        <f t="shared" si="81"/>
        <v>0</v>
      </c>
      <c r="Z51" s="53"/>
      <c r="AA51" s="71" t="s">
        <v>95</v>
      </c>
      <c r="AB51" s="21">
        <f t="shared" si="12"/>
        <v>93</v>
      </c>
      <c r="AC51" s="21">
        <f t="shared" si="13"/>
        <v>1</v>
      </c>
      <c r="AD51" s="21">
        <f t="shared" si="14"/>
        <v>26</v>
      </c>
      <c r="AE51" s="64">
        <f t="shared" si="47"/>
        <v>120</v>
      </c>
      <c r="AF51" s="77"/>
      <c r="AG51" s="25" t="s">
        <v>95</v>
      </c>
      <c r="AH51" s="80"/>
      <c r="AI51" s="79"/>
      <c r="AJ51" s="79"/>
      <c r="AK51" s="79"/>
      <c r="AL51" s="25"/>
      <c r="AM51" s="63"/>
      <c r="AN51" s="79" t="s">
        <v>95</v>
      </c>
      <c r="AO51" s="79"/>
      <c r="AP51" s="79"/>
      <c r="AQ51" s="79"/>
      <c r="AR51" s="79"/>
      <c r="AT51" s="79" t="s">
        <v>95</v>
      </c>
      <c r="AU51" s="79"/>
      <c r="AV51" s="79"/>
      <c r="AW51" s="79"/>
      <c r="AX51" s="79"/>
      <c r="AZ51" s="79" t="s">
        <v>95</v>
      </c>
      <c r="BA51" s="244"/>
      <c r="BB51" s="244"/>
      <c r="BC51" s="244"/>
      <c r="BD51" s="245"/>
      <c r="BE51" s="63"/>
      <c r="BF51" s="62">
        <f t="shared" si="4"/>
        <v>93</v>
      </c>
      <c r="BG51" s="62">
        <f t="shared" si="5"/>
        <v>1</v>
      </c>
      <c r="BH51" s="62">
        <f t="shared" si="6"/>
        <v>26</v>
      </c>
      <c r="BI51" s="67">
        <f t="shared" si="40"/>
        <v>120</v>
      </c>
      <c r="BJ51" s="98">
        <f t="shared" si="48"/>
        <v>0</v>
      </c>
    </row>
    <row r="52" spans="1:62" x14ac:dyDescent="0.25">
      <c r="A52" s="47" t="s">
        <v>96</v>
      </c>
      <c r="B52" s="70">
        <f>'4b 58C 21-22 Persons Count'!Y49</f>
        <v>2.8999999999999998E-3</v>
      </c>
      <c r="C52" s="71">
        <f t="shared" si="76"/>
        <v>4</v>
      </c>
      <c r="D52" s="53"/>
      <c r="E52" s="47" t="s">
        <v>96</v>
      </c>
      <c r="F52" s="70">
        <f>'4b 58C 21-22 Persons Count'!AB49</f>
        <v>1.4E-3</v>
      </c>
      <c r="G52" s="71">
        <f t="shared" si="28"/>
        <v>97</v>
      </c>
      <c r="H52" s="53"/>
      <c r="I52" s="47" t="s">
        <v>96</v>
      </c>
      <c r="J52" s="70">
        <f>'4b 58C 21-22 Persons Count'!W49</f>
        <v>2.3999999999999998E-3</v>
      </c>
      <c r="K52" s="72">
        <f>ROUNDDOWN($K$5*J52,0)</f>
        <v>2242</v>
      </c>
      <c r="L52" s="72">
        <f t="shared" si="15"/>
        <v>33</v>
      </c>
      <c r="M52" s="72">
        <f t="shared" si="20"/>
        <v>432</v>
      </c>
      <c r="N52" s="75">
        <f t="shared" si="77"/>
        <v>2707</v>
      </c>
      <c r="O52" s="53"/>
      <c r="P52" s="47" t="s">
        <v>96</v>
      </c>
      <c r="Q52" s="70">
        <f>'4a 58C 20-21 Persons Count'!AS49</f>
        <v>1.5E-3</v>
      </c>
      <c r="R52" s="71">
        <f t="shared" si="10"/>
        <v>11</v>
      </c>
      <c r="S52" s="53"/>
      <c r="T52" s="47" t="s">
        <v>96</v>
      </c>
      <c r="U52" s="70">
        <f>'4a 58C 20-21 Persons Count'!AI49</f>
        <v>2.5000000000000001E-3</v>
      </c>
      <c r="V52" s="71">
        <f t="shared" si="78"/>
        <v>1</v>
      </c>
      <c r="W52" s="82">
        <f>ROUNDUP($W$5*U52,0)</f>
        <v>1</v>
      </c>
      <c r="X52" s="71">
        <f t="shared" si="80"/>
        <v>0</v>
      </c>
      <c r="Y52" s="75">
        <f t="shared" si="81"/>
        <v>2</v>
      </c>
      <c r="Z52" s="53"/>
      <c r="AA52" s="71" t="s">
        <v>96</v>
      </c>
      <c r="AB52" s="21">
        <f t="shared" si="12"/>
        <v>2243</v>
      </c>
      <c r="AC52" s="21">
        <f t="shared" si="13"/>
        <v>34</v>
      </c>
      <c r="AD52" s="21">
        <f t="shared" si="14"/>
        <v>540</v>
      </c>
      <c r="AE52" s="64">
        <f t="shared" si="47"/>
        <v>2817</v>
      </c>
      <c r="AF52" s="77"/>
      <c r="AG52" s="25" t="s">
        <v>96</v>
      </c>
      <c r="AH52" s="80"/>
      <c r="AI52" s="79"/>
      <c r="AJ52" s="79"/>
      <c r="AK52" s="79"/>
      <c r="AL52" s="25"/>
      <c r="AM52" s="63"/>
      <c r="AN52" s="79" t="s">
        <v>96</v>
      </c>
      <c r="AO52" s="79"/>
      <c r="AP52" s="79"/>
      <c r="AQ52" s="79"/>
      <c r="AR52" s="79"/>
      <c r="AT52" s="79" t="s">
        <v>96</v>
      </c>
      <c r="AU52" s="79"/>
      <c r="AV52" s="79"/>
      <c r="AW52" s="79"/>
      <c r="AX52" s="79"/>
      <c r="AZ52" s="79" t="s">
        <v>96</v>
      </c>
      <c r="BA52" s="244"/>
      <c r="BB52" s="244"/>
      <c r="BC52" s="244"/>
      <c r="BD52" s="245"/>
      <c r="BE52" s="63"/>
      <c r="BF52" s="62">
        <f t="shared" si="4"/>
        <v>2247</v>
      </c>
      <c r="BG52" s="62">
        <f t="shared" si="5"/>
        <v>34</v>
      </c>
      <c r="BH52" s="62">
        <f t="shared" si="6"/>
        <v>540</v>
      </c>
      <c r="BI52" s="67">
        <f t="shared" si="40"/>
        <v>2821</v>
      </c>
      <c r="BJ52" s="98">
        <f t="shared" si="48"/>
        <v>0</v>
      </c>
    </row>
    <row r="53" spans="1:62" x14ac:dyDescent="0.25">
      <c r="A53" s="25" t="s">
        <v>97</v>
      </c>
      <c r="B53" s="25"/>
      <c r="C53" s="25"/>
      <c r="D53" s="53"/>
      <c r="E53" s="47" t="s">
        <v>97</v>
      </c>
      <c r="F53" s="70">
        <f>'4b 58C 21-22 Persons Count'!AB50</f>
        <v>9.4999999999999998E-3</v>
      </c>
      <c r="G53" s="71">
        <f t="shared" si="28"/>
        <v>658</v>
      </c>
      <c r="H53" s="53"/>
      <c r="I53" s="25" t="s">
        <v>97</v>
      </c>
      <c r="J53" s="25"/>
      <c r="K53" s="79"/>
      <c r="L53" s="79"/>
      <c r="M53" s="79"/>
      <c r="N53" s="79"/>
      <c r="O53" s="53"/>
      <c r="P53" s="47" t="s">
        <v>97</v>
      </c>
      <c r="Q53" s="70">
        <f>'4a 58C 20-21 Persons Count'!AS50</f>
        <v>9.2999999999999992E-3</v>
      </c>
      <c r="R53" s="71">
        <f t="shared" si="10"/>
        <v>77</v>
      </c>
      <c r="S53" s="53"/>
      <c r="T53" s="25" t="s">
        <v>97</v>
      </c>
      <c r="U53" s="25"/>
      <c r="V53" s="79"/>
      <c r="W53" s="79"/>
      <c r="X53" s="79"/>
      <c r="Y53" s="79"/>
      <c r="Z53" s="53"/>
      <c r="AA53" s="71" t="s">
        <v>97</v>
      </c>
      <c r="AB53" s="21">
        <f t="shared" si="12"/>
        <v>0</v>
      </c>
      <c r="AC53" s="21">
        <f t="shared" si="13"/>
        <v>0</v>
      </c>
      <c r="AD53" s="21">
        <f t="shared" si="14"/>
        <v>735</v>
      </c>
      <c r="AE53" s="64">
        <f t="shared" si="47"/>
        <v>735</v>
      </c>
      <c r="AF53" s="77"/>
      <c r="AG53" s="47" t="s">
        <v>97</v>
      </c>
      <c r="AH53" s="74">
        <f>'5b SFY 2324 CalWIN MO Share Tbl'!J20</f>
        <v>2.5700000000000001E-2</v>
      </c>
      <c r="AI53" s="72">
        <f t="shared" ref="AI53" si="82">ROUND(AH53*AI$5,0)</f>
        <v>7641</v>
      </c>
      <c r="AJ53" s="72">
        <f t="shared" ref="AJ53" si="83">ROUND(AH53*AJ$5,0)</f>
        <v>77</v>
      </c>
      <c r="AK53" s="72">
        <f t="shared" ref="AK53:AK54" si="84">ROUND(AH53*AK$5,0)</f>
        <v>751</v>
      </c>
      <c r="AL53" s="76">
        <f>SUM(AI53:AK53)</f>
        <v>8469</v>
      </c>
      <c r="AM53" s="63"/>
      <c r="AN53" s="83" t="s">
        <v>97</v>
      </c>
      <c r="AO53" s="75">
        <f>SUMIF('3a SFY 23-24 Q1 CalWIN MO'!$A:$A,'SFY 23-24 Q1 Share Calculations'!$AN53,'3a SFY 23-24 Q1 CalWIN MO'!X:X)</f>
        <v>3460</v>
      </c>
      <c r="AP53" s="75">
        <f>SUMIF('3a SFY 23-24 Q1 CalWIN MO'!$A:$A,'SFY 23-24 Q1 Share Calculations'!$AN53,'3a SFY 23-24 Q1 CalWIN MO'!Y:Y)</f>
        <v>35</v>
      </c>
      <c r="AQ53" s="75">
        <f>SUMIF('3a SFY 23-24 Q1 CalWIN MO'!$A:$A,'SFY 23-24 Q1 Share Calculations'!$AN53,'3a SFY 23-24 Q1 CalWIN MO'!Z:Z)</f>
        <v>340</v>
      </c>
      <c r="AR53" s="84">
        <f t="shared" ref="AR53:AR54" si="85">SUM(AO53:AQ53)</f>
        <v>3835</v>
      </c>
      <c r="AT53" s="83" t="s">
        <v>97</v>
      </c>
      <c r="AU53" s="75">
        <f>SUMIF('3b SFY 22-23 Q1 Adj-Late MO'!$A:$A,'SFY 23-24 Q1 Share Calculations'!$AT53,'3b SFY 22-23 Q1 Adj-Late MO'!X:X)</f>
        <v>1088</v>
      </c>
      <c r="AV53" s="75">
        <f>SUMIF('3b SFY 22-23 Q1 Adj-Late MO'!$A:$A,'SFY 23-24 Q1 Share Calculations'!$AT53,'3b SFY 22-23 Q1 Adj-Late MO'!Y:Y)</f>
        <v>13</v>
      </c>
      <c r="AW53" s="75">
        <f>SUMIF('3b SFY 22-23 Q1 Adj-Late MO'!$A:$A,'SFY 23-24 Q1 Share Calculations'!$AT53,'3b SFY 22-23 Q1 Adj-Late MO'!Z:Z)</f>
        <v>104</v>
      </c>
      <c r="AX53" s="84">
        <f t="shared" ref="AX53:AX54" si="86">SUM(AU53:AW53)</f>
        <v>1205</v>
      </c>
      <c r="AZ53" s="83" t="s">
        <v>97</v>
      </c>
      <c r="BA53" s="76">
        <f t="shared" ref="BA53:BA54" si="87">SUM(AI53,AO53,AU53)</f>
        <v>12189</v>
      </c>
      <c r="BB53" s="76">
        <f t="shared" ref="BB53:BB54" si="88">SUM(AJ53,AP53,AV53)</f>
        <v>125</v>
      </c>
      <c r="BC53" s="76">
        <f t="shared" ref="BC53:BC54" si="89">SUM(AK53,AQ53,AW53)</f>
        <v>1195</v>
      </c>
      <c r="BD53" s="84">
        <f t="shared" si="23"/>
        <v>13509</v>
      </c>
      <c r="BE53" s="63"/>
      <c r="BF53" s="62">
        <f t="shared" si="4"/>
        <v>12189</v>
      </c>
      <c r="BG53" s="62">
        <f t="shared" si="5"/>
        <v>125</v>
      </c>
      <c r="BH53" s="62">
        <f t="shared" si="6"/>
        <v>1930</v>
      </c>
      <c r="BI53" s="67">
        <f t="shared" si="40"/>
        <v>14244</v>
      </c>
      <c r="BJ53" s="98">
        <f t="shared" si="48"/>
        <v>0</v>
      </c>
    </row>
    <row r="54" spans="1:62" x14ac:dyDescent="0.25">
      <c r="A54" s="25" t="s">
        <v>98</v>
      </c>
      <c r="B54" s="25"/>
      <c r="C54" s="25"/>
      <c r="D54" s="53"/>
      <c r="E54" s="47" t="s">
        <v>98</v>
      </c>
      <c r="F54" s="70">
        <f>'4b 58C 21-22 Persons Count'!AB51</f>
        <v>8.5000000000000006E-3</v>
      </c>
      <c r="G54" s="71">
        <f t="shared" si="28"/>
        <v>589</v>
      </c>
      <c r="H54" s="53"/>
      <c r="I54" s="25" t="s">
        <v>98</v>
      </c>
      <c r="J54" s="25"/>
      <c r="K54" s="79"/>
      <c r="L54" s="79"/>
      <c r="M54" s="79"/>
      <c r="N54" s="79"/>
      <c r="O54" s="53"/>
      <c r="P54" s="47" t="s">
        <v>98</v>
      </c>
      <c r="Q54" s="70">
        <f>'4a 58C 20-21 Persons Count'!AS51</f>
        <v>8.3999999999999995E-3</v>
      </c>
      <c r="R54" s="71">
        <f t="shared" si="10"/>
        <v>69</v>
      </c>
      <c r="S54" s="53"/>
      <c r="T54" s="25" t="s">
        <v>98</v>
      </c>
      <c r="U54" s="25"/>
      <c r="V54" s="79"/>
      <c r="W54" s="79"/>
      <c r="X54" s="79"/>
      <c r="Y54" s="79"/>
      <c r="Z54" s="53"/>
      <c r="AA54" s="71" t="s">
        <v>98</v>
      </c>
      <c r="AB54" s="21">
        <f t="shared" si="12"/>
        <v>0</v>
      </c>
      <c r="AC54" s="21">
        <f t="shared" si="13"/>
        <v>0</v>
      </c>
      <c r="AD54" s="21">
        <f t="shared" si="14"/>
        <v>658</v>
      </c>
      <c r="AE54" s="64">
        <f t="shared" si="47"/>
        <v>658</v>
      </c>
      <c r="AF54" s="77"/>
      <c r="AG54" s="47" t="s">
        <v>98</v>
      </c>
      <c r="AH54" s="74">
        <f>'5b SFY 2324 CalWIN MO Share Tbl'!J21</f>
        <v>2.12E-2</v>
      </c>
      <c r="AI54" s="72">
        <f>ROUND(AH54*AI$5,0)</f>
        <v>6303</v>
      </c>
      <c r="AJ54" s="72">
        <f>ROUND(AH54*AJ$5,0)</f>
        <v>64</v>
      </c>
      <c r="AK54" s="72">
        <f t="shared" si="84"/>
        <v>619</v>
      </c>
      <c r="AL54" s="76">
        <f>SUM(AI54:AK54)</f>
        <v>6986</v>
      </c>
      <c r="AM54" s="63"/>
      <c r="AN54" s="83" t="s">
        <v>98</v>
      </c>
      <c r="AO54" s="75">
        <f>SUMIF('3a SFY 23-24 Q1 CalWIN MO'!$A:$A,'SFY 23-24 Q1 Share Calculations'!$AN54,'3a SFY 23-24 Q1 CalWIN MO'!X:X)</f>
        <v>6250</v>
      </c>
      <c r="AP54" s="75">
        <f>SUMIF('3a SFY 23-24 Q1 CalWIN MO'!$A:$A,'SFY 23-24 Q1 Share Calculations'!$AN54,'3a SFY 23-24 Q1 CalWIN MO'!Y:Y)</f>
        <v>62</v>
      </c>
      <c r="AQ54" s="75">
        <f>SUMIF('3a SFY 23-24 Q1 CalWIN MO'!$A:$A,'SFY 23-24 Q1 Share Calculations'!$AN54,'3a SFY 23-24 Q1 CalWIN MO'!Z:Z)</f>
        <v>615</v>
      </c>
      <c r="AR54" s="84">
        <f t="shared" si="85"/>
        <v>6927</v>
      </c>
      <c r="AT54" s="83" t="s">
        <v>98</v>
      </c>
      <c r="AU54" s="75">
        <f>SUMIF('3b SFY 22-23 Q1 Adj-Late MO'!$A:$A,'SFY 23-24 Q1 Share Calculations'!$AT54,'3b SFY 22-23 Q1 Adj-Late MO'!X:X)</f>
        <v>0</v>
      </c>
      <c r="AV54" s="75">
        <f>SUMIF('3b SFY 22-23 Q1 Adj-Late MO'!$A:$A,'SFY 23-24 Q1 Share Calculations'!$AT54,'3b SFY 22-23 Q1 Adj-Late MO'!Y:Y)</f>
        <v>0</v>
      </c>
      <c r="AW54" s="75">
        <f>SUMIF('3b SFY 22-23 Q1 Adj-Late MO'!$A:$A,'SFY 23-24 Q1 Share Calculations'!$AT54,'3b SFY 22-23 Q1 Adj-Late MO'!Z:Z)</f>
        <v>0</v>
      </c>
      <c r="AX54" s="84">
        <f t="shared" si="86"/>
        <v>0</v>
      </c>
      <c r="AZ54" s="83" t="s">
        <v>98</v>
      </c>
      <c r="BA54" s="76">
        <f t="shared" si="87"/>
        <v>12553</v>
      </c>
      <c r="BB54" s="76">
        <f t="shared" si="88"/>
        <v>126</v>
      </c>
      <c r="BC54" s="76">
        <f t="shared" si="89"/>
        <v>1234</v>
      </c>
      <c r="BD54" s="84">
        <f t="shared" si="23"/>
        <v>13913</v>
      </c>
      <c r="BE54" s="63"/>
      <c r="BF54" s="62">
        <f t="shared" si="4"/>
        <v>12553</v>
      </c>
      <c r="BG54" s="62">
        <f t="shared" si="5"/>
        <v>126</v>
      </c>
      <c r="BH54" s="62">
        <f t="shared" si="6"/>
        <v>1892</v>
      </c>
      <c r="BI54" s="67">
        <f t="shared" si="40"/>
        <v>14571</v>
      </c>
      <c r="BJ54" s="98">
        <f t="shared" si="48"/>
        <v>0</v>
      </c>
    </row>
    <row r="55" spans="1:62" x14ac:dyDescent="0.25">
      <c r="A55" s="47" t="s">
        <v>99</v>
      </c>
      <c r="B55" s="70">
        <f>'4b 58C 21-22 Persons Count'!Y52</f>
        <v>2.6699999999999998E-2</v>
      </c>
      <c r="C55" s="82">
        <f>ROUNDDOWN(B55*C$5,0)</f>
        <v>34</v>
      </c>
      <c r="D55" s="53"/>
      <c r="E55" s="47" t="s">
        <v>99</v>
      </c>
      <c r="F55" s="70">
        <f>'4b 58C 21-22 Persons Count'!AB52</f>
        <v>1.7100000000000001E-2</v>
      </c>
      <c r="G55" s="82">
        <f>ROUNDDOWN(G$5*$F55,0)</f>
        <v>1184</v>
      </c>
      <c r="H55" s="53"/>
      <c r="I55" s="47" t="s">
        <v>99</v>
      </c>
      <c r="J55" s="70">
        <f>'4b 58C 21-22 Persons Count'!W52</f>
        <v>2.8899999999999999E-2</v>
      </c>
      <c r="K55" s="72">
        <f>ROUND($K$5*J55,0)</f>
        <v>27005</v>
      </c>
      <c r="L55" s="71">
        <f>ROUND($L$5*J55,0)</f>
        <v>395</v>
      </c>
      <c r="M55" s="72">
        <f t="shared" si="20"/>
        <v>5197</v>
      </c>
      <c r="N55" s="75">
        <f t="shared" ref="N55:N58" si="90">SUM(K55:M55)</f>
        <v>32597</v>
      </c>
      <c r="O55" s="53"/>
      <c r="P55" s="47" t="s">
        <v>99</v>
      </c>
      <c r="Q55" s="70">
        <f>'4a 58C 20-21 Persons Count'!AS52</f>
        <v>1.7500000000000002E-2</v>
      </c>
      <c r="R55" s="71">
        <f t="shared" si="10"/>
        <v>139</v>
      </c>
      <c r="S55" s="53"/>
      <c r="T55" s="47" t="s">
        <v>99</v>
      </c>
      <c r="U55" s="70">
        <f>'4a 58C 20-21 Persons Count'!AI52</f>
        <v>2.9399999999999999E-2</v>
      </c>
      <c r="V55" s="71">
        <f t="shared" ref="V55:V58" si="91">ROUND($V$5*U55,0)</f>
        <v>13</v>
      </c>
      <c r="W55" s="71">
        <f>ROUND($W$5*U55,0)</f>
        <v>0</v>
      </c>
      <c r="X55" s="82">
        <f>ROUNDUP($X$5*U55,0)</f>
        <v>3</v>
      </c>
      <c r="Y55" s="75">
        <f t="shared" ref="Y55:Y58" si="92">SUM(V55:X55)</f>
        <v>16</v>
      </c>
      <c r="Z55" s="53"/>
      <c r="AA55" s="71" t="s">
        <v>99</v>
      </c>
      <c r="AB55" s="21">
        <f t="shared" si="12"/>
        <v>27018</v>
      </c>
      <c r="AC55" s="21">
        <f t="shared" si="13"/>
        <v>395</v>
      </c>
      <c r="AD55" s="21">
        <f t="shared" si="14"/>
        <v>6523</v>
      </c>
      <c r="AE55" s="64">
        <f t="shared" si="47"/>
        <v>33936</v>
      </c>
      <c r="AF55" s="77"/>
      <c r="AG55" s="25" t="s">
        <v>99</v>
      </c>
      <c r="AH55" s="80"/>
      <c r="AI55" s="79"/>
      <c r="AJ55" s="79"/>
      <c r="AK55" s="79"/>
      <c r="AL55" s="25"/>
      <c r="AM55" s="63"/>
      <c r="AN55" s="79" t="s">
        <v>99</v>
      </c>
      <c r="AO55" s="79"/>
      <c r="AP55" s="79"/>
      <c r="AQ55" s="79"/>
      <c r="AR55" s="79"/>
      <c r="AT55" s="79" t="s">
        <v>99</v>
      </c>
      <c r="AU55" s="79"/>
      <c r="AV55" s="79"/>
      <c r="AW55" s="79"/>
      <c r="AX55" s="79"/>
      <c r="AZ55" s="79" t="s">
        <v>99</v>
      </c>
      <c r="BA55" s="244"/>
      <c r="BB55" s="244"/>
      <c r="BC55" s="244"/>
      <c r="BD55" s="245"/>
      <c r="BE55" s="63"/>
      <c r="BF55" s="62">
        <f t="shared" si="4"/>
        <v>27052</v>
      </c>
      <c r="BG55" s="62">
        <f t="shared" si="5"/>
        <v>395</v>
      </c>
      <c r="BH55" s="62">
        <f t="shared" si="6"/>
        <v>6523</v>
      </c>
      <c r="BI55" s="67">
        <f t="shared" si="40"/>
        <v>33970</v>
      </c>
      <c r="BJ55" s="98">
        <f t="shared" si="48"/>
        <v>0</v>
      </c>
    </row>
    <row r="56" spans="1:62" x14ac:dyDescent="0.25">
      <c r="A56" s="47" t="s">
        <v>100</v>
      </c>
      <c r="B56" s="70">
        <f>'4b 58C 21-22 Persons Count'!Y53</f>
        <v>4.4999999999999997E-3</v>
      </c>
      <c r="C56" s="71">
        <f t="shared" si="76"/>
        <v>6</v>
      </c>
      <c r="D56" s="53"/>
      <c r="E56" s="47" t="s">
        <v>100</v>
      </c>
      <c r="F56" s="70">
        <f>'4b 58C 21-22 Persons Count'!AB53</f>
        <v>3.0000000000000001E-3</v>
      </c>
      <c r="G56" s="71">
        <f t="shared" si="28"/>
        <v>208</v>
      </c>
      <c r="H56" s="53"/>
      <c r="I56" s="47" t="s">
        <v>100</v>
      </c>
      <c r="J56" s="70">
        <f>'4b 58C 21-22 Persons Count'!W53</f>
        <v>5.0000000000000001E-3</v>
      </c>
      <c r="K56" s="72">
        <f>ROUND($K$5*J56,0)</f>
        <v>4672</v>
      </c>
      <c r="L56" s="72">
        <f t="shared" si="15"/>
        <v>68</v>
      </c>
      <c r="M56" s="72">
        <f t="shared" si="20"/>
        <v>899</v>
      </c>
      <c r="N56" s="75">
        <f t="shared" si="90"/>
        <v>5639</v>
      </c>
      <c r="O56" s="53"/>
      <c r="P56" s="47" t="s">
        <v>100</v>
      </c>
      <c r="Q56" s="70">
        <f>'4a 58C 20-21 Persons Count'!AS53</f>
        <v>3.0000000000000001E-3</v>
      </c>
      <c r="R56" s="71">
        <f t="shared" si="10"/>
        <v>24</v>
      </c>
      <c r="S56" s="53"/>
      <c r="T56" s="47" t="s">
        <v>100</v>
      </c>
      <c r="U56" s="70">
        <f>'4a 58C 20-21 Persons Count'!AI53</f>
        <v>5.1000000000000004E-3</v>
      </c>
      <c r="V56" s="71">
        <f t="shared" si="91"/>
        <v>2</v>
      </c>
      <c r="W56" s="71">
        <f t="shared" ref="W56:W58" si="93">ROUND($W$5*U56,0)</f>
        <v>0</v>
      </c>
      <c r="X56" s="71">
        <f t="shared" ref="X56:X58" si="94">ROUND($X$5*U56,0)</f>
        <v>0</v>
      </c>
      <c r="Y56" s="75">
        <f t="shared" si="92"/>
        <v>2</v>
      </c>
      <c r="Z56" s="53"/>
      <c r="AA56" s="71" t="s">
        <v>100</v>
      </c>
      <c r="AB56" s="21">
        <f t="shared" si="12"/>
        <v>4674</v>
      </c>
      <c r="AC56" s="21">
        <f t="shared" si="13"/>
        <v>68</v>
      </c>
      <c r="AD56" s="21">
        <f t="shared" si="14"/>
        <v>1131</v>
      </c>
      <c r="AE56" s="64">
        <f t="shared" si="47"/>
        <v>5873</v>
      </c>
      <c r="AF56" s="77"/>
      <c r="AG56" s="25" t="s">
        <v>100</v>
      </c>
      <c r="AH56" s="80"/>
      <c r="AI56" s="79"/>
      <c r="AJ56" s="79"/>
      <c r="AK56" s="79"/>
      <c r="AL56" s="25"/>
      <c r="AM56" s="63"/>
      <c r="AN56" s="79" t="s">
        <v>100</v>
      </c>
      <c r="AO56" s="79"/>
      <c r="AP56" s="79"/>
      <c r="AQ56" s="79"/>
      <c r="AR56" s="79"/>
      <c r="AT56" s="79" t="s">
        <v>100</v>
      </c>
      <c r="AU56" s="79"/>
      <c r="AV56" s="79"/>
      <c r="AW56" s="79"/>
      <c r="AX56" s="79"/>
      <c r="AZ56" s="79" t="s">
        <v>100</v>
      </c>
      <c r="BA56" s="244"/>
      <c r="BB56" s="244"/>
      <c r="BC56" s="244"/>
      <c r="BD56" s="245"/>
      <c r="BE56" s="63"/>
      <c r="BF56" s="62">
        <f t="shared" si="4"/>
        <v>4680</v>
      </c>
      <c r="BG56" s="62">
        <f t="shared" si="5"/>
        <v>68</v>
      </c>
      <c r="BH56" s="62">
        <f t="shared" si="6"/>
        <v>1131</v>
      </c>
      <c r="BI56" s="67">
        <f t="shared" si="40"/>
        <v>5879</v>
      </c>
      <c r="BJ56" s="98">
        <f t="shared" si="48"/>
        <v>0</v>
      </c>
    </row>
    <row r="57" spans="1:62" x14ac:dyDescent="0.25">
      <c r="A57" s="47" t="s">
        <v>101</v>
      </c>
      <c r="B57" s="70">
        <f>'4b 58C 21-22 Persons Count'!Y54</f>
        <v>3.8E-3</v>
      </c>
      <c r="C57" s="71">
        <f t="shared" si="76"/>
        <v>5</v>
      </c>
      <c r="D57" s="53"/>
      <c r="E57" s="47" t="s">
        <v>101</v>
      </c>
      <c r="F57" s="70">
        <f>'4b 58C 21-22 Persons Count'!AB54</f>
        <v>2.0999999999999999E-3</v>
      </c>
      <c r="G57" s="71">
        <f t="shared" si="28"/>
        <v>146</v>
      </c>
      <c r="H57" s="53"/>
      <c r="I57" s="47" t="s">
        <v>101</v>
      </c>
      <c r="J57" s="70">
        <f>'4b 58C 21-22 Persons Count'!W54</f>
        <v>3.5999999999999999E-3</v>
      </c>
      <c r="K57" s="72">
        <f t="shared" si="19"/>
        <v>3364</v>
      </c>
      <c r="L57" s="72">
        <f t="shared" si="15"/>
        <v>49</v>
      </c>
      <c r="M57" s="72">
        <f t="shared" si="20"/>
        <v>647</v>
      </c>
      <c r="N57" s="75">
        <f t="shared" si="90"/>
        <v>4060</v>
      </c>
      <c r="O57" s="53"/>
      <c r="P57" s="47" t="s">
        <v>101</v>
      </c>
      <c r="Q57" s="70">
        <f>'4a 58C 20-21 Persons Count'!AS54</f>
        <v>2.0999999999999999E-3</v>
      </c>
      <c r="R57" s="71">
        <f t="shared" si="10"/>
        <v>17</v>
      </c>
      <c r="S57" s="53"/>
      <c r="T57" s="47" t="s">
        <v>101</v>
      </c>
      <c r="U57" s="70">
        <f>'4a 58C 20-21 Persons Count'!AI54</f>
        <v>3.5999999999999999E-3</v>
      </c>
      <c r="V57" s="71">
        <f t="shared" si="91"/>
        <v>2</v>
      </c>
      <c r="W57" s="71">
        <f t="shared" si="93"/>
        <v>0</v>
      </c>
      <c r="X57" s="71">
        <f t="shared" si="94"/>
        <v>0</v>
      </c>
      <c r="Y57" s="75">
        <f t="shared" si="92"/>
        <v>2</v>
      </c>
      <c r="Z57" s="53"/>
      <c r="AA57" s="71" t="s">
        <v>101</v>
      </c>
      <c r="AB57" s="21">
        <f t="shared" si="12"/>
        <v>3366</v>
      </c>
      <c r="AC57" s="21">
        <f t="shared" si="13"/>
        <v>49</v>
      </c>
      <c r="AD57" s="21">
        <f t="shared" si="14"/>
        <v>810</v>
      </c>
      <c r="AE57" s="64">
        <f t="shared" si="47"/>
        <v>4225</v>
      </c>
      <c r="AF57" s="77"/>
      <c r="AG57" s="25" t="s">
        <v>101</v>
      </c>
      <c r="AH57" s="80"/>
      <c r="AI57" s="79"/>
      <c r="AJ57" s="79"/>
      <c r="AK57" s="79"/>
      <c r="AL57" s="25"/>
      <c r="AM57" s="63"/>
      <c r="AN57" s="79" t="s">
        <v>101</v>
      </c>
      <c r="AO57" s="79"/>
      <c r="AP57" s="79"/>
      <c r="AQ57" s="79"/>
      <c r="AR57" s="79"/>
      <c r="AT57" s="79" t="s">
        <v>101</v>
      </c>
      <c r="AU57" s="79"/>
      <c r="AV57" s="79"/>
      <c r="AW57" s="79"/>
      <c r="AX57" s="79"/>
      <c r="AZ57" s="79" t="s">
        <v>101</v>
      </c>
      <c r="BA57" s="244"/>
      <c r="BB57" s="244"/>
      <c r="BC57" s="244"/>
      <c r="BD57" s="245"/>
      <c r="BE57" s="63"/>
      <c r="BF57" s="62">
        <f t="shared" si="4"/>
        <v>3371</v>
      </c>
      <c r="BG57" s="62">
        <f t="shared" si="5"/>
        <v>49</v>
      </c>
      <c r="BH57" s="62">
        <f t="shared" si="6"/>
        <v>810</v>
      </c>
      <c r="BI57" s="67">
        <f t="shared" si="40"/>
        <v>4230</v>
      </c>
      <c r="BJ57" s="98">
        <f t="shared" si="48"/>
        <v>0</v>
      </c>
    </row>
    <row r="58" spans="1:62" x14ac:dyDescent="0.25">
      <c r="A58" s="47" t="s">
        <v>102</v>
      </c>
      <c r="B58" s="70">
        <f>'4b 58C 21-22 Persons Count'!Y55</f>
        <v>8.0000000000000004E-4</v>
      </c>
      <c r="C58" s="71">
        <f>ROUND(B58*C$5,0)</f>
        <v>1</v>
      </c>
      <c r="D58" s="53"/>
      <c r="E58" s="47" t="s">
        <v>102</v>
      </c>
      <c r="F58" s="70">
        <f>'4b 58C 21-22 Persons Count'!AB55</f>
        <v>4.0000000000000002E-4</v>
      </c>
      <c r="G58" s="71">
        <f>ROUND(G$5*$F58,0)</f>
        <v>28</v>
      </c>
      <c r="H58" s="53"/>
      <c r="I58" s="47" t="s">
        <v>102</v>
      </c>
      <c r="J58" s="70">
        <f>'4b 58C 21-22 Persons Count'!W55</f>
        <v>6.9999999999999999E-4</v>
      </c>
      <c r="K58" s="82">
        <f>ROUNDUP($K$5*J58,0)</f>
        <v>655</v>
      </c>
      <c r="L58" s="82">
        <f>ROUNDDOWN($L$5*J58,0)</f>
        <v>9</v>
      </c>
      <c r="M58" s="72">
        <f t="shared" si="20"/>
        <v>126</v>
      </c>
      <c r="N58" s="75">
        <f t="shared" si="90"/>
        <v>790</v>
      </c>
      <c r="O58" s="53"/>
      <c r="P58" s="47" t="s">
        <v>102</v>
      </c>
      <c r="Q58" s="70">
        <f>'4a 58C 20-21 Persons Count'!AS55</f>
        <v>4.0000000000000002E-4</v>
      </c>
      <c r="R58" s="71">
        <f>ROUND(R$5*$F58,0)</f>
        <v>3</v>
      </c>
      <c r="S58" s="53"/>
      <c r="T58" s="47" t="s">
        <v>102</v>
      </c>
      <c r="U58" s="70">
        <f>'4a 58C 20-21 Persons Count'!AI55</f>
        <v>6.9999999999999999E-4</v>
      </c>
      <c r="V58" s="71">
        <f t="shared" si="91"/>
        <v>0</v>
      </c>
      <c r="W58" s="71">
        <f t="shared" si="93"/>
        <v>0</v>
      </c>
      <c r="X58" s="71">
        <f t="shared" si="94"/>
        <v>0</v>
      </c>
      <c r="Y58" s="75">
        <f t="shared" si="92"/>
        <v>0</v>
      </c>
      <c r="Z58" s="53"/>
      <c r="AA58" s="71" t="s">
        <v>102</v>
      </c>
      <c r="AB58" s="21">
        <f t="shared" si="12"/>
        <v>655</v>
      </c>
      <c r="AC58" s="21">
        <f t="shared" si="13"/>
        <v>9</v>
      </c>
      <c r="AD58" s="21">
        <f t="shared" si="14"/>
        <v>157</v>
      </c>
      <c r="AE58" s="64">
        <f t="shared" si="47"/>
        <v>821</v>
      </c>
      <c r="AF58" s="77"/>
      <c r="AG58" s="25" t="s">
        <v>102</v>
      </c>
      <c r="AH58" s="80"/>
      <c r="AI58" s="79"/>
      <c r="AJ58" s="79"/>
      <c r="AK58" s="79"/>
      <c r="AL58" s="25"/>
      <c r="AM58" s="63"/>
      <c r="AN58" s="79" t="s">
        <v>102</v>
      </c>
      <c r="AO58" s="79"/>
      <c r="AP58" s="79"/>
      <c r="AQ58" s="79"/>
      <c r="AR58" s="79"/>
      <c r="AT58" s="79" t="s">
        <v>102</v>
      </c>
      <c r="AU58" s="79"/>
      <c r="AV58" s="79"/>
      <c r="AW58" s="79"/>
      <c r="AX58" s="79"/>
      <c r="AZ58" s="79" t="s">
        <v>102</v>
      </c>
      <c r="BA58" s="244"/>
      <c r="BB58" s="244"/>
      <c r="BC58" s="244"/>
      <c r="BD58" s="245"/>
      <c r="BE58" s="63"/>
      <c r="BF58" s="62">
        <f t="shared" si="4"/>
        <v>656</v>
      </c>
      <c r="BG58" s="62">
        <f t="shared" si="5"/>
        <v>9</v>
      </c>
      <c r="BH58" s="62">
        <f t="shared" si="6"/>
        <v>157</v>
      </c>
      <c r="BI58" s="67">
        <f t="shared" si="40"/>
        <v>822</v>
      </c>
      <c r="BJ58" s="98">
        <f t="shared" si="48"/>
        <v>0</v>
      </c>
    </row>
    <row r="59" spans="1:62" x14ac:dyDescent="0.25">
      <c r="A59" s="25" t="s">
        <v>103</v>
      </c>
      <c r="B59" s="25"/>
      <c r="C59" s="25"/>
      <c r="D59" s="53"/>
      <c r="E59" s="47" t="s">
        <v>103</v>
      </c>
      <c r="F59" s="70">
        <f>'4b 58C 21-22 Persons Count'!AB56</f>
        <v>2.07E-2</v>
      </c>
      <c r="G59" s="82">
        <f>ROUNDDOWN(G$5*$F59,0)</f>
        <v>1434</v>
      </c>
      <c r="H59" s="53"/>
      <c r="I59" s="25" t="s">
        <v>103</v>
      </c>
      <c r="J59" s="25"/>
      <c r="K59" s="79"/>
      <c r="L59" s="79"/>
      <c r="M59" s="79"/>
      <c r="N59" s="79"/>
      <c r="O59" s="53"/>
      <c r="P59" s="47" t="s">
        <v>103</v>
      </c>
      <c r="Q59" s="70">
        <f>'4a 58C 20-21 Persons Count'!AS56</f>
        <v>2.07E-2</v>
      </c>
      <c r="R59" s="82">
        <f>ROUNDUP(R$5*$F59,0)</f>
        <v>168</v>
      </c>
      <c r="S59" s="53"/>
      <c r="T59" s="25" t="s">
        <v>103</v>
      </c>
      <c r="U59" s="25"/>
      <c r="V59" s="79"/>
      <c r="W59" s="79"/>
      <c r="X59" s="79"/>
      <c r="Y59" s="79"/>
      <c r="Z59" s="53"/>
      <c r="AA59" s="71" t="s">
        <v>103</v>
      </c>
      <c r="AB59" s="21">
        <f t="shared" si="12"/>
        <v>0</v>
      </c>
      <c r="AC59" s="21">
        <f t="shared" si="13"/>
        <v>0</v>
      </c>
      <c r="AD59" s="21">
        <f t="shared" si="14"/>
        <v>1602</v>
      </c>
      <c r="AE59" s="64">
        <f t="shared" si="47"/>
        <v>1602</v>
      </c>
      <c r="AF59" s="77"/>
      <c r="AG59" s="47" t="s">
        <v>103</v>
      </c>
      <c r="AH59" s="74">
        <f>'5b SFY 2324 CalWIN MO Share Tbl'!J22</f>
        <v>5.3800000000000001E-2</v>
      </c>
      <c r="AI59" s="72">
        <f t="shared" ref="AI59" si="95">ROUND(AH59*AI$5,0)</f>
        <v>15996</v>
      </c>
      <c r="AJ59" s="72">
        <f>ROUND(AH59*AJ$5,0)</f>
        <v>162</v>
      </c>
      <c r="AK59" s="72">
        <f>ROUND(AH59*AK$5,0)</f>
        <v>1572</v>
      </c>
      <c r="AL59" s="76">
        <f>SUM(AI59:AK59)</f>
        <v>17730</v>
      </c>
      <c r="AM59" s="63"/>
      <c r="AN59" s="83" t="s">
        <v>103</v>
      </c>
      <c r="AO59" s="75">
        <f>SUMIF('3a SFY 23-24 Q1 CalWIN MO'!$A:$A,'SFY 23-24 Q1 Share Calculations'!$AN59,'3a SFY 23-24 Q1 CalWIN MO'!X:X)</f>
        <v>0</v>
      </c>
      <c r="AP59" s="75">
        <f>SUMIF('3a SFY 23-24 Q1 CalWIN MO'!$A:$A,'SFY 23-24 Q1 Share Calculations'!$AN59,'3a SFY 23-24 Q1 CalWIN MO'!Y:Y)</f>
        <v>0</v>
      </c>
      <c r="AQ59" s="75">
        <f>SUMIF('3a SFY 23-24 Q1 CalWIN MO'!$A:$A,'SFY 23-24 Q1 Share Calculations'!$AN59,'3a SFY 23-24 Q1 CalWIN MO'!Z:Z)</f>
        <v>0</v>
      </c>
      <c r="AR59" s="84">
        <f>SUM(AO59:AQ59)</f>
        <v>0</v>
      </c>
      <c r="AT59" s="83" t="s">
        <v>103</v>
      </c>
      <c r="AU59" s="75">
        <f>SUMIF('3b SFY 22-23 Q1 Adj-Late MO'!$A:$A,'SFY 23-24 Q1 Share Calculations'!$AT59,'3b SFY 22-23 Q1 Adj-Late MO'!X:X)</f>
        <v>0</v>
      </c>
      <c r="AV59" s="75">
        <f>SUMIF('3b SFY 22-23 Q1 Adj-Late MO'!$A:$A,'SFY 23-24 Q1 Share Calculations'!$AT59,'3b SFY 22-23 Q1 Adj-Late MO'!Y:Y)</f>
        <v>0</v>
      </c>
      <c r="AW59" s="75">
        <f>SUMIF('3b SFY 22-23 Q1 Adj-Late MO'!$A:$A,'SFY 23-24 Q1 Share Calculations'!$AT59,'3b SFY 22-23 Q1 Adj-Late MO'!Z:Z)</f>
        <v>0</v>
      </c>
      <c r="AX59" s="84">
        <f>SUM(AU59:AW59)</f>
        <v>0</v>
      </c>
      <c r="AZ59" s="83" t="s">
        <v>103</v>
      </c>
      <c r="BA59" s="76">
        <f>SUM(AI59,AO59,AU59)</f>
        <v>15996</v>
      </c>
      <c r="BB59" s="76">
        <f>SUM(AJ59,AP59,AV59)</f>
        <v>162</v>
      </c>
      <c r="BC59" s="76">
        <f>SUM(AK59,AQ59,AW59)</f>
        <v>1572</v>
      </c>
      <c r="BD59" s="84">
        <f t="shared" si="23"/>
        <v>17730</v>
      </c>
      <c r="BE59" s="63"/>
      <c r="BF59" s="62">
        <f t="shared" si="4"/>
        <v>15996</v>
      </c>
      <c r="BG59" s="62">
        <f t="shared" si="5"/>
        <v>162</v>
      </c>
      <c r="BH59" s="62">
        <f t="shared" si="6"/>
        <v>3174</v>
      </c>
      <c r="BI59" s="67">
        <f t="shared" si="40"/>
        <v>19332</v>
      </c>
      <c r="BJ59" s="98">
        <f t="shared" si="48"/>
        <v>0</v>
      </c>
    </row>
    <row r="60" spans="1:62" x14ac:dyDescent="0.25">
      <c r="A60" s="47" t="s">
        <v>104</v>
      </c>
      <c r="B60" s="70">
        <f>'4b 58C 21-22 Persons Count'!Y57</f>
        <v>2E-3</v>
      </c>
      <c r="C60" s="71">
        <f t="shared" si="76"/>
        <v>3</v>
      </c>
      <c r="D60" s="53"/>
      <c r="E60" s="47" t="s">
        <v>104</v>
      </c>
      <c r="F60" s="70">
        <f>'4b 58C 21-22 Persons Count'!AB57</f>
        <v>1E-3</v>
      </c>
      <c r="G60" s="71">
        <f t="shared" si="28"/>
        <v>69</v>
      </c>
      <c r="H60" s="53"/>
      <c r="I60" s="47" t="s">
        <v>104</v>
      </c>
      <c r="J60" s="70">
        <f>'4b 58C 21-22 Persons Count'!W57</f>
        <v>1.8E-3</v>
      </c>
      <c r="K60" s="72">
        <f>ROUNDUP($K$5*J60,0)</f>
        <v>1682</v>
      </c>
      <c r="L60" s="72">
        <f>ROUND($L$5*J60,0)</f>
        <v>25</v>
      </c>
      <c r="M60" s="72">
        <f t="shared" si="20"/>
        <v>324</v>
      </c>
      <c r="N60" s="75">
        <f t="shared" ref="N60" si="96">SUM(K60:M60)</f>
        <v>2031</v>
      </c>
      <c r="O60" s="53"/>
      <c r="P60" s="47" t="s">
        <v>104</v>
      </c>
      <c r="Q60" s="70">
        <f>'4a 58C 20-21 Persons Count'!AS57</f>
        <v>1E-3</v>
      </c>
      <c r="R60" s="71">
        <f t="shared" si="10"/>
        <v>8</v>
      </c>
      <c r="S60" s="53"/>
      <c r="T60" s="47" t="s">
        <v>104</v>
      </c>
      <c r="U60" s="70">
        <f>'4a 58C 20-21 Persons Count'!AI57</f>
        <v>1.6999999999999999E-3</v>
      </c>
      <c r="V60" s="71">
        <f t="shared" ref="V60" si="97">ROUND($V$5*U60,0)</f>
        <v>1</v>
      </c>
      <c r="W60" s="71">
        <f t="shared" ref="W60" si="98">ROUND($W$5*U60,0)</f>
        <v>0</v>
      </c>
      <c r="X60" s="71">
        <f t="shared" ref="X60" si="99">ROUND($X$5*U60,0)</f>
        <v>0</v>
      </c>
      <c r="Y60" s="75">
        <f t="shared" ref="Y60" si="100">SUM(V60:X60)</f>
        <v>1</v>
      </c>
      <c r="Z60" s="53"/>
      <c r="AA60" s="71" t="s">
        <v>104</v>
      </c>
      <c r="AB60" s="21">
        <f t="shared" si="12"/>
        <v>1683</v>
      </c>
      <c r="AC60" s="21">
        <f t="shared" si="13"/>
        <v>25</v>
      </c>
      <c r="AD60" s="21">
        <f t="shared" si="14"/>
        <v>401</v>
      </c>
      <c r="AE60" s="64">
        <f t="shared" si="47"/>
        <v>2109</v>
      </c>
      <c r="AF60" s="77"/>
      <c r="AG60" s="25" t="s">
        <v>104</v>
      </c>
      <c r="AH60" s="80"/>
      <c r="AI60" s="79"/>
      <c r="AJ60" s="79"/>
      <c r="AK60" s="79"/>
      <c r="AL60" s="25"/>
      <c r="AM60" s="63"/>
      <c r="AN60" s="79" t="s">
        <v>104</v>
      </c>
      <c r="AO60" s="79"/>
      <c r="AP60" s="79"/>
      <c r="AQ60" s="79"/>
      <c r="AR60" s="79"/>
      <c r="AT60" s="79" t="s">
        <v>104</v>
      </c>
      <c r="AU60" s="79"/>
      <c r="AV60" s="79"/>
      <c r="AW60" s="79"/>
      <c r="AX60" s="79"/>
      <c r="AZ60" s="79" t="s">
        <v>104</v>
      </c>
      <c r="BA60" s="244"/>
      <c r="BB60" s="244"/>
      <c r="BC60" s="244"/>
      <c r="BD60" s="246"/>
      <c r="BE60" s="63"/>
      <c r="BF60" s="62">
        <f t="shared" si="4"/>
        <v>1686</v>
      </c>
      <c r="BG60" s="62">
        <f t="shared" si="5"/>
        <v>25</v>
      </c>
      <c r="BH60" s="62">
        <f t="shared" si="6"/>
        <v>401</v>
      </c>
      <c r="BI60" s="67">
        <f t="shared" si="40"/>
        <v>2112</v>
      </c>
      <c r="BJ60" s="98">
        <f t="shared" si="48"/>
        <v>0</v>
      </c>
    </row>
    <row r="61" spans="1:62" x14ac:dyDescent="0.25">
      <c r="A61" s="25" t="s">
        <v>105</v>
      </c>
      <c r="B61" s="25"/>
      <c r="C61" s="25"/>
      <c r="D61" s="53"/>
      <c r="E61" s="47" t="s">
        <v>105</v>
      </c>
      <c r="F61" s="70">
        <f>'4b 58C 21-22 Persons Count'!AB58</f>
        <v>1.6400000000000001E-2</v>
      </c>
      <c r="G61" s="71">
        <f t="shared" si="28"/>
        <v>1136</v>
      </c>
      <c r="H61" s="53"/>
      <c r="I61" s="25" t="s">
        <v>105</v>
      </c>
      <c r="J61" s="25"/>
      <c r="K61" s="79"/>
      <c r="L61" s="79"/>
      <c r="M61" s="79"/>
      <c r="N61" s="79"/>
      <c r="O61" s="53"/>
      <c r="P61" s="47" t="s">
        <v>105</v>
      </c>
      <c r="Q61" s="70">
        <f>'4a 58C 20-21 Persons Count'!AS58</f>
        <v>1.66E-2</v>
      </c>
      <c r="R61" s="71">
        <f t="shared" si="10"/>
        <v>133</v>
      </c>
      <c r="S61" s="53"/>
      <c r="T61" s="25" t="s">
        <v>105</v>
      </c>
      <c r="U61" s="25"/>
      <c r="V61" s="79"/>
      <c r="W61" s="79"/>
      <c r="X61" s="79"/>
      <c r="Y61" s="79"/>
      <c r="Z61" s="53"/>
      <c r="AA61" s="71" t="s">
        <v>105</v>
      </c>
      <c r="AB61" s="21">
        <f t="shared" si="12"/>
        <v>0</v>
      </c>
      <c r="AC61" s="21">
        <f t="shared" si="13"/>
        <v>0</v>
      </c>
      <c r="AD61" s="21">
        <f t="shared" si="14"/>
        <v>1269</v>
      </c>
      <c r="AE61" s="64">
        <f t="shared" si="47"/>
        <v>1269</v>
      </c>
      <c r="AF61" s="77"/>
      <c r="AG61" s="47" t="s">
        <v>105</v>
      </c>
      <c r="AH61" s="74">
        <f>'5b SFY 2324 CalWIN MO Share Tbl'!J23</f>
        <v>4.1300000000000003E-2</v>
      </c>
      <c r="AI61" s="71">
        <f t="shared" ref="AI61:AI62" si="101">ROUND(AH61*AI$5,0)</f>
        <v>12280</v>
      </c>
      <c r="AJ61" s="71">
        <f>ROUND(AH61*AJ$5,0)</f>
        <v>124</v>
      </c>
      <c r="AK61" s="71">
        <f>ROUND(AH61*AK$5,0)</f>
        <v>1206</v>
      </c>
      <c r="AL61" s="76">
        <f>SUM(AI61:AK61)</f>
        <v>13610</v>
      </c>
      <c r="AM61" s="63"/>
      <c r="AN61" s="83" t="s">
        <v>105</v>
      </c>
      <c r="AO61" s="75">
        <f>SUMIF('3a SFY 23-24 Q1 CalWIN MO'!$A:$A,'SFY 23-24 Q1 Share Calculations'!$AN61,'3a SFY 23-24 Q1 CalWIN MO'!X:X)</f>
        <v>1510</v>
      </c>
      <c r="AP61" s="75">
        <f>SUMIF('3a SFY 23-24 Q1 CalWIN MO'!$A:$A,'SFY 23-24 Q1 Share Calculations'!$AN61,'3a SFY 23-24 Q1 CalWIN MO'!Y:Y)</f>
        <v>15</v>
      </c>
      <c r="AQ61" s="75">
        <f>SUMIF('3a SFY 23-24 Q1 CalWIN MO'!$A:$A,'SFY 23-24 Q1 Share Calculations'!$AN61,'3a SFY 23-24 Q1 CalWIN MO'!Z:Z)</f>
        <v>148</v>
      </c>
      <c r="AR61" s="84">
        <f t="shared" ref="AR61" si="102">SUM(AO61:AQ61)</f>
        <v>1673</v>
      </c>
      <c r="AT61" s="83" t="s">
        <v>105</v>
      </c>
      <c r="AU61" s="75">
        <f>SUMIF('3b SFY 22-23 Q1 Adj-Late MO'!$A:$A,'SFY 23-24 Q1 Share Calculations'!$AT61,'3b SFY 22-23 Q1 Adj-Late MO'!X:X)</f>
        <v>0</v>
      </c>
      <c r="AV61" s="75">
        <f>SUMIF('3b SFY 22-23 Q1 Adj-Late MO'!$A:$A,'SFY 23-24 Q1 Share Calculations'!$AT61,'3b SFY 22-23 Q1 Adj-Late MO'!Y:Y)</f>
        <v>0</v>
      </c>
      <c r="AW61" s="75">
        <f>SUMIF('3b SFY 22-23 Q1 Adj-Late MO'!$A:$A,'SFY 23-24 Q1 Share Calculations'!$AT61,'3b SFY 22-23 Q1 Adj-Late MO'!Z:Z)</f>
        <v>0</v>
      </c>
      <c r="AX61" s="84">
        <f t="shared" ref="AX61:AX62" si="103">SUM(AU61:AW61)</f>
        <v>0</v>
      </c>
      <c r="AZ61" s="83" t="s">
        <v>105</v>
      </c>
      <c r="BA61" s="76">
        <f t="shared" ref="BA61:BA62" si="104">SUM(AI61,AO61,AU61)</f>
        <v>13790</v>
      </c>
      <c r="BB61" s="76">
        <f t="shared" ref="BB61:BB62" si="105">SUM(AJ61,AP61,AV61)</f>
        <v>139</v>
      </c>
      <c r="BC61" s="76">
        <f t="shared" ref="BC61:BC62" si="106">SUM(AK61,AQ61,AW61)</f>
        <v>1354</v>
      </c>
      <c r="BD61" s="84">
        <f t="shared" si="23"/>
        <v>15283</v>
      </c>
      <c r="BE61" s="63"/>
      <c r="BF61" s="62">
        <f t="shared" si="4"/>
        <v>13790</v>
      </c>
      <c r="BG61" s="62">
        <f t="shared" si="5"/>
        <v>139</v>
      </c>
      <c r="BH61" s="62">
        <f t="shared" si="6"/>
        <v>2623</v>
      </c>
      <c r="BI61" s="67">
        <f t="shared" si="40"/>
        <v>16552</v>
      </c>
      <c r="BJ61" s="98">
        <f t="shared" si="48"/>
        <v>0</v>
      </c>
    </row>
    <row r="62" spans="1:62" x14ac:dyDescent="0.25">
      <c r="A62" s="25" t="s">
        <v>106</v>
      </c>
      <c r="B62" s="25"/>
      <c r="C62" s="25"/>
      <c r="D62" s="53"/>
      <c r="E62" s="47" t="s">
        <v>106</v>
      </c>
      <c r="F62" s="70">
        <f>'4b 58C 21-22 Persons Count'!AB59</f>
        <v>4.3E-3</v>
      </c>
      <c r="G62" s="71">
        <f t="shared" si="28"/>
        <v>298</v>
      </c>
      <c r="H62" s="53"/>
      <c r="I62" s="25" t="s">
        <v>106</v>
      </c>
      <c r="J62" s="25"/>
      <c r="K62" s="79"/>
      <c r="L62" s="79"/>
      <c r="M62" s="79"/>
      <c r="N62" s="79"/>
      <c r="O62" s="53"/>
      <c r="P62" s="47" t="s">
        <v>106</v>
      </c>
      <c r="Q62" s="70">
        <f>'4a 58C 20-21 Persons Count'!AS59</f>
        <v>4.3E-3</v>
      </c>
      <c r="R62" s="71">
        <f t="shared" si="10"/>
        <v>35</v>
      </c>
      <c r="S62" s="53"/>
      <c r="T62" s="25" t="s">
        <v>106</v>
      </c>
      <c r="U62" s="25"/>
      <c r="V62" s="79"/>
      <c r="W62" s="79"/>
      <c r="X62" s="79"/>
      <c r="Y62" s="79"/>
      <c r="Z62" s="53"/>
      <c r="AA62" s="71" t="s">
        <v>106</v>
      </c>
      <c r="AB62" s="21">
        <f t="shared" si="12"/>
        <v>0</v>
      </c>
      <c r="AC62" s="21">
        <f t="shared" si="13"/>
        <v>0</v>
      </c>
      <c r="AD62" s="21">
        <f t="shared" si="14"/>
        <v>333</v>
      </c>
      <c r="AE62" s="64">
        <f t="shared" si="47"/>
        <v>333</v>
      </c>
      <c r="AF62" s="77"/>
      <c r="AG62" s="47" t="s">
        <v>106</v>
      </c>
      <c r="AH62" s="74">
        <f>'5b SFY 2324 CalWIN MO Share Tbl'!J24</f>
        <v>1.18E-2</v>
      </c>
      <c r="AI62" s="295">
        <f t="shared" si="101"/>
        <v>3508</v>
      </c>
      <c r="AJ62" s="295">
        <f>ROUND(AH62*AJ$5,0)</f>
        <v>35</v>
      </c>
      <c r="AK62" s="297">
        <f>ROUNDUP(AH62*AK$5,0)</f>
        <v>345</v>
      </c>
      <c r="AL62" s="76">
        <f>SUM(AI62:AK62)</f>
        <v>3888</v>
      </c>
      <c r="AM62" s="63"/>
      <c r="AN62" s="83" t="s">
        <v>106</v>
      </c>
      <c r="AO62" s="75">
        <f>SUMIF('3a SFY 23-24 Q1 CalWIN MO'!$A:$A,'SFY 23-24 Q1 Share Calculations'!$AN62,'3a SFY 23-24 Q1 CalWIN MO'!X:X)</f>
        <v>0</v>
      </c>
      <c r="AP62" s="75">
        <f>SUMIF('3a SFY 23-24 Q1 CalWIN MO'!$A:$A,'SFY 23-24 Q1 Share Calculations'!$AN62,'3a SFY 23-24 Q1 CalWIN MO'!Y:Y)</f>
        <v>0</v>
      </c>
      <c r="AQ62" s="75">
        <f>SUMIF('3a SFY 23-24 Q1 CalWIN MO'!$A:$A,'SFY 23-24 Q1 Share Calculations'!$AN62,'3a SFY 23-24 Q1 CalWIN MO'!Z:Z)</f>
        <v>0</v>
      </c>
      <c r="AR62" s="84">
        <f t="shared" ref="AR62" si="107">SUM(AO62:AQ62)</f>
        <v>0</v>
      </c>
      <c r="AT62" s="83" t="s">
        <v>106</v>
      </c>
      <c r="AU62" s="75">
        <f>SUMIF('3b SFY 22-23 Q1 Adj-Late MO'!$A:$A,'SFY 23-24 Q1 Share Calculations'!$AT62,'3b SFY 22-23 Q1 Adj-Late MO'!X:X)</f>
        <v>10</v>
      </c>
      <c r="AV62" s="75">
        <f>SUMIF('3b SFY 22-23 Q1 Adj-Late MO'!$A:$A,'SFY 23-24 Q1 Share Calculations'!$AT62,'3b SFY 22-23 Q1 Adj-Late MO'!Y:Y)</f>
        <v>0</v>
      </c>
      <c r="AW62" s="75">
        <f>SUMIF('3b SFY 22-23 Q1 Adj-Late MO'!$A:$A,'SFY 23-24 Q1 Share Calculations'!$AT62,'3b SFY 22-23 Q1 Adj-Late MO'!Z:Z)</f>
        <v>1</v>
      </c>
      <c r="AX62" s="84">
        <f t="shared" si="103"/>
        <v>11</v>
      </c>
      <c r="AZ62" s="83" t="s">
        <v>106</v>
      </c>
      <c r="BA62" s="76">
        <f t="shared" si="104"/>
        <v>3518</v>
      </c>
      <c r="BB62" s="76">
        <f t="shared" si="105"/>
        <v>35</v>
      </c>
      <c r="BC62" s="76">
        <f t="shared" si="106"/>
        <v>346</v>
      </c>
      <c r="BD62" s="84">
        <f t="shared" si="23"/>
        <v>3899</v>
      </c>
      <c r="BE62" s="63"/>
      <c r="BF62" s="62">
        <f t="shared" si="4"/>
        <v>3518</v>
      </c>
      <c r="BG62" s="62">
        <f t="shared" si="5"/>
        <v>35</v>
      </c>
      <c r="BH62" s="62">
        <f t="shared" si="6"/>
        <v>679</v>
      </c>
      <c r="BI62" s="67">
        <f t="shared" si="40"/>
        <v>4232</v>
      </c>
      <c r="BJ62" s="98">
        <f t="shared" si="48"/>
        <v>0</v>
      </c>
    </row>
    <row r="63" spans="1:62" x14ac:dyDescent="0.25">
      <c r="A63" s="47" t="s">
        <v>107</v>
      </c>
      <c r="B63" s="70">
        <f>'4b 58C 21-22 Persons Count'!Y60</f>
        <v>5.7999999999999996E-3</v>
      </c>
      <c r="C63" s="71">
        <f t="shared" si="76"/>
        <v>8</v>
      </c>
      <c r="D63" s="53"/>
      <c r="E63" s="47" t="s">
        <v>107</v>
      </c>
      <c r="F63" s="70">
        <f>'4b 58C 21-22 Persons Count'!AB60</f>
        <v>2.7000000000000001E-3</v>
      </c>
      <c r="G63" s="71">
        <f t="shared" si="28"/>
        <v>187</v>
      </c>
      <c r="H63" s="53"/>
      <c r="I63" s="47" t="s">
        <v>107</v>
      </c>
      <c r="J63" s="70">
        <f>'4b 58C 21-22 Persons Count'!W60</f>
        <v>4.5999999999999999E-3</v>
      </c>
      <c r="K63" s="71">
        <f t="shared" si="19"/>
        <v>4298</v>
      </c>
      <c r="L63" s="71">
        <f t="shared" si="15"/>
        <v>63</v>
      </c>
      <c r="M63" s="71">
        <f t="shared" si="20"/>
        <v>827</v>
      </c>
      <c r="N63" s="21">
        <f t="shared" ref="N63" si="108">SUM(K63:M63)</f>
        <v>5188</v>
      </c>
      <c r="O63" s="53"/>
      <c r="P63" s="47" t="s">
        <v>107</v>
      </c>
      <c r="Q63" s="70">
        <f>'4a 58C 20-21 Persons Count'!AS60</f>
        <v>2.7000000000000001E-3</v>
      </c>
      <c r="R63" s="71">
        <f t="shared" si="10"/>
        <v>22</v>
      </c>
      <c r="S63" s="53"/>
      <c r="T63" s="47" t="s">
        <v>107</v>
      </c>
      <c r="U63" s="70">
        <f>'4a 58C 20-21 Persons Count'!AI60</f>
        <v>4.4999999999999997E-3</v>
      </c>
      <c r="V63" s="71">
        <f t="shared" ref="V63" si="109">ROUND($V$5*U63,0)</f>
        <v>2</v>
      </c>
      <c r="W63" s="71">
        <f>ROUND($W$5*U63,0)</f>
        <v>0</v>
      </c>
      <c r="X63" s="71">
        <f t="shared" ref="X63" si="110">ROUND($X$5*U63,0)</f>
        <v>0</v>
      </c>
      <c r="Y63" s="21">
        <f t="shared" ref="Y63" si="111">SUM(V63:X63)</f>
        <v>2</v>
      </c>
      <c r="Z63" s="53"/>
      <c r="AA63" s="71" t="s">
        <v>107</v>
      </c>
      <c r="AB63" s="21">
        <f t="shared" si="12"/>
        <v>4300</v>
      </c>
      <c r="AC63" s="21">
        <f t="shared" si="13"/>
        <v>63</v>
      </c>
      <c r="AD63" s="21">
        <f t="shared" si="14"/>
        <v>1036</v>
      </c>
      <c r="AE63" s="64">
        <f t="shared" si="47"/>
        <v>5399</v>
      </c>
      <c r="AF63" s="77"/>
      <c r="AG63" s="25" t="s">
        <v>107</v>
      </c>
      <c r="AH63" s="78"/>
      <c r="AI63" s="25"/>
      <c r="AJ63" s="25"/>
      <c r="AK63" s="25"/>
      <c r="AL63" s="25"/>
      <c r="AM63" s="63"/>
      <c r="AN63" s="79" t="s">
        <v>107</v>
      </c>
      <c r="AO63" s="79"/>
      <c r="AP63" s="79"/>
      <c r="AQ63" s="79"/>
      <c r="AR63" s="79"/>
      <c r="AT63" s="79" t="s">
        <v>107</v>
      </c>
      <c r="AU63" s="79"/>
      <c r="AV63" s="79"/>
      <c r="AW63" s="79"/>
      <c r="AX63" s="79"/>
      <c r="AZ63" s="79" t="s">
        <v>107</v>
      </c>
      <c r="BA63" s="229"/>
      <c r="BB63" s="229"/>
      <c r="BC63" s="229"/>
      <c r="BD63" s="228"/>
      <c r="BE63" s="63"/>
      <c r="BF63" s="62">
        <f t="shared" si="4"/>
        <v>4308</v>
      </c>
      <c r="BG63" s="62">
        <f t="shared" si="5"/>
        <v>63</v>
      </c>
      <c r="BH63" s="62">
        <f t="shared" si="6"/>
        <v>1036</v>
      </c>
      <c r="BI63" s="67">
        <f t="shared" si="40"/>
        <v>5407</v>
      </c>
      <c r="BJ63" s="98">
        <f t="shared" si="48"/>
        <v>0</v>
      </c>
    </row>
    <row r="64" spans="1:62" x14ac:dyDescent="0.2">
      <c r="A64" s="31" t="s">
        <v>108</v>
      </c>
      <c r="B64" s="85">
        <f t="shared" ref="B64" si="112">SUM(B7:B63)</f>
        <v>1</v>
      </c>
      <c r="C64" s="64">
        <f>SUM(C6:C63)</f>
        <v>1305</v>
      </c>
      <c r="D64" s="65"/>
      <c r="E64" s="31" t="s">
        <v>108</v>
      </c>
      <c r="F64" s="86">
        <f>SUM(F6:F63)</f>
        <v>0.99999999999999978</v>
      </c>
      <c r="G64" s="64">
        <f>SUM(G6:G63)</f>
        <v>69286</v>
      </c>
      <c r="H64" s="65"/>
      <c r="I64" s="31" t="s">
        <v>108</v>
      </c>
      <c r="J64" s="86">
        <f>SUM(J6:J63)</f>
        <v>1.0000000000000002</v>
      </c>
      <c r="K64" s="64">
        <f t="shared" ref="K64" si="113">SUM(K6:K63)</f>
        <v>934441</v>
      </c>
      <c r="L64" s="64">
        <f>SUM(L6:L63)</f>
        <v>13685</v>
      </c>
      <c r="M64" s="64">
        <f>SUM(M6:M63)</f>
        <v>179833</v>
      </c>
      <c r="N64" s="64">
        <f>SUM(N6:N63)</f>
        <v>1127959</v>
      </c>
      <c r="O64" s="65"/>
      <c r="P64" s="31" t="s">
        <v>108</v>
      </c>
      <c r="Q64" s="86">
        <f>SUM(Q6:Q63)</f>
        <v>0.99999999999999978</v>
      </c>
      <c r="R64" s="64">
        <f>SUM(R6:R63)</f>
        <v>8103</v>
      </c>
      <c r="S64" s="65"/>
      <c r="T64" s="31" t="s">
        <v>108</v>
      </c>
      <c r="U64" s="86">
        <f>SUM(U6:U63)</f>
        <v>1.0000000000000002</v>
      </c>
      <c r="V64" s="64">
        <f t="shared" ref="V64" si="114">SUM(V6:V63)</f>
        <v>439</v>
      </c>
      <c r="W64" s="64">
        <f>SUM(W6:W63)</f>
        <v>8</v>
      </c>
      <c r="X64" s="64">
        <f>SUM(X6:X63)</f>
        <v>86</v>
      </c>
      <c r="Y64" s="64">
        <f>SUM(Y6:Y63)</f>
        <v>533</v>
      </c>
      <c r="Z64" s="65"/>
      <c r="AA64" s="64" t="s">
        <v>108</v>
      </c>
      <c r="AB64" s="64">
        <f t="shared" ref="AB64:AD64" si="115">SUM(AB6:AB63)</f>
        <v>934880</v>
      </c>
      <c r="AC64" s="64">
        <f t="shared" si="115"/>
        <v>13693</v>
      </c>
      <c r="AD64" s="64">
        <f t="shared" si="115"/>
        <v>257308</v>
      </c>
      <c r="AE64" s="64">
        <f t="shared" si="47"/>
        <v>1205881</v>
      </c>
      <c r="AF64" s="77"/>
      <c r="AG64" s="87" t="s">
        <v>138</v>
      </c>
      <c r="AH64" s="86">
        <f>SUM(AH6:AH63)</f>
        <v>0.99999999999999989</v>
      </c>
      <c r="AI64" s="87">
        <f>SUM(AI6:AI62)</f>
        <v>297327</v>
      </c>
      <c r="AJ64" s="87">
        <f t="shared" ref="AJ64:AL64" si="116">SUM(AJ6:AJ62)</f>
        <v>3005</v>
      </c>
      <c r="AK64" s="87">
        <f t="shared" si="116"/>
        <v>29211</v>
      </c>
      <c r="AL64" s="87">
        <f t="shared" si="116"/>
        <v>329543</v>
      </c>
      <c r="AM64" s="88"/>
      <c r="AN64" s="87" t="s">
        <v>138</v>
      </c>
      <c r="AO64" s="89">
        <f>SUM(AO6:AO63)</f>
        <v>136306</v>
      </c>
      <c r="AP64" s="89">
        <f t="shared" ref="AP64:AR64" si="117">SUM(AP6:AP63)</f>
        <v>1378</v>
      </c>
      <c r="AQ64" s="89">
        <f t="shared" si="117"/>
        <v>13394</v>
      </c>
      <c r="AR64" s="89">
        <f t="shared" si="117"/>
        <v>151078</v>
      </c>
      <c r="AS64" s="90"/>
      <c r="AT64" s="87" t="s">
        <v>138</v>
      </c>
      <c r="AU64" s="89">
        <f>SUM(AU6:AU63)</f>
        <v>93951</v>
      </c>
      <c r="AV64" s="89">
        <f t="shared" ref="AV64:AX64" si="118">SUM(AV6:AV63)</f>
        <v>1109</v>
      </c>
      <c r="AW64" s="89">
        <f t="shared" si="118"/>
        <v>8984</v>
      </c>
      <c r="AX64" s="89">
        <f t="shared" si="118"/>
        <v>104044</v>
      </c>
      <c r="AY64" s="90"/>
      <c r="AZ64" s="87" t="s">
        <v>138</v>
      </c>
      <c r="BA64" s="89">
        <f>SUM(BA6:BA63)</f>
        <v>527584</v>
      </c>
      <c r="BB64" s="89">
        <f t="shared" ref="BB64:BD64" si="119">SUM(BB6:BB63)</f>
        <v>5492</v>
      </c>
      <c r="BC64" s="89">
        <f t="shared" si="119"/>
        <v>51589</v>
      </c>
      <c r="BD64" s="89">
        <f t="shared" si="119"/>
        <v>584665</v>
      </c>
      <c r="BE64" s="63"/>
      <c r="BF64" s="62">
        <f>SUM(BF6:BF63)</f>
        <v>1463769</v>
      </c>
      <c r="BG64" s="62">
        <f t="shared" ref="BG64:BI64" si="120">SUM(BG6:BG63)</f>
        <v>19185</v>
      </c>
      <c r="BH64" s="62">
        <f t="shared" si="120"/>
        <v>308897</v>
      </c>
      <c r="BI64" s="62">
        <f t="shared" si="120"/>
        <v>1791851</v>
      </c>
      <c r="BJ64" s="98">
        <f t="shared" si="48"/>
        <v>0</v>
      </c>
    </row>
    <row r="65" spans="1:62" s="66" customFormat="1" ht="12" customHeight="1" x14ac:dyDescent="0.25">
      <c r="A65" s="54"/>
      <c r="B65" s="54"/>
      <c r="C65" s="68"/>
      <c r="D65" s="68"/>
      <c r="E65" s="54"/>
      <c r="F65" s="54"/>
      <c r="G65" s="68"/>
      <c r="H65" s="68"/>
      <c r="I65" s="54"/>
      <c r="J65" s="54"/>
      <c r="K65" s="68"/>
      <c r="L65" s="68"/>
      <c r="M65" s="68"/>
      <c r="N65" s="68"/>
      <c r="O65" s="68"/>
      <c r="P65" s="54"/>
      <c r="Q65" s="54"/>
      <c r="R65" s="68"/>
      <c r="S65" s="68"/>
      <c r="T65" s="54"/>
      <c r="U65" s="54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92"/>
      <c r="AH65" s="93"/>
      <c r="AI65" s="68"/>
      <c r="AJ65" s="68"/>
      <c r="AK65" s="68"/>
      <c r="AL65" s="68"/>
      <c r="AM65" s="91"/>
      <c r="AN65" s="91"/>
      <c r="AO65" s="68"/>
      <c r="AP65" s="68"/>
      <c r="AQ65" s="68"/>
      <c r="AR65" s="68"/>
      <c r="AS65" s="94"/>
      <c r="AT65" s="91"/>
      <c r="AU65" s="68"/>
      <c r="AV65" s="68"/>
      <c r="AW65" s="68"/>
      <c r="AX65" s="68"/>
      <c r="AY65" s="94"/>
      <c r="AZ65" s="94"/>
      <c r="BA65" s="68"/>
      <c r="BB65" s="68"/>
      <c r="BC65" s="68"/>
      <c r="BD65" s="68"/>
      <c r="BE65" s="91"/>
      <c r="BF65" s="95"/>
      <c r="BG65" s="68"/>
      <c r="BH65" s="68"/>
      <c r="BI65" s="95"/>
      <c r="BJ65" s="118"/>
    </row>
    <row r="66" spans="1:62" s="7" customFormat="1" ht="12.75" hidden="1" customHeight="1" x14ac:dyDescent="0.25">
      <c r="C66" s="98">
        <f t="shared" ref="C66" si="121">C64-C5</f>
        <v>0</v>
      </c>
      <c r="G66" s="98">
        <f t="shared" ref="G66" si="122">G64-G5</f>
        <v>0</v>
      </c>
      <c r="K66" s="98">
        <f t="shared" ref="K66:N66" si="123">K64-K5</f>
        <v>0</v>
      </c>
      <c r="L66" s="98">
        <f t="shared" si="123"/>
        <v>0</v>
      </c>
      <c r="M66" s="98">
        <f t="shared" si="123"/>
        <v>0</v>
      </c>
      <c r="N66" s="98">
        <f t="shared" si="123"/>
        <v>0</v>
      </c>
      <c r="R66" s="98">
        <f t="shared" ref="R66" si="124">R64-R5</f>
        <v>0</v>
      </c>
      <c r="V66" s="98">
        <f t="shared" ref="V66:Y66" si="125">V64-V5</f>
        <v>0</v>
      </c>
      <c r="W66" s="98">
        <f t="shared" si="125"/>
        <v>0</v>
      </c>
      <c r="X66" s="98">
        <f t="shared" si="125"/>
        <v>0</v>
      </c>
      <c r="Y66" s="98">
        <f t="shared" si="125"/>
        <v>0</v>
      </c>
      <c r="AB66" s="98">
        <f t="shared" ref="AB66:AE66" si="126">AB64-AB5</f>
        <v>0</v>
      </c>
      <c r="AC66" s="98">
        <f t="shared" si="126"/>
        <v>0</v>
      </c>
      <c r="AD66" s="98">
        <f t="shared" si="126"/>
        <v>0</v>
      </c>
      <c r="AE66" s="98">
        <f t="shared" si="126"/>
        <v>0</v>
      </c>
      <c r="AF66" s="23"/>
      <c r="AG66" s="96"/>
      <c r="AH66" s="96"/>
      <c r="AI66" s="98">
        <f t="shared" ref="AI66:AL66" si="127">AI64-AI5</f>
        <v>0</v>
      </c>
      <c r="AJ66" s="98">
        <f t="shared" si="127"/>
        <v>0</v>
      </c>
      <c r="AK66" s="98">
        <f t="shared" si="127"/>
        <v>0</v>
      </c>
      <c r="AL66" s="98">
        <f t="shared" si="127"/>
        <v>0</v>
      </c>
      <c r="AM66" s="96"/>
      <c r="AN66" s="96"/>
      <c r="AO66" s="98">
        <f t="shared" ref="AO66:AR66" si="128">AO64-AO5</f>
        <v>0</v>
      </c>
      <c r="AP66" s="98">
        <f t="shared" si="128"/>
        <v>0</v>
      </c>
      <c r="AQ66" s="98">
        <f t="shared" si="128"/>
        <v>0</v>
      </c>
      <c r="AR66" s="98">
        <f t="shared" si="128"/>
        <v>0</v>
      </c>
      <c r="AS66" s="45"/>
      <c r="AT66" s="96"/>
      <c r="AU66" s="98">
        <f t="shared" ref="AU66:AX66" si="129">AU64-AU5</f>
        <v>0</v>
      </c>
      <c r="AV66" s="98">
        <f t="shared" si="129"/>
        <v>0</v>
      </c>
      <c r="AW66" s="98">
        <f t="shared" si="129"/>
        <v>0</v>
      </c>
      <c r="AX66" s="98">
        <f t="shared" si="129"/>
        <v>0</v>
      </c>
      <c r="AY66" s="45"/>
      <c r="AZ66" s="45"/>
      <c r="BA66" s="98">
        <f t="shared" ref="BA66:BD66" si="130">BA64-BA5</f>
        <v>0</v>
      </c>
      <c r="BB66" s="98">
        <f t="shared" si="130"/>
        <v>0</v>
      </c>
      <c r="BC66" s="98">
        <f t="shared" si="130"/>
        <v>0</v>
      </c>
      <c r="BD66" s="98">
        <f t="shared" si="130"/>
        <v>0</v>
      </c>
      <c r="BE66" s="96"/>
      <c r="BF66" s="98">
        <f t="shared" ref="BF66:BI66" si="131">BF64-BF5</f>
        <v>0</v>
      </c>
      <c r="BG66" s="98">
        <f t="shared" si="131"/>
        <v>0</v>
      </c>
      <c r="BH66" s="98">
        <f t="shared" si="131"/>
        <v>0</v>
      </c>
      <c r="BI66" s="98">
        <f t="shared" si="131"/>
        <v>0</v>
      </c>
      <c r="BJ66" s="98"/>
    </row>
    <row r="67" spans="1:62" ht="15" hidden="1" customHeight="1" x14ac:dyDescent="0.25">
      <c r="A67" s="97"/>
      <c r="B67" s="97"/>
      <c r="C67" s="97"/>
      <c r="AF67" s="97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9"/>
      <c r="AT67" s="98"/>
      <c r="AU67" s="98"/>
      <c r="AV67" s="98"/>
      <c r="AW67" s="98"/>
      <c r="AX67" s="98"/>
      <c r="AY67" s="99"/>
      <c r="AZ67" s="99"/>
      <c r="BA67" s="100"/>
      <c r="BB67" s="99"/>
      <c r="BC67" s="99"/>
      <c r="BD67" s="99"/>
      <c r="BE67" s="97"/>
      <c r="BF67" s="101"/>
      <c r="BG67" s="101"/>
      <c r="BH67" s="101"/>
      <c r="BI67" s="102"/>
    </row>
    <row r="68" spans="1:62" ht="15" hidden="1" customHeight="1" x14ac:dyDescent="0.25">
      <c r="A68" s="171" t="s">
        <v>139</v>
      </c>
      <c r="B68" s="103"/>
      <c r="C68" s="172">
        <f>'SFY 23-24 Q1 Share by Project'!B63</f>
        <v>1305</v>
      </c>
      <c r="D68"/>
      <c r="G68" s="172"/>
      <c r="H68"/>
      <c r="I68"/>
      <c r="J68"/>
      <c r="K68" s="172"/>
      <c r="L68" s="172"/>
      <c r="M68" s="172"/>
      <c r="N68"/>
      <c r="O68"/>
      <c r="R68" s="172"/>
      <c r="S68"/>
      <c r="T68"/>
      <c r="U68"/>
      <c r="V68" s="172"/>
      <c r="W68" s="172"/>
      <c r="X68" s="172"/>
      <c r="Y68"/>
      <c r="Z68"/>
      <c r="AB68" s="172">
        <f>'SFY 23-24 Q1 Share by Project'!G63</f>
        <v>934880</v>
      </c>
      <c r="AC68" s="172">
        <f>'SFY 23-24 Q1 Share by Project'!H63</f>
        <v>13693</v>
      </c>
      <c r="AD68" s="172">
        <f>'SFY 23-24 Q1 Share by Project'!F63+'SFY 23-24 Q1 Share by Project'!I63</f>
        <v>257308</v>
      </c>
      <c r="AE68" s="171">
        <f>SUM(AB68:AD68)</f>
        <v>1205881</v>
      </c>
      <c r="AF68" s="103"/>
      <c r="AG68" s="69"/>
      <c r="AH68" s="292" t="s">
        <v>140</v>
      </c>
      <c r="AI68" s="69">
        <f>SUM('3a SFY 23-24 Q1 CalWIN MO'!X44:X46)</f>
        <v>297327</v>
      </c>
      <c r="AJ68" s="69">
        <f>SUM('3a SFY 23-24 Q1 CalWIN MO'!Y44:Y46)</f>
        <v>3005</v>
      </c>
      <c r="AK68" s="69">
        <f>SUM('3a SFY 23-24 Q1 CalWIN MO'!Z44:Z46)</f>
        <v>29211</v>
      </c>
      <c r="AL68" s="69"/>
      <c r="AM68" s="69"/>
      <c r="AN68" s="292" t="s">
        <v>140</v>
      </c>
      <c r="AO68" s="69">
        <f>SUM('3a SFY 23-24 Q1 CalWIN MO'!X4:X43)</f>
        <v>136306</v>
      </c>
      <c r="AP68" s="69">
        <f>SUM('3a SFY 23-24 Q1 CalWIN MO'!Y4:Y43)</f>
        <v>1378</v>
      </c>
      <c r="AQ68" s="69">
        <f>SUM('3a SFY 23-24 Q1 CalWIN MO'!Z4:Z43)</f>
        <v>13394</v>
      </c>
      <c r="AR68" s="69"/>
      <c r="AT68" s="292" t="s">
        <v>140</v>
      </c>
      <c r="AU68" s="69">
        <f>SUM('3b SFY 22-23 Q1 Adj-Late MO'!X4:X26)</f>
        <v>93951</v>
      </c>
      <c r="AV68" s="69">
        <f>SUM('3b SFY 22-23 Q1 Adj-Late MO'!Y4:Y26)</f>
        <v>1109</v>
      </c>
      <c r="AW68" s="69">
        <f>SUM('3b SFY 22-23 Q1 Adj-Late MO'!Z4:Z26)</f>
        <v>8984</v>
      </c>
      <c r="AX68" s="69">
        <f>SUM(AU68:AW68)</f>
        <v>104044</v>
      </c>
      <c r="BA68" s="172">
        <f>'SFY 23-24 Q1 Share by Project'!C63</f>
        <v>527584</v>
      </c>
      <c r="BB68" s="172">
        <f>'SFY 23-24 Q1 Share by Project'!D63</f>
        <v>5492</v>
      </c>
      <c r="BC68" s="172">
        <f>'SFY 23-24 Q1 Share by Project'!E63</f>
        <v>51589</v>
      </c>
      <c r="BD68" s="172">
        <f>SUM('SFY 23-24 Q1 Share by Project'!C63:E63)</f>
        <v>584665</v>
      </c>
      <c r="BE68" s="103"/>
      <c r="BF68" s="172">
        <f>'SFY 23-24 Q1 Share by Project'!J63</f>
        <v>1463769</v>
      </c>
      <c r="BG68" s="172">
        <f>'SFY 23-24 Q1 Share by Project'!K63</f>
        <v>19185</v>
      </c>
      <c r="BH68" s="172">
        <f>'SFY 23-24 Q1 Share by Project'!L63</f>
        <v>308897</v>
      </c>
      <c r="BI68" s="176">
        <f>SUM(BF68:BH68)</f>
        <v>1791851</v>
      </c>
      <c r="BJ68"/>
    </row>
    <row r="69" spans="1:62" ht="15" hidden="1" customHeight="1" x14ac:dyDescent="0.25">
      <c r="A69" s="172"/>
      <c r="B69" s="172"/>
      <c r="C69" s="175">
        <f>C64-C68</f>
        <v>0</v>
      </c>
      <c r="D69" s="173"/>
      <c r="E69" s="173"/>
      <c r="F69" s="173"/>
      <c r="G69" s="172"/>
      <c r="H69" s="173"/>
      <c r="I69" s="173"/>
      <c r="J69" s="173"/>
      <c r="K69" s="172"/>
      <c r="L69" s="172"/>
      <c r="M69" s="172"/>
      <c r="N69" s="173"/>
      <c r="O69" s="173"/>
      <c r="P69" s="173"/>
      <c r="Q69" s="173"/>
      <c r="R69" s="172"/>
      <c r="S69" s="173"/>
      <c r="T69" s="173"/>
      <c r="U69" s="173"/>
      <c r="V69" s="172"/>
      <c r="W69" s="172"/>
      <c r="X69" s="172"/>
      <c r="Y69" s="173"/>
      <c r="Z69" s="173"/>
      <c r="AB69" s="175">
        <f t="shared" ref="AB69:AE69" si="132">AB64-AB68</f>
        <v>0</v>
      </c>
      <c r="AC69" s="175">
        <f t="shared" si="132"/>
        <v>0</v>
      </c>
      <c r="AD69" s="175">
        <f t="shared" si="132"/>
        <v>0</v>
      </c>
      <c r="AE69" s="175">
        <f t="shared" si="132"/>
        <v>0</v>
      </c>
      <c r="AF69" s="69"/>
      <c r="AG69" s="172"/>
      <c r="AH69" s="172"/>
      <c r="AI69"/>
      <c r="AJ69"/>
      <c r="AK69"/>
      <c r="AL69"/>
      <c r="AM69"/>
      <c r="AN69"/>
      <c r="AO69"/>
      <c r="AP69"/>
      <c r="AQ69"/>
      <c r="AR69" s="172"/>
      <c r="AS69" s="174"/>
      <c r="AT69"/>
      <c r="AU69"/>
      <c r="AV69"/>
      <c r="AW69"/>
      <c r="AX69" s="172"/>
      <c r="AY69" s="174"/>
      <c r="AZ69" s="174"/>
      <c r="BA69" s="175">
        <f>SUM(BA64)-BA68</f>
        <v>0</v>
      </c>
      <c r="BB69" s="175">
        <f>SUM(BB64-BB68)</f>
        <v>0</v>
      </c>
      <c r="BC69" s="175">
        <f>SUM(BC64-BC68)</f>
        <v>0</v>
      </c>
      <c r="BD69" s="175">
        <f>SUM(BD64-BD68)</f>
        <v>0</v>
      </c>
      <c r="BE69" s="172"/>
      <c r="BF69" s="175">
        <f t="shared" ref="BF69:BH69" si="133">BF64-BF68</f>
        <v>0</v>
      </c>
      <c r="BG69" s="175">
        <f t="shared" si="133"/>
        <v>0</v>
      </c>
      <c r="BH69" s="175">
        <f t="shared" si="133"/>
        <v>0</v>
      </c>
      <c r="BI69" s="177">
        <f>SUM(BF69:BH69)</f>
        <v>0</v>
      </c>
      <c r="BJ69"/>
    </row>
    <row r="70" spans="1:62" x14ac:dyDescent="0.25">
      <c r="A70" s="69"/>
      <c r="B70" s="69"/>
      <c r="C70" s="69"/>
      <c r="AF70" s="69"/>
      <c r="AG70" s="69"/>
      <c r="AH70" s="69"/>
      <c r="AI70"/>
      <c r="AJ70"/>
      <c r="AK70"/>
      <c r="AL70"/>
      <c r="AM70"/>
      <c r="AN70"/>
      <c r="AO70"/>
      <c r="AP70"/>
      <c r="AQ70"/>
      <c r="AR70" s="69"/>
      <c r="AT70"/>
      <c r="AU70"/>
      <c r="AV70"/>
      <c r="AW70"/>
      <c r="AX70" s="69"/>
      <c r="AZ70" s="230"/>
      <c r="BE70" s="69"/>
      <c r="BF70" s="53"/>
      <c r="BG70" s="53"/>
      <c r="BH70" s="53"/>
      <c r="BI70" s="106"/>
    </row>
    <row r="71" spans="1:62" x14ac:dyDescent="0.25">
      <c r="AZ71" s="230"/>
      <c r="BA71" s="231"/>
      <c r="BB71" s="231"/>
      <c r="BC71" s="231"/>
      <c r="BD71" s="231"/>
    </row>
    <row r="72" spans="1:62" x14ac:dyDescent="0.25">
      <c r="AL72" s="242"/>
    </row>
  </sheetData>
  <mergeCells count="38">
    <mergeCell ref="AT3:AT5"/>
    <mergeCell ref="I2:N2"/>
    <mergeCell ref="I3:I5"/>
    <mergeCell ref="J3:J5"/>
    <mergeCell ref="AA3:AA5"/>
    <mergeCell ref="E2:G2"/>
    <mergeCell ref="P2:R2"/>
    <mergeCell ref="P3:P5"/>
    <mergeCell ref="Q3:Q5"/>
    <mergeCell ref="A2:C2"/>
    <mergeCell ref="E3:E5"/>
    <mergeCell ref="A3:A5"/>
    <mergeCell ref="B3:B5"/>
    <mergeCell ref="F3:F5"/>
    <mergeCell ref="A1:C1"/>
    <mergeCell ref="I1:N1"/>
    <mergeCell ref="E1:G1"/>
    <mergeCell ref="T1:Y1"/>
    <mergeCell ref="AT1:AX1"/>
    <mergeCell ref="AG1:AL1"/>
    <mergeCell ref="AN1:AR1"/>
    <mergeCell ref="P1:R1"/>
    <mergeCell ref="BF1:BI1"/>
    <mergeCell ref="BF2:BI2"/>
    <mergeCell ref="T2:Y2"/>
    <mergeCell ref="T3:T5"/>
    <mergeCell ref="U3:U5"/>
    <mergeCell ref="AA1:AE1"/>
    <mergeCell ref="AA2:AE2"/>
    <mergeCell ref="AG2:AL2"/>
    <mergeCell ref="AN2:AR2"/>
    <mergeCell ref="AZ2:BD2"/>
    <mergeCell ref="AZ1:BD1"/>
    <mergeCell ref="AT2:AX2"/>
    <mergeCell ref="AG3:AG5"/>
    <mergeCell ref="AH3:AH5"/>
    <mergeCell ref="AN3:AN5"/>
    <mergeCell ref="AZ3:AZ5"/>
  </mergeCells>
  <phoneticPr fontId="62" type="noConversion"/>
  <conditionalFormatting sqref="A65:D65 G65:O65 S65:AA65 R65:R66 AB65:AE66 BF65:BI66 G66">
    <cfRule type="cellIs" dxfId="24" priority="35" operator="lessThan">
      <formula>0</formula>
    </cfRule>
    <cfRule type="cellIs" dxfId="23" priority="36" operator="greaterThan">
      <formula>0</formula>
    </cfRule>
  </conditionalFormatting>
  <conditionalFormatting sqref="C66">
    <cfRule type="cellIs" dxfId="22" priority="33" operator="lessThan">
      <formula>0</formula>
    </cfRule>
    <cfRule type="cellIs" dxfId="21" priority="34" operator="greaterThan">
      <formula>0</formula>
    </cfRule>
  </conditionalFormatting>
  <conditionalFormatting sqref="K66:N66">
    <cfRule type="cellIs" dxfId="20" priority="9" operator="lessThan">
      <formula>0</formula>
    </cfRule>
    <cfRule type="cellIs" dxfId="19" priority="10" operator="greaterThan">
      <formula>0</formula>
    </cfRule>
  </conditionalFormatting>
  <conditionalFormatting sqref="V66:Y66">
    <cfRule type="cellIs" dxfId="18" priority="3" operator="lessThan">
      <formula>0</formula>
    </cfRule>
    <cfRule type="cellIs" dxfId="17" priority="4" operator="greaterThan">
      <formula>0</formula>
    </cfRule>
  </conditionalFormatting>
  <conditionalFormatting sqref="AF4:AF66">
    <cfRule type="cellIs" dxfId="16" priority="27" operator="lessThan">
      <formula>0</formula>
    </cfRule>
    <cfRule type="cellIs" dxfId="15" priority="28" operator="greaterThan">
      <formula>0</formula>
    </cfRule>
  </conditionalFormatting>
  <conditionalFormatting sqref="AI65:AL66">
    <cfRule type="cellIs" dxfId="14" priority="45" operator="lessThan">
      <formula>0</formula>
    </cfRule>
    <cfRule type="cellIs" dxfId="13" priority="46" operator="greaterThan">
      <formula>0</formula>
    </cfRule>
  </conditionalFormatting>
  <conditionalFormatting sqref="AM7:AM64">
    <cfRule type="cellIs" dxfId="12" priority="81" operator="lessThan">
      <formula>0</formula>
    </cfRule>
    <cfRule type="cellIs" dxfId="11" priority="82" operator="greaterThan">
      <formula>0</formula>
    </cfRule>
  </conditionalFormatting>
  <conditionalFormatting sqref="AO65:AR66">
    <cfRule type="cellIs" dxfId="10" priority="43" operator="lessThan">
      <formula>0</formula>
    </cfRule>
    <cfRule type="cellIs" dxfId="9" priority="44" operator="greaterThan">
      <formula>0</formula>
    </cfRule>
  </conditionalFormatting>
  <conditionalFormatting sqref="AU65:AX66">
    <cfRule type="cellIs" dxfId="8" priority="1" operator="lessThan">
      <formula>0</formula>
    </cfRule>
    <cfRule type="cellIs" dxfId="7" priority="2" operator="greaterThan">
      <formula>0</formula>
    </cfRule>
  </conditionalFormatting>
  <conditionalFormatting sqref="BA65:BD66">
    <cfRule type="cellIs" dxfId="6" priority="41" operator="lessThan">
      <formula>0</formula>
    </cfRule>
    <cfRule type="cellIs" dxfId="5" priority="42" operator="greaterThan">
      <formula>0</formula>
    </cfRule>
  </conditionalFormatting>
  <conditionalFormatting sqref="BJ5:BJ66 BE7:BE64">
    <cfRule type="cellIs" dxfId="4" priority="97" operator="lessThan">
      <formula>0</formula>
    </cfRule>
    <cfRule type="cellIs" dxfId="3" priority="98" operator="greaterThan">
      <formula>0</formula>
    </cfRule>
  </conditionalFormatting>
  <pageMargins left="0.25" right="0.25" top="0.75" bottom="0.75" header="0.3" footer="0.3"/>
  <pageSetup scale="13" orientation="landscape" r:id="rId1"/>
  <ignoredErrors>
    <ignoredError sqref="AC64 BG4 G59 G10:G38 G60:G64 L18:M25 BI6:BI63 BI5 L17:M17 R29:R31 R11 R10 R12 W24:X24 G39:G58 L29:M32 L26:M28 R59 R32:R47 X10" formula="1"/>
    <ignoredError sqref="AO4:AR4 BA4:BC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9CC2-F55B-4398-95C7-56E8B9385840}">
  <sheetPr>
    <tabColor rgb="FFD9E1F2"/>
  </sheetPr>
  <dimension ref="A1:O6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703125" defaultRowHeight="11.25" x14ac:dyDescent="0.2"/>
  <cols>
    <col min="1" max="1" width="14.42578125" style="317" bestFit="1" customWidth="1"/>
    <col min="2" max="2" width="14.28515625" style="330" bestFit="1" customWidth="1"/>
    <col min="3" max="3" width="14.7109375" style="330" customWidth="1"/>
    <col min="4" max="4" width="12.7109375" style="317" bestFit="1" customWidth="1"/>
    <col min="5" max="15" width="16.7109375" style="317" customWidth="1"/>
    <col min="16" max="16384" width="12.5703125" style="317"/>
  </cols>
  <sheetData>
    <row r="1" spans="1:15" ht="14.45" customHeight="1" x14ac:dyDescent="0.2">
      <c r="A1" s="184" t="s">
        <v>141</v>
      </c>
      <c r="B1" s="324" t="s">
        <v>142</v>
      </c>
    </row>
    <row r="2" spans="1:15" ht="14.45" customHeight="1" x14ac:dyDescent="0.2">
      <c r="A2" s="301" t="s">
        <v>143</v>
      </c>
      <c r="B2" s="321" t="s">
        <v>143</v>
      </c>
      <c r="C2" s="321" t="s">
        <v>143</v>
      </c>
      <c r="D2" s="325" t="s">
        <v>144</v>
      </c>
      <c r="E2" s="326" t="s">
        <v>144</v>
      </c>
      <c r="F2" s="326" t="s">
        <v>145</v>
      </c>
      <c r="G2" s="326" t="s">
        <v>145</v>
      </c>
      <c r="H2" s="326" t="s">
        <v>146</v>
      </c>
      <c r="I2" s="326" t="s">
        <v>146</v>
      </c>
      <c r="J2" s="326" t="s">
        <v>147</v>
      </c>
      <c r="K2" s="326" t="s">
        <v>147</v>
      </c>
      <c r="L2" s="326" t="s">
        <v>148</v>
      </c>
      <c r="M2" s="326" t="s">
        <v>148</v>
      </c>
      <c r="N2" s="326" t="s">
        <v>149</v>
      </c>
      <c r="O2" s="326" t="s">
        <v>149</v>
      </c>
    </row>
    <row r="3" spans="1:15" ht="14.45" customHeight="1" x14ac:dyDescent="0.2">
      <c r="A3" s="239" t="s">
        <v>150</v>
      </c>
      <c r="B3" s="240" t="s">
        <v>151</v>
      </c>
      <c r="C3" s="241" t="s">
        <v>152</v>
      </c>
      <c r="D3" s="327" t="s">
        <v>45</v>
      </c>
      <c r="E3" s="328" t="s">
        <v>163</v>
      </c>
      <c r="F3" s="327" t="s">
        <v>45</v>
      </c>
      <c r="G3" s="328" t="s">
        <v>163</v>
      </c>
      <c r="H3" s="327" t="s">
        <v>45</v>
      </c>
      <c r="I3" s="328" t="s">
        <v>163</v>
      </c>
      <c r="J3" s="327" t="s">
        <v>45</v>
      </c>
      <c r="K3" s="328" t="s">
        <v>163</v>
      </c>
      <c r="L3" s="327" t="s">
        <v>45</v>
      </c>
      <c r="M3" s="328" t="s">
        <v>163</v>
      </c>
      <c r="N3" s="327" t="s">
        <v>45</v>
      </c>
      <c r="O3" s="328" t="s">
        <v>163</v>
      </c>
    </row>
    <row r="4" spans="1:15" ht="14.45" customHeight="1" x14ac:dyDescent="0.2">
      <c r="A4" s="302" t="s">
        <v>85</v>
      </c>
      <c r="B4" s="322">
        <v>45222</v>
      </c>
      <c r="C4" s="323" t="s">
        <v>160</v>
      </c>
      <c r="D4" s="303">
        <v>8700</v>
      </c>
      <c r="E4" s="305">
        <v>8700</v>
      </c>
      <c r="F4" s="307">
        <v>4350</v>
      </c>
      <c r="G4" s="305">
        <v>4350</v>
      </c>
      <c r="H4" s="307">
        <v>3045</v>
      </c>
      <c r="I4" s="305">
        <v>3045</v>
      </c>
      <c r="J4" s="306">
        <v>0</v>
      </c>
      <c r="K4" s="304">
        <v>0</v>
      </c>
      <c r="L4" s="307">
        <v>1305</v>
      </c>
      <c r="M4" s="305">
        <v>1305</v>
      </c>
      <c r="N4" s="306">
        <v>0</v>
      </c>
      <c r="O4" s="304">
        <v>0</v>
      </c>
    </row>
    <row r="5" spans="1:15" ht="14.45" customHeight="1" x14ac:dyDescent="0.2">
      <c r="A5" s="331"/>
      <c r="B5" s="332"/>
      <c r="C5" s="332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</row>
    <row r="6" spans="1:15" x14ac:dyDescent="0.2">
      <c r="A6" s="331"/>
      <c r="B6" s="332"/>
      <c r="C6" s="332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8DC6-57D8-4685-A089-BDB8A4B7B09E}">
  <sheetPr>
    <tabColor rgb="FFC6E0B4"/>
  </sheetPr>
  <dimension ref="A1:AG93"/>
  <sheetViews>
    <sheetView zoomScaleNormal="10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ColWidth="12.5703125" defaultRowHeight="15.95" customHeight="1" x14ac:dyDescent="0.25"/>
  <cols>
    <col min="1" max="3" width="16.7109375" customWidth="1"/>
    <col min="4" max="33" width="13.7109375" customWidth="1"/>
  </cols>
  <sheetData>
    <row r="1" spans="1:33" ht="15.95" customHeight="1" x14ac:dyDescent="0.25">
      <c r="A1" s="184" t="s">
        <v>141</v>
      </c>
      <c r="B1" s="184" t="s">
        <v>161</v>
      </c>
    </row>
    <row r="2" spans="1:33" ht="15" x14ac:dyDescent="0.25">
      <c r="A2" s="236" t="s">
        <v>162</v>
      </c>
      <c r="B2" s="237" t="s">
        <v>162</v>
      </c>
      <c r="C2" s="238" t="s">
        <v>162</v>
      </c>
      <c r="D2" s="298" t="s">
        <v>144</v>
      </c>
      <c r="E2" s="298" t="s">
        <v>144</v>
      </c>
      <c r="F2" s="298" t="s">
        <v>144</v>
      </c>
      <c r="G2" s="298" t="s">
        <v>144</v>
      </c>
      <c r="H2" s="298" t="s">
        <v>144</v>
      </c>
      <c r="I2" s="298" t="s">
        <v>145</v>
      </c>
      <c r="J2" s="298" t="s">
        <v>145</v>
      </c>
      <c r="K2" s="298" t="s">
        <v>145</v>
      </c>
      <c r="L2" s="298" t="s">
        <v>145</v>
      </c>
      <c r="M2" s="298" t="s">
        <v>145</v>
      </c>
      <c r="N2" s="298" t="s">
        <v>146</v>
      </c>
      <c r="O2" s="298" t="s">
        <v>146</v>
      </c>
      <c r="P2" s="298" t="s">
        <v>146</v>
      </c>
      <c r="Q2" s="298" t="s">
        <v>146</v>
      </c>
      <c r="R2" s="298" t="s">
        <v>146</v>
      </c>
      <c r="S2" s="298" t="s">
        <v>147</v>
      </c>
      <c r="T2" s="298" t="s">
        <v>147</v>
      </c>
      <c r="U2" s="298" t="s">
        <v>147</v>
      </c>
      <c r="V2" s="298" t="s">
        <v>147</v>
      </c>
      <c r="W2" s="298" t="s">
        <v>147</v>
      </c>
      <c r="X2" s="298" t="s">
        <v>148</v>
      </c>
      <c r="Y2" s="298" t="s">
        <v>148</v>
      </c>
      <c r="Z2" s="298" t="s">
        <v>148</v>
      </c>
      <c r="AA2" s="298" t="s">
        <v>148</v>
      </c>
      <c r="AB2" s="298" t="s">
        <v>148</v>
      </c>
      <c r="AC2" s="298" t="s">
        <v>149</v>
      </c>
      <c r="AD2" s="298" t="s">
        <v>149</v>
      </c>
      <c r="AE2" s="298" t="s">
        <v>149</v>
      </c>
      <c r="AF2" s="298" t="s">
        <v>149</v>
      </c>
      <c r="AG2" s="298" t="s">
        <v>149</v>
      </c>
    </row>
    <row r="3" spans="1:33" ht="15" x14ac:dyDescent="0.25">
      <c r="A3" s="239" t="s">
        <v>150</v>
      </c>
      <c r="B3" s="240" t="s">
        <v>151</v>
      </c>
      <c r="C3" s="241" t="s">
        <v>152</v>
      </c>
      <c r="D3" s="298" t="s">
        <v>45</v>
      </c>
      <c r="E3" s="298" t="s">
        <v>46</v>
      </c>
      <c r="F3" s="298" t="s">
        <v>118</v>
      </c>
      <c r="G3" s="298" t="s">
        <v>159</v>
      </c>
      <c r="H3" s="299" t="s">
        <v>163</v>
      </c>
      <c r="I3" s="298" t="s">
        <v>45</v>
      </c>
      <c r="J3" s="298" t="s">
        <v>46</v>
      </c>
      <c r="K3" s="298" t="s">
        <v>118</v>
      </c>
      <c r="L3" s="298" t="s">
        <v>159</v>
      </c>
      <c r="M3" s="299" t="s">
        <v>163</v>
      </c>
      <c r="N3" s="298" t="s">
        <v>45</v>
      </c>
      <c r="O3" s="298" t="s">
        <v>46</v>
      </c>
      <c r="P3" s="298" t="s">
        <v>118</v>
      </c>
      <c r="Q3" s="298" t="s">
        <v>159</v>
      </c>
      <c r="R3" s="299" t="s">
        <v>163</v>
      </c>
      <c r="S3" s="298" t="s">
        <v>45</v>
      </c>
      <c r="T3" s="298" t="s">
        <v>46</v>
      </c>
      <c r="U3" s="298" t="s">
        <v>118</v>
      </c>
      <c r="V3" s="298" t="s">
        <v>159</v>
      </c>
      <c r="W3" s="299" t="s">
        <v>163</v>
      </c>
      <c r="X3" s="298" t="s">
        <v>45</v>
      </c>
      <c r="Y3" s="298" t="s">
        <v>46</v>
      </c>
      <c r="Z3" s="298" t="s">
        <v>118</v>
      </c>
      <c r="AA3" s="298" t="s">
        <v>159</v>
      </c>
      <c r="AB3" s="299" t="s">
        <v>163</v>
      </c>
      <c r="AC3" s="298" t="s">
        <v>45</v>
      </c>
      <c r="AD3" s="298" t="s">
        <v>46</v>
      </c>
      <c r="AE3" s="298" t="s">
        <v>118</v>
      </c>
      <c r="AF3" s="298" t="s">
        <v>159</v>
      </c>
      <c r="AG3" s="299" t="s">
        <v>163</v>
      </c>
    </row>
    <row r="4" spans="1:33" ht="15" x14ac:dyDescent="0.25">
      <c r="A4" s="289" t="s">
        <v>49</v>
      </c>
      <c r="B4" s="289" t="s">
        <v>254</v>
      </c>
      <c r="C4" s="289" t="s">
        <v>177</v>
      </c>
      <c r="D4" s="290">
        <v>42770</v>
      </c>
      <c r="E4" s="290">
        <v>2634</v>
      </c>
      <c r="F4" s="290">
        <v>747</v>
      </c>
      <c r="G4" s="290">
        <v>0</v>
      </c>
      <c r="H4" s="291">
        <v>98300</v>
      </c>
      <c r="I4" s="290">
        <v>21385</v>
      </c>
      <c r="J4" s="290">
        <v>0</v>
      </c>
      <c r="K4" s="290">
        <v>0</v>
      </c>
      <c r="L4" s="290">
        <v>0</v>
      </c>
      <c r="M4" s="291">
        <v>66424</v>
      </c>
      <c r="N4" s="290">
        <v>21385</v>
      </c>
      <c r="O4" s="290">
        <v>2634</v>
      </c>
      <c r="P4" s="290">
        <v>0</v>
      </c>
      <c r="Q4" s="290">
        <v>0</v>
      </c>
      <c r="R4" s="291">
        <v>24373</v>
      </c>
      <c r="S4" s="290">
        <v>0</v>
      </c>
      <c r="T4" s="290">
        <v>0</v>
      </c>
      <c r="U4" s="290">
        <v>0</v>
      </c>
      <c r="V4" s="290">
        <v>0</v>
      </c>
      <c r="W4" s="291">
        <v>6756</v>
      </c>
      <c r="X4" s="290">
        <v>0</v>
      </c>
      <c r="Y4" s="290">
        <v>0</v>
      </c>
      <c r="Z4" s="290">
        <v>747</v>
      </c>
      <c r="AA4" s="290">
        <v>0</v>
      </c>
      <c r="AB4" s="291">
        <v>747</v>
      </c>
      <c r="AC4" s="290">
        <v>0</v>
      </c>
      <c r="AD4" s="290">
        <v>0</v>
      </c>
      <c r="AE4" s="290">
        <v>0</v>
      </c>
      <c r="AF4" s="290">
        <v>0</v>
      </c>
      <c r="AG4" s="291">
        <v>0</v>
      </c>
    </row>
    <row r="5" spans="1:33" ht="15" x14ac:dyDescent="0.25">
      <c r="A5" s="289" t="s">
        <v>49</v>
      </c>
      <c r="B5" s="289" t="s">
        <v>255</v>
      </c>
      <c r="C5" s="289" t="s">
        <v>177</v>
      </c>
      <c r="D5" s="290">
        <v>-203</v>
      </c>
      <c r="E5" s="290">
        <v>-13</v>
      </c>
      <c r="F5" s="290">
        <v>-4</v>
      </c>
      <c r="G5" s="290">
        <v>0</v>
      </c>
      <c r="H5" s="291">
        <v>-467</v>
      </c>
      <c r="I5" s="290">
        <v>-101</v>
      </c>
      <c r="J5" s="290">
        <v>0</v>
      </c>
      <c r="K5" s="290">
        <v>0</v>
      </c>
      <c r="L5" s="290">
        <v>0</v>
      </c>
      <c r="M5" s="291">
        <v>-313</v>
      </c>
      <c r="N5" s="290">
        <v>-102</v>
      </c>
      <c r="O5" s="290">
        <v>-13</v>
      </c>
      <c r="P5" s="290">
        <v>0</v>
      </c>
      <c r="Q5" s="290">
        <v>0</v>
      </c>
      <c r="R5" s="291">
        <v>-117</v>
      </c>
      <c r="S5" s="290">
        <v>0</v>
      </c>
      <c r="T5" s="290">
        <v>0</v>
      </c>
      <c r="U5" s="290">
        <v>0</v>
      </c>
      <c r="V5" s="290">
        <v>0</v>
      </c>
      <c r="W5" s="291">
        <v>-33</v>
      </c>
      <c r="X5" s="290">
        <v>0</v>
      </c>
      <c r="Y5" s="290">
        <v>0</v>
      </c>
      <c r="Z5" s="290">
        <v>-4</v>
      </c>
      <c r="AA5" s="290">
        <v>0</v>
      </c>
      <c r="AB5" s="291">
        <v>-4</v>
      </c>
      <c r="AC5" s="290">
        <v>0</v>
      </c>
      <c r="AD5" s="290">
        <v>0</v>
      </c>
      <c r="AE5" s="290">
        <v>0</v>
      </c>
      <c r="AF5" s="290">
        <v>0</v>
      </c>
      <c r="AG5" s="291">
        <v>0</v>
      </c>
    </row>
    <row r="6" spans="1:33" ht="15" x14ac:dyDescent="0.25">
      <c r="A6" s="289" t="s">
        <v>49</v>
      </c>
      <c r="B6" s="289" t="s">
        <v>255</v>
      </c>
      <c r="C6" s="289" t="s">
        <v>178</v>
      </c>
      <c r="D6" s="290">
        <v>24988</v>
      </c>
      <c r="E6" s="290">
        <v>1539</v>
      </c>
      <c r="F6" s="290">
        <v>436</v>
      </c>
      <c r="G6" s="290">
        <v>0</v>
      </c>
      <c r="H6" s="291">
        <v>57430</v>
      </c>
      <c r="I6" s="290">
        <v>12494</v>
      </c>
      <c r="J6" s="290">
        <v>0</v>
      </c>
      <c r="K6" s="290">
        <v>0</v>
      </c>
      <c r="L6" s="290">
        <v>0</v>
      </c>
      <c r="M6" s="291">
        <v>38807</v>
      </c>
      <c r="N6" s="290">
        <v>12494</v>
      </c>
      <c r="O6" s="290">
        <v>1539</v>
      </c>
      <c r="P6" s="290">
        <v>0</v>
      </c>
      <c r="Q6" s="290">
        <v>0</v>
      </c>
      <c r="R6" s="291">
        <v>14240</v>
      </c>
      <c r="S6" s="290">
        <v>0</v>
      </c>
      <c r="T6" s="290">
        <v>0</v>
      </c>
      <c r="U6" s="290">
        <v>0</v>
      </c>
      <c r="V6" s="290">
        <v>0</v>
      </c>
      <c r="W6" s="291">
        <v>3947</v>
      </c>
      <c r="X6" s="290">
        <v>0</v>
      </c>
      <c r="Y6" s="290">
        <v>0</v>
      </c>
      <c r="Z6" s="290">
        <v>436</v>
      </c>
      <c r="AA6" s="290">
        <v>0</v>
      </c>
      <c r="AB6" s="291">
        <v>436</v>
      </c>
      <c r="AC6" s="290">
        <v>0</v>
      </c>
      <c r="AD6" s="290">
        <v>0</v>
      </c>
      <c r="AE6" s="290">
        <v>0</v>
      </c>
      <c r="AF6" s="290">
        <v>0</v>
      </c>
      <c r="AG6" s="291">
        <v>0</v>
      </c>
    </row>
    <row r="7" spans="1:33" ht="15" x14ac:dyDescent="0.25">
      <c r="A7" s="289" t="s">
        <v>49</v>
      </c>
      <c r="B7" s="289" t="s">
        <v>256</v>
      </c>
      <c r="C7" s="289" t="s">
        <v>160</v>
      </c>
      <c r="D7" s="290">
        <v>130427</v>
      </c>
      <c r="E7" s="290">
        <v>4919</v>
      </c>
      <c r="F7" s="290">
        <v>2933</v>
      </c>
      <c r="G7" s="290">
        <v>0</v>
      </c>
      <c r="H7" s="291">
        <v>415115</v>
      </c>
      <c r="I7" s="290">
        <v>65213</v>
      </c>
      <c r="J7" s="290">
        <v>0</v>
      </c>
      <c r="K7" s="290">
        <v>0</v>
      </c>
      <c r="L7" s="290">
        <v>0</v>
      </c>
      <c r="M7" s="291">
        <v>278295</v>
      </c>
      <c r="N7" s="290">
        <v>60104</v>
      </c>
      <c r="O7" s="290">
        <v>4844</v>
      </c>
      <c r="P7" s="290">
        <v>673</v>
      </c>
      <c r="Q7" s="290">
        <v>0</v>
      </c>
      <c r="R7" s="291">
        <v>67139</v>
      </c>
      <c r="S7" s="290">
        <v>0</v>
      </c>
      <c r="T7" s="290">
        <v>0</v>
      </c>
      <c r="U7" s="290">
        <v>0</v>
      </c>
      <c r="V7" s="290">
        <v>0</v>
      </c>
      <c r="W7" s="291">
        <v>62236</v>
      </c>
      <c r="X7" s="290">
        <v>5110</v>
      </c>
      <c r="Y7" s="290">
        <v>75</v>
      </c>
      <c r="Z7" s="290">
        <v>2260</v>
      </c>
      <c r="AA7" s="290">
        <v>0</v>
      </c>
      <c r="AB7" s="291">
        <v>7445</v>
      </c>
      <c r="AC7" s="290">
        <v>0</v>
      </c>
      <c r="AD7" s="290">
        <v>0</v>
      </c>
      <c r="AE7" s="290">
        <v>0</v>
      </c>
      <c r="AF7" s="290">
        <v>0</v>
      </c>
      <c r="AG7" s="291">
        <v>0</v>
      </c>
    </row>
    <row r="8" spans="1:33" ht="15" x14ac:dyDescent="0.25">
      <c r="A8" s="289" t="s">
        <v>52</v>
      </c>
      <c r="B8" s="289" t="s">
        <v>254</v>
      </c>
      <c r="C8" s="289" t="s">
        <v>177</v>
      </c>
      <c r="D8" s="290">
        <v>3502</v>
      </c>
      <c r="E8" s="290">
        <v>26</v>
      </c>
      <c r="F8" s="290">
        <v>101</v>
      </c>
      <c r="G8" s="290">
        <v>0</v>
      </c>
      <c r="H8" s="291">
        <v>15090</v>
      </c>
      <c r="I8" s="290">
        <v>1751</v>
      </c>
      <c r="J8" s="290">
        <v>0</v>
      </c>
      <c r="K8" s="290">
        <v>0</v>
      </c>
      <c r="L8" s="290">
        <v>0</v>
      </c>
      <c r="M8" s="291">
        <v>10081</v>
      </c>
      <c r="N8" s="290">
        <v>1440</v>
      </c>
      <c r="O8" s="290">
        <v>21</v>
      </c>
      <c r="P8" s="290">
        <v>41</v>
      </c>
      <c r="Q8" s="290">
        <v>0</v>
      </c>
      <c r="R8" s="291">
        <v>1558</v>
      </c>
      <c r="S8" s="290">
        <v>0</v>
      </c>
      <c r="T8" s="290">
        <v>0</v>
      </c>
      <c r="U8" s="290">
        <v>0</v>
      </c>
      <c r="V8" s="290">
        <v>0</v>
      </c>
      <c r="W8" s="291">
        <v>3075</v>
      </c>
      <c r="X8" s="290">
        <v>311</v>
      </c>
      <c r="Y8" s="290">
        <v>5</v>
      </c>
      <c r="Z8" s="290">
        <v>60</v>
      </c>
      <c r="AA8" s="290">
        <v>0</v>
      </c>
      <c r="AB8" s="291">
        <v>376</v>
      </c>
      <c r="AC8" s="290">
        <v>0</v>
      </c>
      <c r="AD8" s="290">
        <v>0</v>
      </c>
      <c r="AE8" s="290">
        <v>0</v>
      </c>
      <c r="AF8" s="290">
        <v>0</v>
      </c>
      <c r="AG8" s="291">
        <v>0</v>
      </c>
    </row>
    <row r="9" spans="1:33" ht="15" x14ac:dyDescent="0.25">
      <c r="A9" s="289" t="s">
        <v>52</v>
      </c>
      <c r="B9" s="289" t="s">
        <v>255</v>
      </c>
      <c r="C9" s="289" t="s">
        <v>178</v>
      </c>
      <c r="D9" s="290">
        <v>3517</v>
      </c>
      <c r="E9" s="290">
        <v>26</v>
      </c>
      <c r="F9" s="290">
        <v>102</v>
      </c>
      <c r="G9" s="290">
        <v>0</v>
      </c>
      <c r="H9" s="291">
        <v>15153</v>
      </c>
      <c r="I9" s="290">
        <v>1759</v>
      </c>
      <c r="J9" s="290">
        <v>0</v>
      </c>
      <c r="K9" s="290">
        <v>0</v>
      </c>
      <c r="L9" s="290">
        <v>0</v>
      </c>
      <c r="M9" s="291">
        <v>10124</v>
      </c>
      <c r="N9" s="290">
        <v>1446</v>
      </c>
      <c r="O9" s="290">
        <v>21</v>
      </c>
      <c r="P9" s="290">
        <v>41</v>
      </c>
      <c r="Q9" s="290">
        <v>0</v>
      </c>
      <c r="R9" s="291">
        <v>1564</v>
      </c>
      <c r="S9" s="290">
        <v>0</v>
      </c>
      <c r="T9" s="290">
        <v>0</v>
      </c>
      <c r="U9" s="290">
        <v>0</v>
      </c>
      <c r="V9" s="290">
        <v>0</v>
      </c>
      <c r="W9" s="291">
        <v>3087</v>
      </c>
      <c r="X9" s="290">
        <v>312</v>
      </c>
      <c r="Y9" s="290">
        <v>5</v>
      </c>
      <c r="Z9" s="290">
        <v>61</v>
      </c>
      <c r="AA9" s="290">
        <v>0</v>
      </c>
      <c r="AB9" s="291">
        <v>378</v>
      </c>
      <c r="AC9" s="290">
        <v>0</v>
      </c>
      <c r="AD9" s="290">
        <v>0</v>
      </c>
      <c r="AE9" s="290">
        <v>0</v>
      </c>
      <c r="AF9" s="290">
        <v>0</v>
      </c>
      <c r="AG9" s="291">
        <v>0</v>
      </c>
    </row>
    <row r="10" spans="1:33" ht="15" x14ac:dyDescent="0.25">
      <c r="A10" s="289" t="s">
        <v>52</v>
      </c>
      <c r="B10" s="289" t="s">
        <v>256</v>
      </c>
      <c r="C10" s="289" t="s">
        <v>160</v>
      </c>
      <c r="D10" s="290">
        <v>3279</v>
      </c>
      <c r="E10" s="290">
        <v>24</v>
      </c>
      <c r="F10" s="290">
        <v>95</v>
      </c>
      <c r="G10" s="290">
        <v>0</v>
      </c>
      <c r="H10" s="291">
        <v>14128</v>
      </c>
      <c r="I10" s="290">
        <v>1640</v>
      </c>
      <c r="J10" s="290">
        <v>0</v>
      </c>
      <c r="K10" s="290">
        <v>0</v>
      </c>
      <c r="L10" s="290">
        <v>0</v>
      </c>
      <c r="M10" s="291">
        <v>9439</v>
      </c>
      <c r="N10" s="290">
        <v>1347</v>
      </c>
      <c r="O10" s="290">
        <v>20</v>
      </c>
      <c r="P10" s="290">
        <v>39</v>
      </c>
      <c r="Q10" s="290">
        <v>0</v>
      </c>
      <c r="R10" s="291">
        <v>1458</v>
      </c>
      <c r="S10" s="290">
        <v>0</v>
      </c>
      <c r="T10" s="290">
        <v>0</v>
      </c>
      <c r="U10" s="290">
        <v>0</v>
      </c>
      <c r="V10" s="290">
        <v>0</v>
      </c>
      <c r="W10" s="291">
        <v>2879</v>
      </c>
      <c r="X10" s="290">
        <v>292</v>
      </c>
      <c r="Y10" s="290">
        <v>4</v>
      </c>
      <c r="Z10" s="290">
        <v>56</v>
      </c>
      <c r="AA10" s="290">
        <v>0</v>
      </c>
      <c r="AB10" s="291">
        <v>352</v>
      </c>
      <c r="AC10" s="290">
        <v>0</v>
      </c>
      <c r="AD10" s="290">
        <v>0</v>
      </c>
      <c r="AE10" s="290">
        <v>0</v>
      </c>
      <c r="AF10" s="290">
        <v>0</v>
      </c>
      <c r="AG10" s="291">
        <v>0</v>
      </c>
    </row>
    <row r="11" spans="1:33" ht="15" x14ac:dyDescent="0.25">
      <c r="A11" s="289" t="s">
        <v>56</v>
      </c>
      <c r="B11" s="289" t="s">
        <v>254</v>
      </c>
      <c r="C11" s="289" t="s">
        <v>177</v>
      </c>
      <c r="D11" s="290">
        <v>61050</v>
      </c>
      <c r="E11" s="290">
        <v>904</v>
      </c>
      <c r="F11" s="290">
        <v>1667</v>
      </c>
      <c r="G11" s="290">
        <v>0</v>
      </c>
      <c r="H11" s="291">
        <v>246134</v>
      </c>
      <c r="I11" s="290">
        <v>30525</v>
      </c>
      <c r="J11" s="290">
        <v>0</v>
      </c>
      <c r="K11" s="290">
        <v>0</v>
      </c>
      <c r="L11" s="290">
        <v>0</v>
      </c>
      <c r="M11" s="291">
        <v>164588</v>
      </c>
      <c r="N11" s="290">
        <v>25837</v>
      </c>
      <c r="O11" s="290">
        <v>835</v>
      </c>
      <c r="P11" s="290">
        <v>618</v>
      </c>
      <c r="Q11" s="290">
        <v>0</v>
      </c>
      <c r="R11" s="291">
        <v>28199</v>
      </c>
      <c r="S11" s="290">
        <v>0</v>
      </c>
      <c r="T11" s="290">
        <v>0</v>
      </c>
      <c r="U11" s="290">
        <v>0</v>
      </c>
      <c r="V11" s="290">
        <v>0</v>
      </c>
      <c r="W11" s="291">
        <v>47541</v>
      </c>
      <c r="X11" s="290">
        <v>4688</v>
      </c>
      <c r="Y11" s="290">
        <v>69</v>
      </c>
      <c r="Z11" s="290">
        <v>1049</v>
      </c>
      <c r="AA11" s="290">
        <v>0</v>
      </c>
      <c r="AB11" s="291">
        <v>5806</v>
      </c>
      <c r="AC11" s="290">
        <v>0</v>
      </c>
      <c r="AD11" s="290">
        <v>0</v>
      </c>
      <c r="AE11" s="290">
        <v>0</v>
      </c>
      <c r="AF11" s="290">
        <v>0</v>
      </c>
      <c r="AG11" s="291">
        <v>0</v>
      </c>
    </row>
    <row r="12" spans="1:33" ht="15" x14ac:dyDescent="0.25">
      <c r="A12" s="289" t="s">
        <v>56</v>
      </c>
      <c r="B12" s="289" t="s">
        <v>255</v>
      </c>
      <c r="C12" s="289" t="s">
        <v>177</v>
      </c>
      <c r="D12" s="290">
        <v>-35368</v>
      </c>
      <c r="E12" s="290">
        <v>-259</v>
      </c>
      <c r="F12" s="290">
        <v>-1021</v>
      </c>
      <c r="G12" s="290">
        <v>0</v>
      </c>
      <c r="H12" s="291">
        <v>-152381</v>
      </c>
      <c r="I12" s="290">
        <v>-17684</v>
      </c>
      <c r="J12" s="290">
        <v>0</v>
      </c>
      <c r="K12" s="290">
        <v>0</v>
      </c>
      <c r="L12" s="290">
        <v>0</v>
      </c>
      <c r="M12" s="291">
        <v>-101805</v>
      </c>
      <c r="N12" s="290">
        <v>-14534</v>
      </c>
      <c r="O12" s="290">
        <v>-213</v>
      </c>
      <c r="P12" s="290">
        <v>-415</v>
      </c>
      <c r="Q12" s="290">
        <v>0</v>
      </c>
      <c r="R12" s="291">
        <v>-15726</v>
      </c>
      <c r="S12" s="290">
        <v>0</v>
      </c>
      <c r="T12" s="290">
        <v>0</v>
      </c>
      <c r="U12" s="290">
        <v>0</v>
      </c>
      <c r="V12" s="290">
        <v>0</v>
      </c>
      <c r="W12" s="291">
        <v>-31048</v>
      </c>
      <c r="X12" s="290">
        <v>-3150</v>
      </c>
      <c r="Y12" s="290">
        <v>-46</v>
      </c>
      <c r="Z12" s="290">
        <v>-606</v>
      </c>
      <c r="AA12" s="290">
        <v>0</v>
      </c>
      <c r="AB12" s="291">
        <v>-3802</v>
      </c>
      <c r="AC12" s="290">
        <v>0</v>
      </c>
      <c r="AD12" s="290">
        <v>0</v>
      </c>
      <c r="AE12" s="290">
        <v>0</v>
      </c>
      <c r="AF12" s="290">
        <v>0</v>
      </c>
      <c r="AG12" s="291">
        <v>0</v>
      </c>
    </row>
    <row r="13" spans="1:33" ht="15" x14ac:dyDescent="0.25">
      <c r="A13" s="289" t="s">
        <v>56</v>
      </c>
      <c r="B13" s="289" t="s">
        <v>255</v>
      </c>
      <c r="C13" s="289" t="s">
        <v>178</v>
      </c>
      <c r="D13" s="290">
        <v>27252</v>
      </c>
      <c r="E13" s="290">
        <v>656</v>
      </c>
      <c r="F13" s="290">
        <v>691</v>
      </c>
      <c r="G13" s="290">
        <v>0</v>
      </c>
      <c r="H13" s="291">
        <v>100523</v>
      </c>
      <c r="I13" s="290">
        <v>13626</v>
      </c>
      <c r="J13" s="290">
        <v>0</v>
      </c>
      <c r="K13" s="290">
        <v>0</v>
      </c>
      <c r="L13" s="290">
        <v>0</v>
      </c>
      <c r="M13" s="291">
        <v>67305</v>
      </c>
      <c r="N13" s="290">
        <v>11948</v>
      </c>
      <c r="O13" s="290">
        <v>632</v>
      </c>
      <c r="P13" s="290">
        <v>221</v>
      </c>
      <c r="Q13" s="290">
        <v>0</v>
      </c>
      <c r="R13" s="291">
        <v>13171</v>
      </c>
      <c r="S13" s="290">
        <v>0</v>
      </c>
      <c r="T13" s="290">
        <v>0</v>
      </c>
      <c r="U13" s="290">
        <v>0</v>
      </c>
      <c r="V13" s="290">
        <v>0</v>
      </c>
      <c r="W13" s="291">
        <v>17875</v>
      </c>
      <c r="X13" s="290">
        <v>1678</v>
      </c>
      <c r="Y13" s="290">
        <v>24</v>
      </c>
      <c r="Z13" s="290">
        <v>470</v>
      </c>
      <c r="AA13" s="290">
        <v>0</v>
      </c>
      <c r="AB13" s="291">
        <v>2172</v>
      </c>
      <c r="AC13" s="290">
        <v>0</v>
      </c>
      <c r="AD13" s="290">
        <v>0</v>
      </c>
      <c r="AE13" s="290">
        <v>0</v>
      </c>
      <c r="AF13" s="290">
        <v>0</v>
      </c>
      <c r="AG13" s="291">
        <v>0</v>
      </c>
    </row>
    <row r="14" spans="1:33" ht="15" x14ac:dyDescent="0.25">
      <c r="A14" s="289" t="s">
        <v>56</v>
      </c>
      <c r="B14" s="289" t="s">
        <v>256</v>
      </c>
      <c r="C14" s="289" t="s">
        <v>160</v>
      </c>
      <c r="D14" s="290">
        <v>30950</v>
      </c>
      <c r="E14" s="290">
        <v>683</v>
      </c>
      <c r="F14" s="290">
        <v>798</v>
      </c>
      <c r="G14" s="290">
        <v>0</v>
      </c>
      <c r="H14" s="291">
        <v>116451</v>
      </c>
      <c r="I14" s="290">
        <v>15475</v>
      </c>
      <c r="J14" s="290">
        <v>0</v>
      </c>
      <c r="K14" s="290">
        <v>0</v>
      </c>
      <c r="L14" s="290">
        <v>0</v>
      </c>
      <c r="M14" s="291">
        <v>77946</v>
      </c>
      <c r="N14" s="290">
        <v>13468</v>
      </c>
      <c r="O14" s="290">
        <v>654</v>
      </c>
      <c r="P14" s="290">
        <v>265</v>
      </c>
      <c r="Q14" s="290">
        <v>0</v>
      </c>
      <c r="R14" s="291">
        <v>14817</v>
      </c>
      <c r="S14" s="290">
        <v>0</v>
      </c>
      <c r="T14" s="290">
        <v>0</v>
      </c>
      <c r="U14" s="290">
        <v>0</v>
      </c>
      <c r="V14" s="290">
        <v>0</v>
      </c>
      <c r="W14" s="291">
        <v>21119</v>
      </c>
      <c r="X14" s="290">
        <v>2007</v>
      </c>
      <c r="Y14" s="290">
        <v>29</v>
      </c>
      <c r="Z14" s="290">
        <v>533</v>
      </c>
      <c r="AA14" s="290">
        <v>0</v>
      </c>
      <c r="AB14" s="291">
        <v>2569</v>
      </c>
      <c r="AC14" s="290">
        <v>0</v>
      </c>
      <c r="AD14" s="290">
        <v>0</v>
      </c>
      <c r="AE14" s="290">
        <v>0</v>
      </c>
      <c r="AF14" s="290">
        <v>0</v>
      </c>
      <c r="AG14" s="291">
        <v>0</v>
      </c>
    </row>
    <row r="15" spans="1:33" ht="15" x14ac:dyDescent="0.25">
      <c r="A15" s="289" t="s">
        <v>59</v>
      </c>
      <c r="B15" s="289" t="s">
        <v>254</v>
      </c>
      <c r="C15" s="289" t="s">
        <v>177</v>
      </c>
      <c r="D15" s="290">
        <v>125610</v>
      </c>
      <c r="E15" s="290">
        <v>7737</v>
      </c>
      <c r="F15" s="290">
        <v>2194</v>
      </c>
      <c r="G15" s="290">
        <v>0</v>
      </c>
      <c r="H15" s="291">
        <v>288693</v>
      </c>
      <c r="I15" s="290">
        <v>62805</v>
      </c>
      <c r="J15" s="290">
        <v>0</v>
      </c>
      <c r="K15" s="290">
        <v>0</v>
      </c>
      <c r="L15" s="290">
        <v>0</v>
      </c>
      <c r="M15" s="291">
        <v>195078</v>
      </c>
      <c r="N15" s="290">
        <v>62805</v>
      </c>
      <c r="O15" s="290">
        <v>7737</v>
      </c>
      <c r="P15" s="290">
        <v>0</v>
      </c>
      <c r="Q15" s="290">
        <v>0</v>
      </c>
      <c r="R15" s="291">
        <v>71581</v>
      </c>
      <c r="S15" s="290">
        <v>0</v>
      </c>
      <c r="T15" s="290">
        <v>0</v>
      </c>
      <c r="U15" s="290">
        <v>0</v>
      </c>
      <c r="V15" s="290">
        <v>0</v>
      </c>
      <c r="W15" s="291">
        <v>19840</v>
      </c>
      <c r="X15" s="290">
        <v>0</v>
      </c>
      <c r="Y15" s="290">
        <v>0</v>
      </c>
      <c r="Z15" s="290">
        <v>2194</v>
      </c>
      <c r="AA15" s="290">
        <v>0</v>
      </c>
      <c r="AB15" s="291">
        <v>2194</v>
      </c>
      <c r="AC15" s="290">
        <v>0</v>
      </c>
      <c r="AD15" s="290">
        <v>0</v>
      </c>
      <c r="AE15" s="290">
        <v>0</v>
      </c>
      <c r="AF15" s="290">
        <v>0</v>
      </c>
      <c r="AG15" s="291">
        <v>0</v>
      </c>
    </row>
    <row r="16" spans="1:33" ht="15" x14ac:dyDescent="0.25">
      <c r="A16" s="289" t="s">
        <v>59</v>
      </c>
      <c r="B16" s="289" t="s">
        <v>255</v>
      </c>
      <c r="C16" s="289" t="s">
        <v>178</v>
      </c>
      <c r="D16" s="290">
        <v>155714</v>
      </c>
      <c r="E16" s="290">
        <v>9591</v>
      </c>
      <c r="F16" s="290">
        <v>2720</v>
      </c>
      <c r="G16" s="290">
        <v>0</v>
      </c>
      <c r="H16" s="291">
        <v>357881</v>
      </c>
      <c r="I16" s="290">
        <v>77857</v>
      </c>
      <c r="J16" s="290">
        <v>0</v>
      </c>
      <c r="K16" s="290">
        <v>0</v>
      </c>
      <c r="L16" s="290">
        <v>0</v>
      </c>
      <c r="M16" s="291">
        <v>241831</v>
      </c>
      <c r="N16" s="290">
        <v>77857</v>
      </c>
      <c r="O16" s="290">
        <v>9591</v>
      </c>
      <c r="P16" s="290">
        <v>0</v>
      </c>
      <c r="Q16" s="290">
        <v>0</v>
      </c>
      <c r="R16" s="291">
        <v>88736</v>
      </c>
      <c r="S16" s="290">
        <v>0</v>
      </c>
      <c r="T16" s="290">
        <v>0</v>
      </c>
      <c r="U16" s="290">
        <v>0</v>
      </c>
      <c r="V16" s="290">
        <v>0</v>
      </c>
      <c r="W16" s="291">
        <v>24594</v>
      </c>
      <c r="X16" s="290">
        <v>0</v>
      </c>
      <c r="Y16" s="290">
        <v>0</v>
      </c>
      <c r="Z16" s="290">
        <v>2720</v>
      </c>
      <c r="AA16" s="290">
        <v>0</v>
      </c>
      <c r="AB16" s="291">
        <v>2720</v>
      </c>
      <c r="AC16" s="290">
        <v>0</v>
      </c>
      <c r="AD16" s="290">
        <v>0</v>
      </c>
      <c r="AE16" s="290">
        <v>0</v>
      </c>
      <c r="AF16" s="290">
        <v>0</v>
      </c>
      <c r="AG16" s="291">
        <v>0</v>
      </c>
    </row>
    <row r="17" spans="1:33" ht="15" x14ac:dyDescent="0.25">
      <c r="A17" s="289" t="s">
        <v>59</v>
      </c>
      <c r="B17" s="289" t="s">
        <v>256</v>
      </c>
      <c r="C17" s="289" t="s">
        <v>160</v>
      </c>
      <c r="D17" s="290">
        <v>103632</v>
      </c>
      <c r="E17" s="290">
        <v>5912</v>
      </c>
      <c r="F17" s="290">
        <v>1909</v>
      </c>
      <c r="G17" s="290">
        <v>0</v>
      </c>
      <c r="H17" s="291">
        <v>255601</v>
      </c>
      <c r="I17" s="290">
        <v>51816</v>
      </c>
      <c r="J17" s="290">
        <v>0</v>
      </c>
      <c r="K17" s="290">
        <v>0</v>
      </c>
      <c r="L17" s="290">
        <v>0</v>
      </c>
      <c r="M17" s="291">
        <v>172431</v>
      </c>
      <c r="N17" s="290">
        <v>51044</v>
      </c>
      <c r="O17" s="290">
        <v>5901</v>
      </c>
      <c r="P17" s="290">
        <v>102</v>
      </c>
      <c r="Q17" s="290">
        <v>0</v>
      </c>
      <c r="R17" s="291">
        <v>57971</v>
      </c>
      <c r="S17" s="290">
        <v>0</v>
      </c>
      <c r="T17" s="290">
        <v>0</v>
      </c>
      <c r="U17" s="290">
        <v>0</v>
      </c>
      <c r="V17" s="290">
        <v>0</v>
      </c>
      <c r="W17" s="291">
        <v>22609</v>
      </c>
      <c r="X17" s="290">
        <v>772</v>
      </c>
      <c r="Y17" s="290">
        <v>11</v>
      </c>
      <c r="Z17" s="290">
        <v>1807</v>
      </c>
      <c r="AA17" s="290">
        <v>0</v>
      </c>
      <c r="AB17" s="291">
        <v>2590</v>
      </c>
      <c r="AC17" s="290">
        <v>0</v>
      </c>
      <c r="AD17" s="290">
        <v>0</v>
      </c>
      <c r="AE17" s="290">
        <v>0</v>
      </c>
      <c r="AF17" s="290">
        <v>0</v>
      </c>
      <c r="AG17" s="291">
        <v>0</v>
      </c>
    </row>
    <row r="18" spans="1:33" ht="15" x14ac:dyDescent="0.25">
      <c r="A18" s="289" t="s">
        <v>68</v>
      </c>
      <c r="B18" s="289" t="s">
        <v>254</v>
      </c>
      <c r="C18" s="289" t="s">
        <v>177</v>
      </c>
      <c r="D18" s="290">
        <v>134554</v>
      </c>
      <c r="E18" s="290">
        <v>1306</v>
      </c>
      <c r="F18" s="290">
        <v>3817</v>
      </c>
      <c r="G18" s="290">
        <v>0</v>
      </c>
      <c r="H18" s="291">
        <v>567858</v>
      </c>
      <c r="I18" s="290">
        <v>67277</v>
      </c>
      <c r="J18" s="290">
        <v>0</v>
      </c>
      <c r="K18" s="290">
        <v>0</v>
      </c>
      <c r="L18" s="290">
        <v>0</v>
      </c>
      <c r="M18" s="291">
        <v>379488</v>
      </c>
      <c r="N18" s="290">
        <v>55820</v>
      </c>
      <c r="O18" s="290">
        <v>1138</v>
      </c>
      <c r="P18" s="290">
        <v>1509</v>
      </c>
      <c r="Q18" s="290">
        <v>0</v>
      </c>
      <c r="R18" s="291">
        <v>60566</v>
      </c>
      <c r="S18" s="290">
        <v>0</v>
      </c>
      <c r="T18" s="290">
        <v>0</v>
      </c>
      <c r="U18" s="290">
        <v>0</v>
      </c>
      <c r="V18" s="290">
        <v>0</v>
      </c>
      <c r="W18" s="291">
        <v>113871</v>
      </c>
      <c r="X18" s="290">
        <v>11457</v>
      </c>
      <c r="Y18" s="290">
        <v>168</v>
      </c>
      <c r="Z18" s="290">
        <v>2308</v>
      </c>
      <c r="AA18" s="290">
        <v>0</v>
      </c>
      <c r="AB18" s="291">
        <v>13933</v>
      </c>
      <c r="AC18" s="290">
        <v>0</v>
      </c>
      <c r="AD18" s="290">
        <v>0</v>
      </c>
      <c r="AE18" s="290">
        <v>0</v>
      </c>
      <c r="AF18" s="290">
        <v>0</v>
      </c>
      <c r="AG18" s="291">
        <v>0</v>
      </c>
    </row>
    <row r="19" spans="1:33" ht="15" x14ac:dyDescent="0.25">
      <c r="A19" s="289" t="s">
        <v>68</v>
      </c>
      <c r="B19" s="289" t="s">
        <v>255</v>
      </c>
      <c r="C19" s="289" t="s">
        <v>178</v>
      </c>
      <c r="D19" s="290">
        <v>130047</v>
      </c>
      <c r="E19" s="290">
        <v>1296</v>
      </c>
      <c r="F19" s="290">
        <v>3682</v>
      </c>
      <c r="G19" s="290">
        <v>0</v>
      </c>
      <c r="H19" s="291">
        <v>547571</v>
      </c>
      <c r="I19" s="290">
        <v>65023</v>
      </c>
      <c r="J19" s="290">
        <v>0</v>
      </c>
      <c r="K19" s="290">
        <v>0</v>
      </c>
      <c r="L19" s="290">
        <v>0</v>
      </c>
      <c r="M19" s="291">
        <v>365942</v>
      </c>
      <c r="N19" s="290">
        <v>54007</v>
      </c>
      <c r="O19" s="290">
        <v>1135</v>
      </c>
      <c r="P19" s="290">
        <v>1451</v>
      </c>
      <c r="Q19" s="290">
        <v>0</v>
      </c>
      <c r="R19" s="291">
        <v>58617</v>
      </c>
      <c r="S19" s="290">
        <v>0</v>
      </c>
      <c r="T19" s="290">
        <v>0</v>
      </c>
      <c r="U19" s="290">
        <v>0</v>
      </c>
      <c r="V19" s="290">
        <v>0</v>
      </c>
      <c r="W19" s="291">
        <v>109603</v>
      </c>
      <c r="X19" s="290">
        <v>11017</v>
      </c>
      <c r="Y19" s="290">
        <v>161</v>
      </c>
      <c r="Z19" s="290">
        <v>2231</v>
      </c>
      <c r="AA19" s="290">
        <v>0</v>
      </c>
      <c r="AB19" s="291">
        <v>13409</v>
      </c>
      <c r="AC19" s="290">
        <v>0</v>
      </c>
      <c r="AD19" s="290">
        <v>0</v>
      </c>
      <c r="AE19" s="290">
        <v>0</v>
      </c>
      <c r="AF19" s="290">
        <v>0</v>
      </c>
      <c r="AG19" s="291">
        <v>0</v>
      </c>
    </row>
    <row r="20" spans="1:33" ht="15" x14ac:dyDescent="0.25">
      <c r="A20" s="289" t="s">
        <v>68</v>
      </c>
      <c r="B20" s="289" t="s">
        <v>256</v>
      </c>
      <c r="C20" s="289" t="s">
        <v>160</v>
      </c>
      <c r="D20" s="290">
        <v>128761</v>
      </c>
      <c r="E20" s="290">
        <v>1252</v>
      </c>
      <c r="F20" s="290">
        <v>3652</v>
      </c>
      <c r="G20" s="290">
        <v>0</v>
      </c>
      <c r="H20" s="291">
        <v>543311</v>
      </c>
      <c r="I20" s="290">
        <v>64380</v>
      </c>
      <c r="J20" s="290">
        <v>0</v>
      </c>
      <c r="K20" s="290">
        <v>0</v>
      </c>
      <c r="L20" s="290">
        <v>0</v>
      </c>
      <c r="M20" s="291">
        <v>363085</v>
      </c>
      <c r="N20" s="290">
        <v>53422</v>
      </c>
      <c r="O20" s="290">
        <v>1092</v>
      </c>
      <c r="P20" s="290">
        <v>1443</v>
      </c>
      <c r="Q20" s="290">
        <v>0</v>
      </c>
      <c r="R20" s="291">
        <v>57965</v>
      </c>
      <c r="S20" s="290">
        <v>0</v>
      </c>
      <c r="T20" s="290">
        <v>0</v>
      </c>
      <c r="U20" s="290">
        <v>0</v>
      </c>
      <c r="V20" s="290">
        <v>0</v>
      </c>
      <c r="W20" s="291">
        <v>108933</v>
      </c>
      <c r="X20" s="290">
        <v>10959</v>
      </c>
      <c r="Y20" s="290">
        <v>160</v>
      </c>
      <c r="Z20" s="290">
        <v>2209</v>
      </c>
      <c r="AA20" s="290">
        <v>0</v>
      </c>
      <c r="AB20" s="291">
        <v>13328</v>
      </c>
      <c r="AC20" s="290">
        <v>0</v>
      </c>
      <c r="AD20" s="290">
        <v>0</v>
      </c>
      <c r="AE20" s="290">
        <v>0</v>
      </c>
      <c r="AF20" s="290">
        <v>0</v>
      </c>
      <c r="AG20" s="291">
        <v>0</v>
      </c>
    </row>
    <row r="21" spans="1:33" ht="15" x14ac:dyDescent="0.25">
      <c r="A21" s="289" t="s">
        <v>73</v>
      </c>
      <c r="B21" s="289" t="s">
        <v>254</v>
      </c>
      <c r="C21" s="289" t="s">
        <v>177</v>
      </c>
      <c r="D21" s="290">
        <v>1423</v>
      </c>
      <c r="E21" s="290">
        <v>10</v>
      </c>
      <c r="F21" s="290">
        <v>41</v>
      </c>
      <c r="G21" s="290">
        <v>0</v>
      </c>
      <c r="H21" s="291">
        <v>6132</v>
      </c>
      <c r="I21" s="290">
        <v>712</v>
      </c>
      <c r="J21" s="290">
        <v>0</v>
      </c>
      <c r="K21" s="290">
        <v>0</v>
      </c>
      <c r="L21" s="290">
        <v>0</v>
      </c>
      <c r="M21" s="291">
        <v>4098</v>
      </c>
      <c r="N21" s="290">
        <v>585</v>
      </c>
      <c r="O21" s="290">
        <v>8</v>
      </c>
      <c r="P21" s="290">
        <v>17</v>
      </c>
      <c r="Q21" s="290">
        <v>0</v>
      </c>
      <c r="R21" s="291">
        <v>632</v>
      </c>
      <c r="S21" s="290">
        <v>0</v>
      </c>
      <c r="T21" s="290">
        <v>0</v>
      </c>
      <c r="U21" s="290">
        <v>0</v>
      </c>
      <c r="V21" s="290">
        <v>0</v>
      </c>
      <c r="W21" s="291">
        <v>1250</v>
      </c>
      <c r="X21" s="290">
        <v>126</v>
      </c>
      <c r="Y21" s="290">
        <v>2</v>
      </c>
      <c r="Z21" s="290">
        <v>24</v>
      </c>
      <c r="AA21" s="290">
        <v>0</v>
      </c>
      <c r="AB21" s="291">
        <v>152</v>
      </c>
      <c r="AC21" s="290">
        <v>0</v>
      </c>
      <c r="AD21" s="290">
        <v>0</v>
      </c>
      <c r="AE21" s="290">
        <v>0</v>
      </c>
      <c r="AF21" s="290">
        <v>0</v>
      </c>
      <c r="AG21" s="291">
        <v>0</v>
      </c>
    </row>
    <row r="22" spans="1:33" ht="15" x14ac:dyDescent="0.25">
      <c r="A22" s="289" t="s">
        <v>73</v>
      </c>
      <c r="B22" s="289" t="s">
        <v>255</v>
      </c>
      <c r="C22" s="289" t="s">
        <v>178</v>
      </c>
      <c r="D22" s="290">
        <v>2846</v>
      </c>
      <c r="E22" s="290">
        <v>21</v>
      </c>
      <c r="F22" s="290">
        <v>82</v>
      </c>
      <c r="G22" s="290">
        <v>0</v>
      </c>
      <c r="H22" s="291">
        <v>12264</v>
      </c>
      <c r="I22" s="290">
        <v>1423</v>
      </c>
      <c r="J22" s="290">
        <v>0</v>
      </c>
      <c r="K22" s="290">
        <v>0</v>
      </c>
      <c r="L22" s="290">
        <v>0</v>
      </c>
      <c r="M22" s="291">
        <v>8193</v>
      </c>
      <c r="N22" s="290">
        <v>1171</v>
      </c>
      <c r="O22" s="290">
        <v>17</v>
      </c>
      <c r="P22" s="290">
        <v>33</v>
      </c>
      <c r="Q22" s="290">
        <v>0</v>
      </c>
      <c r="R22" s="291">
        <v>1267</v>
      </c>
      <c r="S22" s="290">
        <v>0</v>
      </c>
      <c r="T22" s="290">
        <v>0</v>
      </c>
      <c r="U22" s="290">
        <v>0</v>
      </c>
      <c r="V22" s="290">
        <v>0</v>
      </c>
      <c r="W22" s="291">
        <v>2499</v>
      </c>
      <c r="X22" s="290">
        <v>252</v>
      </c>
      <c r="Y22" s="290">
        <v>4</v>
      </c>
      <c r="Z22" s="290">
        <v>49</v>
      </c>
      <c r="AA22" s="290">
        <v>0</v>
      </c>
      <c r="AB22" s="291">
        <v>305</v>
      </c>
      <c r="AC22" s="290">
        <v>0</v>
      </c>
      <c r="AD22" s="290">
        <v>0</v>
      </c>
      <c r="AE22" s="290">
        <v>0</v>
      </c>
      <c r="AF22" s="290">
        <v>0</v>
      </c>
      <c r="AG22" s="291">
        <v>0</v>
      </c>
    </row>
    <row r="23" spans="1:33" ht="15" x14ac:dyDescent="0.25">
      <c r="A23" s="289" t="s">
        <v>73</v>
      </c>
      <c r="B23" s="289" t="s">
        <v>256</v>
      </c>
      <c r="C23" s="289" t="s">
        <v>177</v>
      </c>
      <c r="D23" s="290">
        <v>1423</v>
      </c>
      <c r="E23" s="290">
        <v>10</v>
      </c>
      <c r="F23" s="290">
        <v>41</v>
      </c>
      <c r="G23" s="290">
        <v>0</v>
      </c>
      <c r="H23" s="291">
        <v>6132</v>
      </c>
      <c r="I23" s="290">
        <v>712</v>
      </c>
      <c r="J23" s="290">
        <v>0</v>
      </c>
      <c r="K23" s="290">
        <v>0</v>
      </c>
      <c r="L23" s="290">
        <v>0</v>
      </c>
      <c r="M23" s="291">
        <v>4098</v>
      </c>
      <c r="N23" s="290">
        <v>585</v>
      </c>
      <c r="O23" s="290">
        <v>8</v>
      </c>
      <c r="P23" s="290">
        <v>17</v>
      </c>
      <c r="Q23" s="290">
        <v>0</v>
      </c>
      <c r="R23" s="291">
        <v>632</v>
      </c>
      <c r="S23" s="290">
        <v>0</v>
      </c>
      <c r="T23" s="290">
        <v>0</v>
      </c>
      <c r="U23" s="290">
        <v>0</v>
      </c>
      <c r="V23" s="290">
        <v>0</v>
      </c>
      <c r="W23" s="291">
        <v>1250</v>
      </c>
      <c r="X23" s="290">
        <v>126</v>
      </c>
      <c r="Y23" s="290">
        <v>2</v>
      </c>
      <c r="Z23" s="290">
        <v>24</v>
      </c>
      <c r="AA23" s="290">
        <v>0</v>
      </c>
      <c r="AB23" s="291">
        <v>152</v>
      </c>
      <c r="AC23" s="290">
        <v>0</v>
      </c>
      <c r="AD23" s="290">
        <v>0</v>
      </c>
      <c r="AE23" s="290">
        <v>0</v>
      </c>
      <c r="AF23" s="290">
        <v>0</v>
      </c>
      <c r="AG23" s="291">
        <v>0</v>
      </c>
    </row>
    <row r="24" spans="1:33" ht="15" x14ac:dyDescent="0.25">
      <c r="A24" s="289" t="s">
        <v>73</v>
      </c>
      <c r="B24" s="289" t="s">
        <v>256</v>
      </c>
      <c r="C24" s="289" t="s">
        <v>160</v>
      </c>
      <c r="D24" s="290">
        <v>4270</v>
      </c>
      <c r="E24" s="290">
        <v>31</v>
      </c>
      <c r="F24" s="290">
        <v>123</v>
      </c>
      <c r="G24" s="290">
        <v>0</v>
      </c>
      <c r="H24" s="291">
        <v>18397</v>
      </c>
      <c r="I24" s="290">
        <v>2135</v>
      </c>
      <c r="J24" s="290">
        <v>0</v>
      </c>
      <c r="K24" s="290">
        <v>0</v>
      </c>
      <c r="L24" s="290">
        <v>0</v>
      </c>
      <c r="M24" s="291">
        <v>12291</v>
      </c>
      <c r="N24" s="290">
        <v>1755</v>
      </c>
      <c r="O24" s="290">
        <v>26</v>
      </c>
      <c r="P24" s="290">
        <v>50</v>
      </c>
      <c r="Q24" s="290">
        <v>0</v>
      </c>
      <c r="R24" s="291">
        <v>1899</v>
      </c>
      <c r="S24" s="290">
        <v>0</v>
      </c>
      <c r="T24" s="290">
        <v>0</v>
      </c>
      <c r="U24" s="290">
        <v>0</v>
      </c>
      <c r="V24" s="290">
        <v>0</v>
      </c>
      <c r="W24" s="291">
        <v>3749</v>
      </c>
      <c r="X24" s="290">
        <v>380</v>
      </c>
      <c r="Y24" s="290">
        <v>5</v>
      </c>
      <c r="Z24" s="290">
        <v>73</v>
      </c>
      <c r="AA24" s="290">
        <v>0</v>
      </c>
      <c r="AB24" s="291">
        <v>458</v>
      </c>
      <c r="AC24" s="290">
        <v>0</v>
      </c>
      <c r="AD24" s="290">
        <v>0</v>
      </c>
      <c r="AE24" s="290">
        <v>0</v>
      </c>
      <c r="AF24" s="290">
        <v>0</v>
      </c>
      <c r="AG24" s="291">
        <v>0</v>
      </c>
    </row>
    <row r="25" spans="1:33" ht="15" x14ac:dyDescent="0.25">
      <c r="A25" s="289" t="s">
        <v>76</v>
      </c>
      <c r="B25" s="289" t="s">
        <v>254</v>
      </c>
      <c r="C25" s="289" t="s">
        <v>177</v>
      </c>
      <c r="D25" s="290">
        <v>7872</v>
      </c>
      <c r="E25" s="290">
        <v>306</v>
      </c>
      <c r="F25" s="290">
        <v>175</v>
      </c>
      <c r="G25" s="290">
        <v>0</v>
      </c>
      <c r="H25" s="291">
        <v>24703</v>
      </c>
      <c r="I25" s="290">
        <v>3936</v>
      </c>
      <c r="J25" s="290">
        <v>0</v>
      </c>
      <c r="K25" s="290">
        <v>0</v>
      </c>
      <c r="L25" s="290">
        <v>0</v>
      </c>
      <c r="M25" s="291">
        <v>16583</v>
      </c>
      <c r="N25" s="290">
        <v>3643</v>
      </c>
      <c r="O25" s="290">
        <v>302</v>
      </c>
      <c r="P25" s="290">
        <v>39</v>
      </c>
      <c r="Q25" s="290">
        <v>0</v>
      </c>
      <c r="R25" s="291">
        <v>4075</v>
      </c>
      <c r="S25" s="290">
        <v>0</v>
      </c>
      <c r="T25" s="290">
        <v>0</v>
      </c>
      <c r="U25" s="290">
        <v>0</v>
      </c>
      <c r="V25" s="290">
        <v>0</v>
      </c>
      <c r="W25" s="291">
        <v>3612</v>
      </c>
      <c r="X25" s="290">
        <v>293</v>
      </c>
      <c r="Y25" s="290">
        <v>4</v>
      </c>
      <c r="Z25" s="290">
        <v>136</v>
      </c>
      <c r="AA25" s="290">
        <v>0</v>
      </c>
      <c r="AB25" s="291">
        <v>433</v>
      </c>
      <c r="AC25" s="290">
        <v>0</v>
      </c>
      <c r="AD25" s="290">
        <v>0</v>
      </c>
      <c r="AE25" s="290">
        <v>0</v>
      </c>
      <c r="AF25" s="290">
        <v>0</v>
      </c>
      <c r="AG25" s="291">
        <v>0</v>
      </c>
    </row>
    <row r="26" spans="1:33" ht="15" x14ac:dyDescent="0.25">
      <c r="A26" s="289" t="s">
        <v>76</v>
      </c>
      <c r="B26" s="289" t="s">
        <v>255</v>
      </c>
      <c r="C26" s="289" t="s">
        <v>178</v>
      </c>
      <c r="D26" s="290">
        <v>10206</v>
      </c>
      <c r="E26" s="290">
        <v>306</v>
      </c>
      <c r="F26" s="290">
        <v>246</v>
      </c>
      <c r="G26" s="290">
        <v>0</v>
      </c>
      <c r="H26" s="291">
        <v>35377</v>
      </c>
      <c r="I26" s="290">
        <v>5103</v>
      </c>
      <c r="J26" s="290">
        <v>0</v>
      </c>
      <c r="K26" s="290">
        <v>0</v>
      </c>
      <c r="L26" s="290">
        <v>0</v>
      </c>
      <c r="M26" s="291">
        <v>23701</v>
      </c>
      <c r="N26" s="290">
        <v>4576</v>
      </c>
      <c r="O26" s="290">
        <v>298</v>
      </c>
      <c r="P26" s="290">
        <v>69</v>
      </c>
      <c r="Q26" s="290">
        <v>0</v>
      </c>
      <c r="R26" s="291">
        <v>5074</v>
      </c>
      <c r="S26" s="290">
        <v>0</v>
      </c>
      <c r="T26" s="290">
        <v>0</v>
      </c>
      <c r="U26" s="290">
        <v>0</v>
      </c>
      <c r="V26" s="290">
        <v>0</v>
      </c>
      <c r="W26" s="291">
        <v>5890</v>
      </c>
      <c r="X26" s="290">
        <v>527</v>
      </c>
      <c r="Y26" s="290">
        <v>8</v>
      </c>
      <c r="Z26" s="290">
        <v>177</v>
      </c>
      <c r="AA26" s="290">
        <v>0</v>
      </c>
      <c r="AB26" s="291">
        <v>712</v>
      </c>
      <c r="AC26" s="290">
        <v>0</v>
      </c>
      <c r="AD26" s="290">
        <v>0</v>
      </c>
      <c r="AE26" s="290">
        <v>0</v>
      </c>
      <c r="AF26" s="290">
        <v>0</v>
      </c>
      <c r="AG26" s="291">
        <v>0</v>
      </c>
    </row>
    <row r="27" spans="1:33" ht="15" x14ac:dyDescent="0.25">
      <c r="A27" s="289" t="s">
        <v>76</v>
      </c>
      <c r="B27" s="289" t="s">
        <v>256</v>
      </c>
      <c r="C27" s="289" t="s">
        <v>160</v>
      </c>
      <c r="D27" s="290">
        <v>11244</v>
      </c>
      <c r="E27" s="290">
        <v>429</v>
      </c>
      <c r="F27" s="290">
        <v>252</v>
      </c>
      <c r="G27" s="290">
        <v>0</v>
      </c>
      <c r="H27" s="291">
        <v>35629</v>
      </c>
      <c r="I27" s="290">
        <v>5622</v>
      </c>
      <c r="J27" s="290">
        <v>0</v>
      </c>
      <c r="K27" s="290">
        <v>0</v>
      </c>
      <c r="L27" s="290">
        <v>0</v>
      </c>
      <c r="M27" s="291">
        <v>23913</v>
      </c>
      <c r="N27" s="290">
        <v>5190</v>
      </c>
      <c r="O27" s="290">
        <v>422</v>
      </c>
      <c r="P27" s="290">
        <v>57</v>
      </c>
      <c r="Q27" s="290">
        <v>0</v>
      </c>
      <c r="R27" s="291">
        <v>5800</v>
      </c>
      <c r="S27" s="290">
        <v>0</v>
      </c>
      <c r="T27" s="290">
        <v>0</v>
      </c>
      <c r="U27" s="290">
        <v>0</v>
      </c>
      <c r="V27" s="290">
        <v>0</v>
      </c>
      <c r="W27" s="291">
        <v>5282</v>
      </c>
      <c r="X27" s="290">
        <v>432</v>
      </c>
      <c r="Y27" s="290">
        <v>7</v>
      </c>
      <c r="Z27" s="290">
        <v>195</v>
      </c>
      <c r="AA27" s="290">
        <v>0</v>
      </c>
      <c r="AB27" s="291">
        <v>634</v>
      </c>
      <c r="AC27" s="290">
        <v>0</v>
      </c>
      <c r="AD27" s="290">
        <v>0</v>
      </c>
      <c r="AE27" s="290">
        <v>0</v>
      </c>
      <c r="AF27" s="290">
        <v>0</v>
      </c>
      <c r="AG27" s="291">
        <v>0</v>
      </c>
    </row>
    <row r="28" spans="1:33" ht="15" x14ac:dyDescent="0.25">
      <c r="A28" s="289" t="s">
        <v>79</v>
      </c>
      <c r="B28" s="289" t="s">
        <v>254</v>
      </c>
      <c r="C28" s="289" t="s">
        <v>177</v>
      </c>
      <c r="D28" s="290">
        <v>185967</v>
      </c>
      <c r="E28" s="290">
        <v>5291</v>
      </c>
      <c r="F28" s="290">
        <v>4542</v>
      </c>
      <c r="G28" s="290">
        <v>0</v>
      </c>
      <c r="H28" s="291">
        <v>655702</v>
      </c>
      <c r="I28" s="290">
        <v>92984</v>
      </c>
      <c r="J28" s="290">
        <v>0</v>
      </c>
      <c r="K28" s="290">
        <v>0</v>
      </c>
      <c r="L28" s="290">
        <v>0</v>
      </c>
      <c r="M28" s="291">
        <v>438581</v>
      </c>
      <c r="N28" s="290">
        <v>82869</v>
      </c>
      <c r="O28" s="290">
        <v>5143</v>
      </c>
      <c r="P28" s="290">
        <v>1332</v>
      </c>
      <c r="Q28" s="290">
        <v>0</v>
      </c>
      <c r="R28" s="291">
        <v>91754</v>
      </c>
      <c r="S28" s="290">
        <v>0</v>
      </c>
      <c r="T28" s="290">
        <v>0</v>
      </c>
      <c r="U28" s="290">
        <v>0</v>
      </c>
      <c r="V28" s="290">
        <v>0</v>
      </c>
      <c r="W28" s="291">
        <v>111895</v>
      </c>
      <c r="X28" s="290">
        <v>10114</v>
      </c>
      <c r="Y28" s="290">
        <v>148</v>
      </c>
      <c r="Z28" s="290">
        <v>3210</v>
      </c>
      <c r="AA28" s="290">
        <v>0</v>
      </c>
      <c r="AB28" s="291">
        <v>13472</v>
      </c>
      <c r="AC28" s="290">
        <v>0</v>
      </c>
      <c r="AD28" s="290">
        <v>0</v>
      </c>
      <c r="AE28" s="290">
        <v>0</v>
      </c>
      <c r="AF28" s="290">
        <v>0</v>
      </c>
      <c r="AG28" s="291">
        <v>0</v>
      </c>
    </row>
    <row r="29" spans="1:33" ht="15" x14ac:dyDescent="0.25">
      <c r="A29" s="289" t="s">
        <v>79</v>
      </c>
      <c r="B29" s="289" t="s">
        <v>255</v>
      </c>
      <c r="C29" s="289" t="s">
        <v>178</v>
      </c>
      <c r="D29" s="290">
        <v>166178</v>
      </c>
      <c r="E29" s="290">
        <v>3920</v>
      </c>
      <c r="F29" s="290">
        <v>4229</v>
      </c>
      <c r="G29" s="290">
        <v>0</v>
      </c>
      <c r="H29" s="291">
        <v>615853</v>
      </c>
      <c r="I29" s="290">
        <v>83089</v>
      </c>
      <c r="J29" s="290">
        <v>0</v>
      </c>
      <c r="K29" s="290">
        <v>0</v>
      </c>
      <c r="L29" s="290">
        <v>0</v>
      </c>
      <c r="M29" s="291">
        <v>411544</v>
      </c>
      <c r="N29" s="290">
        <v>72726</v>
      </c>
      <c r="O29" s="290">
        <v>3768</v>
      </c>
      <c r="P29" s="290">
        <v>1365</v>
      </c>
      <c r="Q29" s="290">
        <v>0</v>
      </c>
      <c r="R29" s="291">
        <v>80125</v>
      </c>
      <c r="S29" s="290">
        <v>0</v>
      </c>
      <c r="T29" s="290">
        <v>0</v>
      </c>
      <c r="U29" s="290">
        <v>0</v>
      </c>
      <c r="V29" s="290">
        <v>0</v>
      </c>
      <c r="W29" s="291">
        <v>110805</v>
      </c>
      <c r="X29" s="290">
        <v>10363</v>
      </c>
      <c r="Y29" s="290">
        <v>152</v>
      </c>
      <c r="Z29" s="290">
        <v>2864</v>
      </c>
      <c r="AA29" s="290">
        <v>0</v>
      </c>
      <c r="AB29" s="291">
        <v>13379</v>
      </c>
      <c r="AC29" s="290">
        <v>0</v>
      </c>
      <c r="AD29" s="290">
        <v>0</v>
      </c>
      <c r="AE29" s="290">
        <v>0</v>
      </c>
      <c r="AF29" s="290">
        <v>0</v>
      </c>
      <c r="AG29" s="291">
        <v>0</v>
      </c>
    </row>
    <row r="30" spans="1:33" ht="15" x14ac:dyDescent="0.25">
      <c r="A30" s="289" t="s">
        <v>79</v>
      </c>
      <c r="B30" s="289" t="s">
        <v>256</v>
      </c>
      <c r="C30" s="289" t="s">
        <v>160</v>
      </c>
      <c r="D30" s="290">
        <v>213426</v>
      </c>
      <c r="E30" s="290">
        <v>5444</v>
      </c>
      <c r="F30" s="290">
        <v>5346</v>
      </c>
      <c r="G30" s="290">
        <v>0</v>
      </c>
      <c r="H30" s="291">
        <v>775811</v>
      </c>
      <c r="I30" s="290">
        <v>106713</v>
      </c>
      <c r="J30" s="290">
        <v>0</v>
      </c>
      <c r="K30" s="290">
        <v>0</v>
      </c>
      <c r="L30" s="290">
        <v>0</v>
      </c>
      <c r="M30" s="291">
        <v>518398</v>
      </c>
      <c r="N30" s="290">
        <v>94074</v>
      </c>
      <c r="O30" s="290">
        <v>5259</v>
      </c>
      <c r="P30" s="290">
        <v>1665</v>
      </c>
      <c r="Q30" s="290">
        <v>0</v>
      </c>
      <c r="R30" s="291">
        <v>103854</v>
      </c>
      <c r="S30" s="290">
        <v>0</v>
      </c>
      <c r="T30" s="290">
        <v>0</v>
      </c>
      <c r="U30" s="290">
        <v>0</v>
      </c>
      <c r="V30" s="290">
        <v>0</v>
      </c>
      <c r="W30" s="291">
        <v>137054</v>
      </c>
      <c r="X30" s="290">
        <v>12639</v>
      </c>
      <c r="Y30" s="290">
        <v>185</v>
      </c>
      <c r="Z30" s="290">
        <v>3681</v>
      </c>
      <c r="AA30" s="290">
        <v>0</v>
      </c>
      <c r="AB30" s="291">
        <v>16505</v>
      </c>
      <c r="AC30" s="290">
        <v>0</v>
      </c>
      <c r="AD30" s="290">
        <v>0</v>
      </c>
      <c r="AE30" s="290">
        <v>0</v>
      </c>
      <c r="AF30" s="290">
        <v>0</v>
      </c>
      <c r="AG30" s="291">
        <v>0</v>
      </c>
    </row>
    <row r="31" spans="1:33" ht="15" x14ac:dyDescent="0.25">
      <c r="A31" s="289" t="s">
        <v>80</v>
      </c>
      <c r="B31" s="289" t="s">
        <v>254</v>
      </c>
      <c r="C31" s="289" t="s">
        <v>177</v>
      </c>
      <c r="D31" s="290">
        <v>26231</v>
      </c>
      <c r="E31" s="290">
        <v>500</v>
      </c>
      <c r="F31" s="290">
        <v>693</v>
      </c>
      <c r="G31" s="290">
        <v>0</v>
      </c>
      <c r="H31" s="291">
        <v>101619</v>
      </c>
      <c r="I31" s="290">
        <v>13115</v>
      </c>
      <c r="J31" s="290">
        <v>0</v>
      </c>
      <c r="K31" s="290">
        <v>0</v>
      </c>
      <c r="L31" s="290">
        <v>0</v>
      </c>
      <c r="M31" s="291">
        <v>67989</v>
      </c>
      <c r="N31" s="290">
        <v>11286</v>
      </c>
      <c r="O31" s="290">
        <v>473</v>
      </c>
      <c r="P31" s="290">
        <v>241</v>
      </c>
      <c r="Q31" s="290">
        <v>0</v>
      </c>
      <c r="R31" s="291">
        <v>12374</v>
      </c>
      <c r="S31" s="290">
        <v>0</v>
      </c>
      <c r="T31" s="290">
        <v>0</v>
      </c>
      <c r="U31" s="290">
        <v>0</v>
      </c>
      <c r="V31" s="290">
        <v>0</v>
      </c>
      <c r="W31" s="291">
        <v>18947</v>
      </c>
      <c r="X31" s="290">
        <v>1830</v>
      </c>
      <c r="Y31" s="290">
        <v>27</v>
      </c>
      <c r="Z31" s="290">
        <v>452</v>
      </c>
      <c r="AA31" s="290">
        <v>0</v>
      </c>
      <c r="AB31" s="291">
        <v>2309</v>
      </c>
      <c r="AC31" s="290">
        <v>0</v>
      </c>
      <c r="AD31" s="290">
        <v>0</v>
      </c>
      <c r="AE31" s="290">
        <v>0</v>
      </c>
      <c r="AF31" s="290">
        <v>0</v>
      </c>
      <c r="AG31" s="291">
        <v>0</v>
      </c>
    </row>
    <row r="32" spans="1:33" ht="15" x14ac:dyDescent="0.25">
      <c r="A32" s="289" t="s">
        <v>82</v>
      </c>
      <c r="B32" s="289" t="s">
        <v>254</v>
      </c>
      <c r="C32" s="289" t="s">
        <v>177</v>
      </c>
      <c r="D32" s="290">
        <v>33366</v>
      </c>
      <c r="E32" s="290">
        <v>866</v>
      </c>
      <c r="F32" s="290">
        <v>833</v>
      </c>
      <c r="G32" s="290">
        <v>0</v>
      </c>
      <c r="H32" s="291">
        <v>120727</v>
      </c>
      <c r="I32" s="290">
        <v>16682</v>
      </c>
      <c r="J32" s="290">
        <v>0</v>
      </c>
      <c r="K32" s="290">
        <v>0</v>
      </c>
      <c r="L32" s="290">
        <v>0</v>
      </c>
      <c r="M32" s="291">
        <v>79171</v>
      </c>
      <c r="N32" s="290">
        <v>14733</v>
      </c>
      <c r="O32" s="290">
        <v>838</v>
      </c>
      <c r="P32" s="290">
        <v>257</v>
      </c>
      <c r="Q32" s="290">
        <v>0</v>
      </c>
      <c r="R32" s="291">
        <v>16271</v>
      </c>
      <c r="S32" s="290">
        <v>0</v>
      </c>
      <c r="T32" s="290">
        <v>0</v>
      </c>
      <c r="U32" s="290">
        <v>0</v>
      </c>
      <c r="V32" s="290">
        <v>0</v>
      </c>
      <c r="W32" s="291">
        <v>22730</v>
      </c>
      <c r="X32" s="290">
        <v>1951</v>
      </c>
      <c r="Y32" s="290">
        <v>28</v>
      </c>
      <c r="Z32" s="290">
        <v>576</v>
      </c>
      <c r="AA32" s="290">
        <v>0</v>
      </c>
      <c r="AB32" s="291">
        <v>2555</v>
      </c>
      <c r="AC32" s="290">
        <v>0</v>
      </c>
      <c r="AD32" s="290">
        <v>0</v>
      </c>
      <c r="AE32" s="290">
        <v>0</v>
      </c>
      <c r="AF32" s="290">
        <v>0</v>
      </c>
      <c r="AG32" s="291">
        <v>0</v>
      </c>
    </row>
    <row r="33" spans="1:33" ht="15" x14ac:dyDescent="0.25">
      <c r="A33" s="289" t="s">
        <v>82</v>
      </c>
      <c r="B33" s="289" t="s">
        <v>255</v>
      </c>
      <c r="C33" s="289" t="s">
        <v>178</v>
      </c>
      <c r="D33" s="290">
        <v>33753</v>
      </c>
      <c r="E33" s="290">
        <v>900</v>
      </c>
      <c r="F33" s="290">
        <v>837</v>
      </c>
      <c r="G33" s="290">
        <v>0</v>
      </c>
      <c r="H33" s="291">
        <v>121260</v>
      </c>
      <c r="I33" s="290">
        <v>16876</v>
      </c>
      <c r="J33" s="290">
        <v>0</v>
      </c>
      <c r="K33" s="290">
        <v>0</v>
      </c>
      <c r="L33" s="290">
        <v>0</v>
      </c>
      <c r="M33" s="291">
        <v>79470</v>
      </c>
      <c r="N33" s="290">
        <v>14942</v>
      </c>
      <c r="O33" s="290">
        <v>872</v>
      </c>
      <c r="P33" s="290">
        <v>255</v>
      </c>
      <c r="Q33" s="290">
        <v>0</v>
      </c>
      <c r="R33" s="291">
        <v>16515</v>
      </c>
      <c r="S33" s="290">
        <v>0</v>
      </c>
      <c r="T33" s="290">
        <v>0</v>
      </c>
      <c r="U33" s="290">
        <v>0</v>
      </c>
      <c r="V33" s="290">
        <v>0</v>
      </c>
      <c r="W33" s="291">
        <v>22730</v>
      </c>
      <c r="X33" s="290">
        <v>1935</v>
      </c>
      <c r="Y33" s="290">
        <v>28</v>
      </c>
      <c r="Z33" s="290">
        <v>582</v>
      </c>
      <c r="AA33" s="290">
        <v>0</v>
      </c>
      <c r="AB33" s="291">
        <v>2545</v>
      </c>
      <c r="AC33" s="290">
        <v>0</v>
      </c>
      <c r="AD33" s="290">
        <v>0</v>
      </c>
      <c r="AE33" s="290">
        <v>0</v>
      </c>
      <c r="AF33" s="290">
        <v>0</v>
      </c>
      <c r="AG33" s="291">
        <v>0</v>
      </c>
    </row>
    <row r="34" spans="1:33" ht="15" x14ac:dyDescent="0.25">
      <c r="A34" s="289" t="s">
        <v>82</v>
      </c>
      <c r="B34" s="289" t="s">
        <v>256</v>
      </c>
      <c r="C34" s="289" t="s">
        <v>160</v>
      </c>
      <c r="D34" s="290">
        <v>34912</v>
      </c>
      <c r="E34" s="290">
        <v>951</v>
      </c>
      <c r="F34" s="290">
        <v>862</v>
      </c>
      <c r="G34" s="290">
        <v>0</v>
      </c>
      <c r="H34" s="291">
        <v>124675</v>
      </c>
      <c r="I34" s="290">
        <v>17456</v>
      </c>
      <c r="J34" s="290">
        <v>0</v>
      </c>
      <c r="K34" s="290">
        <v>0</v>
      </c>
      <c r="L34" s="290">
        <v>0</v>
      </c>
      <c r="M34" s="291">
        <v>81611</v>
      </c>
      <c r="N34" s="290">
        <v>15488</v>
      </c>
      <c r="O34" s="290">
        <v>922</v>
      </c>
      <c r="P34" s="290">
        <v>259</v>
      </c>
      <c r="Q34" s="290">
        <v>0</v>
      </c>
      <c r="R34" s="291">
        <v>17127</v>
      </c>
      <c r="S34" s="290">
        <v>0</v>
      </c>
      <c r="T34" s="290">
        <v>0</v>
      </c>
      <c r="U34" s="290">
        <v>0</v>
      </c>
      <c r="V34" s="290">
        <v>0</v>
      </c>
      <c r="W34" s="291">
        <v>23337</v>
      </c>
      <c r="X34" s="290">
        <v>1968</v>
      </c>
      <c r="Y34" s="290">
        <v>29</v>
      </c>
      <c r="Z34" s="290">
        <v>603</v>
      </c>
      <c r="AA34" s="290">
        <v>0</v>
      </c>
      <c r="AB34" s="291">
        <v>2600</v>
      </c>
      <c r="AC34" s="290">
        <v>0</v>
      </c>
      <c r="AD34" s="290">
        <v>0</v>
      </c>
      <c r="AE34" s="290">
        <v>0</v>
      </c>
      <c r="AF34" s="290">
        <v>0</v>
      </c>
      <c r="AG34" s="291">
        <v>0</v>
      </c>
    </row>
    <row r="35" spans="1:33" ht="15" x14ac:dyDescent="0.25">
      <c r="A35" s="289" t="s">
        <v>83</v>
      </c>
      <c r="B35" s="289" t="s">
        <v>254</v>
      </c>
      <c r="C35" s="289" t="s">
        <v>177</v>
      </c>
      <c r="D35" s="290">
        <v>70747</v>
      </c>
      <c r="E35" s="290">
        <v>4311</v>
      </c>
      <c r="F35" s="290">
        <v>1245</v>
      </c>
      <c r="G35" s="290">
        <v>0</v>
      </c>
      <c r="H35" s="291">
        <v>164295</v>
      </c>
      <c r="I35" s="290">
        <v>35373</v>
      </c>
      <c r="J35" s="290">
        <v>0</v>
      </c>
      <c r="K35" s="290">
        <v>0</v>
      </c>
      <c r="L35" s="290">
        <v>0</v>
      </c>
      <c r="M35" s="291">
        <v>107841</v>
      </c>
      <c r="N35" s="290">
        <v>35299</v>
      </c>
      <c r="O35" s="290">
        <v>4310</v>
      </c>
      <c r="P35" s="290">
        <v>10</v>
      </c>
      <c r="Q35" s="290">
        <v>0</v>
      </c>
      <c r="R35" s="291">
        <v>40212</v>
      </c>
      <c r="S35" s="290">
        <v>0</v>
      </c>
      <c r="T35" s="290">
        <v>0</v>
      </c>
      <c r="U35" s="290">
        <v>0</v>
      </c>
      <c r="V35" s="290">
        <v>0</v>
      </c>
      <c r="W35" s="291">
        <v>14931</v>
      </c>
      <c r="X35" s="290">
        <v>75</v>
      </c>
      <c r="Y35" s="290">
        <v>1</v>
      </c>
      <c r="Z35" s="290">
        <v>1235</v>
      </c>
      <c r="AA35" s="290">
        <v>0</v>
      </c>
      <c r="AB35" s="291">
        <v>1311</v>
      </c>
      <c r="AC35" s="290">
        <v>0</v>
      </c>
      <c r="AD35" s="290">
        <v>0</v>
      </c>
      <c r="AE35" s="290">
        <v>0</v>
      </c>
      <c r="AF35" s="290">
        <v>0</v>
      </c>
      <c r="AG35" s="291">
        <v>0</v>
      </c>
    </row>
    <row r="36" spans="1:33" ht="15" x14ac:dyDescent="0.25">
      <c r="A36" s="289" t="s">
        <v>83</v>
      </c>
      <c r="B36" s="289" t="s">
        <v>255</v>
      </c>
      <c r="C36" s="289" t="s">
        <v>177</v>
      </c>
      <c r="D36" s="290">
        <v>10747</v>
      </c>
      <c r="E36" s="290">
        <v>418</v>
      </c>
      <c r="F36" s="290">
        <v>239</v>
      </c>
      <c r="G36" s="290">
        <v>0</v>
      </c>
      <c r="H36" s="291">
        <v>33767</v>
      </c>
      <c r="I36" s="290">
        <v>5373</v>
      </c>
      <c r="J36" s="290">
        <v>0</v>
      </c>
      <c r="K36" s="290">
        <v>0</v>
      </c>
      <c r="L36" s="290">
        <v>0</v>
      </c>
      <c r="M36" s="291">
        <v>22460</v>
      </c>
      <c r="N36" s="290">
        <v>4973</v>
      </c>
      <c r="O36" s="290">
        <v>412</v>
      </c>
      <c r="P36" s="290">
        <v>53</v>
      </c>
      <c r="Q36" s="290">
        <v>0</v>
      </c>
      <c r="R36" s="291">
        <v>5561</v>
      </c>
      <c r="S36" s="290">
        <v>0</v>
      </c>
      <c r="T36" s="290">
        <v>0</v>
      </c>
      <c r="U36" s="290">
        <v>0</v>
      </c>
      <c r="V36" s="290">
        <v>0</v>
      </c>
      <c r="W36" s="291">
        <v>5153</v>
      </c>
      <c r="X36" s="290">
        <v>401</v>
      </c>
      <c r="Y36" s="290">
        <v>6</v>
      </c>
      <c r="Z36" s="290">
        <v>186</v>
      </c>
      <c r="AA36" s="290">
        <v>0</v>
      </c>
      <c r="AB36" s="291">
        <v>593</v>
      </c>
      <c r="AC36" s="290">
        <v>0</v>
      </c>
      <c r="AD36" s="290">
        <v>0</v>
      </c>
      <c r="AE36" s="290">
        <v>0</v>
      </c>
      <c r="AF36" s="290">
        <v>0</v>
      </c>
      <c r="AG36" s="291">
        <v>0</v>
      </c>
    </row>
    <row r="37" spans="1:33" ht="15" x14ac:dyDescent="0.25">
      <c r="A37" s="289" t="s">
        <v>83</v>
      </c>
      <c r="B37" s="289" t="s">
        <v>255</v>
      </c>
      <c r="C37" s="289" t="s">
        <v>178</v>
      </c>
      <c r="D37" s="290">
        <v>78322</v>
      </c>
      <c r="E37" s="290">
        <v>4482</v>
      </c>
      <c r="F37" s="290">
        <v>1440</v>
      </c>
      <c r="G37" s="290">
        <v>0</v>
      </c>
      <c r="H37" s="291">
        <v>192681</v>
      </c>
      <c r="I37" s="290">
        <v>39161</v>
      </c>
      <c r="J37" s="290">
        <v>0</v>
      </c>
      <c r="K37" s="290">
        <v>0</v>
      </c>
      <c r="L37" s="290">
        <v>0</v>
      </c>
      <c r="M37" s="291">
        <v>126505</v>
      </c>
      <c r="N37" s="290">
        <v>38600</v>
      </c>
      <c r="O37" s="290">
        <v>4474</v>
      </c>
      <c r="P37" s="290">
        <v>74</v>
      </c>
      <c r="Q37" s="290">
        <v>0</v>
      </c>
      <c r="R37" s="291">
        <v>43845</v>
      </c>
      <c r="S37" s="290">
        <v>0</v>
      </c>
      <c r="T37" s="290">
        <v>0</v>
      </c>
      <c r="U37" s="290">
        <v>0</v>
      </c>
      <c r="V37" s="290">
        <v>0</v>
      </c>
      <c r="W37" s="291">
        <v>20396</v>
      </c>
      <c r="X37" s="290">
        <v>561</v>
      </c>
      <c r="Y37" s="290">
        <v>8</v>
      </c>
      <c r="Z37" s="290">
        <v>1366</v>
      </c>
      <c r="AA37" s="290">
        <v>0</v>
      </c>
      <c r="AB37" s="291">
        <v>1935</v>
      </c>
      <c r="AC37" s="290">
        <v>0</v>
      </c>
      <c r="AD37" s="290">
        <v>0</v>
      </c>
      <c r="AE37" s="290">
        <v>0</v>
      </c>
      <c r="AF37" s="290">
        <v>0</v>
      </c>
      <c r="AG37" s="291">
        <v>0</v>
      </c>
    </row>
    <row r="38" spans="1:33" ht="15" x14ac:dyDescent="0.25">
      <c r="A38" s="289" t="s">
        <v>83</v>
      </c>
      <c r="B38" s="289" t="s">
        <v>256</v>
      </c>
      <c r="C38" s="289" t="s">
        <v>177</v>
      </c>
      <c r="D38" s="290">
        <v>-16312</v>
      </c>
      <c r="E38" s="290">
        <v>-997</v>
      </c>
      <c r="F38" s="290">
        <v>-287</v>
      </c>
      <c r="G38" s="290">
        <v>0</v>
      </c>
      <c r="H38" s="291">
        <v>-37752</v>
      </c>
      <c r="I38" s="290">
        <v>-8156</v>
      </c>
      <c r="J38" s="290">
        <v>0</v>
      </c>
      <c r="K38" s="290">
        <v>0</v>
      </c>
      <c r="L38" s="290">
        <v>0</v>
      </c>
      <c r="M38" s="291">
        <v>-25426</v>
      </c>
      <c r="N38" s="290">
        <v>-8145</v>
      </c>
      <c r="O38" s="290">
        <v>-997</v>
      </c>
      <c r="P38" s="290">
        <v>-2</v>
      </c>
      <c r="Q38" s="290">
        <v>0</v>
      </c>
      <c r="R38" s="291">
        <v>-9279</v>
      </c>
      <c r="S38" s="290">
        <v>0</v>
      </c>
      <c r="T38" s="290">
        <v>0</v>
      </c>
      <c r="U38" s="290">
        <v>0</v>
      </c>
      <c r="V38" s="290">
        <v>0</v>
      </c>
      <c r="W38" s="291">
        <v>-2751</v>
      </c>
      <c r="X38" s="290">
        <v>-11</v>
      </c>
      <c r="Y38" s="290">
        <v>0</v>
      </c>
      <c r="Z38" s="290">
        <v>-285</v>
      </c>
      <c r="AA38" s="290">
        <v>0</v>
      </c>
      <c r="AB38" s="291">
        <v>-296</v>
      </c>
      <c r="AC38" s="290">
        <v>0</v>
      </c>
      <c r="AD38" s="290">
        <v>0</v>
      </c>
      <c r="AE38" s="290">
        <v>0</v>
      </c>
      <c r="AF38" s="290">
        <v>0</v>
      </c>
      <c r="AG38" s="291">
        <v>0</v>
      </c>
    </row>
    <row r="39" spans="1:33" ht="15" x14ac:dyDescent="0.25">
      <c r="A39" s="289" t="s">
        <v>83</v>
      </c>
      <c r="B39" s="289" t="s">
        <v>256</v>
      </c>
      <c r="C39" s="289" t="s">
        <v>178</v>
      </c>
      <c r="D39" s="290">
        <v>-1896</v>
      </c>
      <c r="E39" s="290">
        <v>-109</v>
      </c>
      <c r="F39" s="290">
        <v>-35</v>
      </c>
      <c r="G39" s="290">
        <v>0</v>
      </c>
      <c r="H39" s="291">
        <v>-4618</v>
      </c>
      <c r="I39" s="290">
        <v>-948</v>
      </c>
      <c r="J39" s="290">
        <v>0</v>
      </c>
      <c r="K39" s="290">
        <v>0</v>
      </c>
      <c r="L39" s="290">
        <v>0</v>
      </c>
      <c r="M39" s="291">
        <v>-3031</v>
      </c>
      <c r="N39" s="290">
        <v>-937</v>
      </c>
      <c r="O39" s="290">
        <v>-109</v>
      </c>
      <c r="P39" s="290">
        <v>-2</v>
      </c>
      <c r="Q39" s="290">
        <v>0</v>
      </c>
      <c r="R39" s="291">
        <v>-1065</v>
      </c>
      <c r="S39" s="290">
        <v>0</v>
      </c>
      <c r="T39" s="290">
        <v>0</v>
      </c>
      <c r="U39" s="290">
        <v>0</v>
      </c>
      <c r="V39" s="290">
        <v>0</v>
      </c>
      <c r="W39" s="291">
        <v>-478</v>
      </c>
      <c r="X39" s="290">
        <v>-11</v>
      </c>
      <c r="Y39" s="290">
        <v>0</v>
      </c>
      <c r="Z39" s="290">
        <v>-33</v>
      </c>
      <c r="AA39" s="290">
        <v>0</v>
      </c>
      <c r="AB39" s="291">
        <v>-44</v>
      </c>
      <c r="AC39" s="290">
        <v>0</v>
      </c>
      <c r="AD39" s="290">
        <v>0</v>
      </c>
      <c r="AE39" s="290">
        <v>0</v>
      </c>
      <c r="AF39" s="290">
        <v>0</v>
      </c>
      <c r="AG39" s="291">
        <v>0</v>
      </c>
    </row>
    <row r="40" spans="1:33" ht="15" x14ac:dyDescent="0.25">
      <c r="A40" s="289" t="s">
        <v>83</v>
      </c>
      <c r="B40" s="289" t="s">
        <v>256</v>
      </c>
      <c r="C40" s="289" t="s">
        <v>160</v>
      </c>
      <c r="D40" s="290">
        <v>86501</v>
      </c>
      <c r="E40" s="290">
        <v>4884</v>
      </c>
      <c r="F40" s="290">
        <v>1604</v>
      </c>
      <c r="G40" s="290">
        <v>0</v>
      </c>
      <c r="H40" s="291">
        <v>215254</v>
      </c>
      <c r="I40" s="290">
        <v>43250</v>
      </c>
      <c r="J40" s="290">
        <v>0</v>
      </c>
      <c r="K40" s="290">
        <v>0</v>
      </c>
      <c r="L40" s="290">
        <v>0</v>
      </c>
      <c r="M40" s="291">
        <v>142957</v>
      </c>
      <c r="N40" s="290">
        <v>42523</v>
      </c>
      <c r="O40" s="290">
        <v>4873</v>
      </c>
      <c r="P40" s="290">
        <v>96</v>
      </c>
      <c r="Q40" s="290">
        <v>0</v>
      </c>
      <c r="R40" s="291">
        <v>48270</v>
      </c>
      <c r="S40" s="290">
        <v>0</v>
      </c>
      <c r="T40" s="290">
        <v>0</v>
      </c>
      <c r="U40" s="290">
        <v>0</v>
      </c>
      <c r="V40" s="290">
        <v>0</v>
      </c>
      <c r="W40" s="291">
        <v>21780</v>
      </c>
      <c r="X40" s="290">
        <v>728</v>
      </c>
      <c r="Y40" s="290">
        <v>11</v>
      </c>
      <c r="Z40" s="290">
        <v>1508</v>
      </c>
      <c r="AA40" s="290">
        <v>0</v>
      </c>
      <c r="AB40" s="291">
        <v>2247</v>
      </c>
      <c r="AC40" s="290">
        <v>0</v>
      </c>
      <c r="AD40" s="290">
        <v>0</v>
      </c>
      <c r="AE40" s="290">
        <v>0</v>
      </c>
      <c r="AF40" s="290">
        <v>0</v>
      </c>
      <c r="AG40" s="291">
        <v>0</v>
      </c>
    </row>
    <row r="41" spans="1:33" ht="15" x14ac:dyDescent="0.25">
      <c r="A41" s="289" t="s">
        <v>85</v>
      </c>
      <c r="B41" s="289" t="s">
        <v>254</v>
      </c>
      <c r="C41" s="289" t="s">
        <v>177</v>
      </c>
      <c r="D41" s="290">
        <v>1795827</v>
      </c>
      <c r="E41" s="290">
        <v>50467</v>
      </c>
      <c r="F41" s="290">
        <v>44002</v>
      </c>
      <c r="G41" s="290">
        <v>0</v>
      </c>
      <c r="H41" s="291">
        <v>6553478</v>
      </c>
      <c r="I41" s="290">
        <v>897913</v>
      </c>
      <c r="J41" s="290">
        <v>0</v>
      </c>
      <c r="K41" s="290">
        <v>0</v>
      </c>
      <c r="L41" s="290">
        <v>0</v>
      </c>
      <c r="M41" s="291">
        <v>4447093</v>
      </c>
      <c r="N41" s="290">
        <v>799216</v>
      </c>
      <c r="O41" s="290">
        <v>49021</v>
      </c>
      <c r="P41" s="290">
        <v>12999</v>
      </c>
      <c r="Q41" s="290">
        <v>0</v>
      </c>
      <c r="R41" s="291">
        <v>884593</v>
      </c>
      <c r="S41" s="290">
        <v>0</v>
      </c>
      <c r="T41" s="290">
        <v>0</v>
      </c>
      <c r="U41" s="290">
        <v>0</v>
      </c>
      <c r="V41" s="290">
        <v>0</v>
      </c>
      <c r="W41" s="291">
        <v>1090645</v>
      </c>
      <c r="X41" s="290">
        <v>98698</v>
      </c>
      <c r="Y41" s="290">
        <v>1446</v>
      </c>
      <c r="Z41" s="290">
        <v>31003</v>
      </c>
      <c r="AA41" s="290">
        <v>0</v>
      </c>
      <c r="AB41" s="291">
        <v>131147</v>
      </c>
      <c r="AC41" s="290">
        <v>0</v>
      </c>
      <c r="AD41" s="290">
        <v>0</v>
      </c>
      <c r="AE41" s="290">
        <v>0</v>
      </c>
      <c r="AF41" s="290">
        <v>0</v>
      </c>
      <c r="AG41" s="291">
        <v>0</v>
      </c>
    </row>
    <row r="42" spans="1:33" ht="15" x14ac:dyDescent="0.25">
      <c r="A42" s="289" t="s">
        <v>85</v>
      </c>
      <c r="B42" s="289" t="s">
        <v>255</v>
      </c>
      <c r="C42" s="289" t="s">
        <v>178</v>
      </c>
      <c r="D42" s="290">
        <v>5182336</v>
      </c>
      <c r="E42" s="290">
        <v>94384</v>
      </c>
      <c r="F42" s="290">
        <v>137745</v>
      </c>
      <c r="G42" s="290">
        <v>45890</v>
      </c>
      <c r="H42" s="291">
        <v>20942848</v>
      </c>
      <c r="I42" s="290">
        <v>2591167</v>
      </c>
      <c r="J42" s="290">
        <v>0</v>
      </c>
      <c r="K42" s="290">
        <v>0</v>
      </c>
      <c r="L42" s="290">
        <v>0</v>
      </c>
      <c r="M42" s="291">
        <v>14054904</v>
      </c>
      <c r="N42" s="290">
        <v>2222249</v>
      </c>
      <c r="O42" s="290">
        <v>88980</v>
      </c>
      <c r="P42" s="290">
        <v>48587</v>
      </c>
      <c r="Q42" s="290">
        <v>0</v>
      </c>
      <c r="R42" s="291">
        <v>2434458</v>
      </c>
      <c r="S42" s="290">
        <v>0</v>
      </c>
      <c r="T42" s="290">
        <v>0</v>
      </c>
      <c r="U42" s="290">
        <v>0</v>
      </c>
      <c r="V42" s="290">
        <v>0</v>
      </c>
      <c r="W42" s="291">
        <v>3944114</v>
      </c>
      <c r="X42" s="290">
        <v>368920</v>
      </c>
      <c r="Y42" s="290">
        <v>5404</v>
      </c>
      <c r="Z42" s="290">
        <v>89158</v>
      </c>
      <c r="AA42" s="290">
        <v>0</v>
      </c>
      <c r="AB42" s="291">
        <v>463482</v>
      </c>
      <c r="AC42" s="290">
        <v>0</v>
      </c>
      <c r="AD42" s="290">
        <v>0</v>
      </c>
      <c r="AE42" s="290">
        <v>0</v>
      </c>
      <c r="AF42" s="290">
        <v>45890</v>
      </c>
      <c r="AG42" s="291">
        <v>45890</v>
      </c>
    </row>
    <row r="43" spans="1:33" ht="15" x14ac:dyDescent="0.25">
      <c r="A43" s="289" t="s">
        <v>85</v>
      </c>
      <c r="B43" s="289" t="s">
        <v>256</v>
      </c>
      <c r="C43" s="289" t="s">
        <v>178</v>
      </c>
      <c r="D43" s="290">
        <v>2613</v>
      </c>
      <c r="E43" s="290">
        <v>323</v>
      </c>
      <c r="F43" s="290">
        <v>12</v>
      </c>
      <c r="G43" s="290">
        <v>0</v>
      </c>
      <c r="H43" s="291">
        <v>0</v>
      </c>
      <c r="I43" s="290">
        <v>1306</v>
      </c>
      <c r="J43" s="290">
        <v>0</v>
      </c>
      <c r="K43" s="290">
        <v>0</v>
      </c>
      <c r="L43" s="290">
        <v>0</v>
      </c>
      <c r="M43" s="291">
        <v>97</v>
      </c>
      <c r="N43" s="290">
        <v>1573</v>
      </c>
      <c r="O43" s="290">
        <v>327</v>
      </c>
      <c r="P43" s="290">
        <v>-35</v>
      </c>
      <c r="Q43" s="290">
        <v>0</v>
      </c>
      <c r="R43" s="291">
        <v>1864</v>
      </c>
      <c r="S43" s="290">
        <v>0</v>
      </c>
      <c r="T43" s="290">
        <v>0</v>
      </c>
      <c r="U43" s="290">
        <v>0</v>
      </c>
      <c r="V43" s="290">
        <v>0</v>
      </c>
      <c r="W43" s="291">
        <v>-1738</v>
      </c>
      <c r="X43" s="290">
        <v>-266</v>
      </c>
      <c r="Y43" s="290">
        <v>-4</v>
      </c>
      <c r="Z43" s="290">
        <v>47</v>
      </c>
      <c r="AA43" s="290">
        <v>0</v>
      </c>
      <c r="AB43" s="291">
        <v>-223</v>
      </c>
      <c r="AC43" s="290">
        <v>0</v>
      </c>
      <c r="AD43" s="290">
        <v>0</v>
      </c>
      <c r="AE43" s="290">
        <v>0</v>
      </c>
      <c r="AF43" s="290">
        <v>0</v>
      </c>
      <c r="AG43" s="291">
        <v>0</v>
      </c>
    </row>
    <row r="44" spans="1:33" ht="15" x14ac:dyDescent="0.25">
      <c r="A44" s="289" t="s">
        <v>85</v>
      </c>
      <c r="B44" s="289" t="s">
        <v>256</v>
      </c>
      <c r="C44" s="289" t="s">
        <v>160</v>
      </c>
      <c r="D44" s="290">
        <v>4155088</v>
      </c>
      <c r="E44" s="290">
        <v>57325</v>
      </c>
      <c r="F44" s="290">
        <v>114296</v>
      </c>
      <c r="G44" s="290">
        <v>26626</v>
      </c>
      <c r="H44" s="291">
        <v>17429454</v>
      </c>
      <c r="I44" s="290">
        <v>2077543</v>
      </c>
      <c r="J44" s="290">
        <v>0</v>
      </c>
      <c r="K44" s="290">
        <v>0</v>
      </c>
      <c r="L44" s="290">
        <v>0</v>
      </c>
      <c r="M44" s="291">
        <v>11702417</v>
      </c>
      <c r="N44" s="290">
        <v>1751642</v>
      </c>
      <c r="O44" s="290">
        <v>52551</v>
      </c>
      <c r="P44" s="290">
        <v>42922</v>
      </c>
      <c r="Q44" s="290">
        <v>0</v>
      </c>
      <c r="R44" s="291">
        <v>1909553</v>
      </c>
      <c r="S44" s="290">
        <v>0</v>
      </c>
      <c r="T44" s="290">
        <v>0</v>
      </c>
      <c r="U44" s="290">
        <v>0</v>
      </c>
      <c r="V44" s="290">
        <v>0</v>
      </c>
      <c r="W44" s="291">
        <v>3388807</v>
      </c>
      <c r="X44" s="290">
        <v>325903</v>
      </c>
      <c r="Y44" s="290">
        <v>4774</v>
      </c>
      <c r="Z44" s="290">
        <v>71374</v>
      </c>
      <c r="AA44" s="290">
        <v>0</v>
      </c>
      <c r="AB44" s="291">
        <v>402051</v>
      </c>
      <c r="AC44" s="290">
        <v>0</v>
      </c>
      <c r="AD44" s="290">
        <v>0</v>
      </c>
      <c r="AE44" s="290">
        <v>0</v>
      </c>
      <c r="AF44" s="290">
        <v>26626</v>
      </c>
      <c r="AG44" s="291">
        <v>26626</v>
      </c>
    </row>
    <row r="45" spans="1:33" ht="15" x14ac:dyDescent="0.25">
      <c r="A45" s="289" t="s">
        <v>86</v>
      </c>
      <c r="B45" s="289" t="s">
        <v>254</v>
      </c>
      <c r="C45" s="289" t="s">
        <v>177</v>
      </c>
      <c r="D45" s="290">
        <v>145513</v>
      </c>
      <c r="E45" s="290">
        <v>7045</v>
      </c>
      <c r="F45" s="290">
        <v>2945</v>
      </c>
      <c r="G45" s="290">
        <v>0</v>
      </c>
      <c r="H45" s="291">
        <v>405465</v>
      </c>
      <c r="I45" s="290">
        <v>72756</v>
      </c>
      <c r="J45" s="290">
        <v>0</v>
      </c>
      <c r="K45" s="290">
        <v>0</v>
      </c>
      <c r="L45" s="290">
        <v>0</v>
      </c>
      <c r="M45" s="291">
        <v>272822</v>
      </c>
      <c r="N45" s="290">
        <v>69611</v>
      </c>
      <c r="O45" s="290">
        <v>6999</v>
      </c>
      <c r="P45" s="290">
        <v>414</v>
      </c>
      <c r="Q45" s="290">
        <v>0</v>
      </c>
      <c r="R45" s="291">
        <v>78499</v>
      </c>
      <c r="S45" s="290">
        <v>0</v>
      </c>
      <c r="T45" s="290">
        <v>0</v>
      </c>
      <c r="U45" s="290">
        <v>0</v>
      </c>
      <c r="V45" s="290">
        <v>0</v>
      </c>
      <c r="W45" s="291">
        <v>48421</v>
      </c>
      <c r="X45" s="290">
        <v>3146</v>
      </c>
      <c r="Y45" s="290">
        <v>46</v>
      </c>
      <c r="Z45" s="290">
        <v>2531</v>
      </c>
      <c r="AA45" s="290">
        <v>0</v>
      </c>
      <c r="AB45" s="291">
        <v>5723</v>
      </c>
      <c r="AC45" s="290">
        <v>0</v>
      </c>
      <c r="AD45" s="290">
        <v>0</v>
      </c>
      <c r="AE45" s="290">
        <v>0</v>
      </c>
      <c r="AF45" s="290">
        <v>0</v>
      </c>
      <c r="AG45" s="291">
        <v>0</v>
      </c>
    </row>
    <row r="46" spans="1:33" ht="15" x14ac:dyDescent="0.25">
      <c r="A46" s="289" t="s">
        <v>86</v>
      </c>
      <c r="B46" s="289" t="s">
        <v>255</v>
      </c>
      <c r="C46" s="289" t="s">
        <v>178</v>
      </c>
      <c r="D46" s="290">
        <v>132246</v>
      </c>
      <c r="E46" s="290">
        <v>6368</v>
      </c>
      <c r="F46" s="290">
        <v>2683</v>
      </c>
      <c r="G46" s="290">
        <v>0</v>
      </c>
      <c r="H46" s="291">
        <v>369782</v>
      </c>
      <c r="I46" s="290">
        <v>66123</v>
      </c>
      <c r="J46" s="290">
        <v>0</v>
      </c>
      <c r="K46" s="290">
        <v>0</v>
      </c>
      <c r="L46" s="290">
        <v>0</v>
      </c>
      <c r="M46" s="291">
        <v>248796</v>
      </c>
      <c r="N46" s="290">
        <v>63207</v>
      </c>
      <c r="O46" s="290">
        <v>6325</v>
      </c>
      <c r="P46" s="290">
        <v>384</v>
      </c>
      <c r="Q46" s="290">
        <v>0</v>
      </c>
      <c r="R46" s="291">
        <v>71261</v>
      </c>
      <c r="S46" s="290">
        <v>0</v>
      </c>
      <c r="T46" s="290">
        <v>0</v>
      </c>
      <c r="U46" s="290">
        <v>0</v>
      </c>
      <c r="V46" s="290">
        <v>0</v>
      </c>
      <c r="W46" s="291">
        <v>44467</v>
      </c>
      <c r="X46" s="290">
        <v>2916</v>
      </c>
      <c r="Y46" s="290">
        <v>43</v>
      </c>
      <c r="Z46" s="290">
        <v>2299</v>
      </c>
      <c r="AA46" s="290">
        <v>0</v>
      </c>
      <c r="AB46" s="291">
        <v>5258</v>
      </c>
      <c r="AC46" s="290">
        <v>0</v>
      </c>
      <c r="AD46" s="290">
        <v>0</v>
      </c>
      <c r="AE46" s="290">
        <v>0</v>
      </c>
      <c r="AF46" s="290">
        <v>0</v>
      </c>
      <c r="AG46" s="291">
        <v>0</v>
      </c>
    </row>
    <row r="47" spans="1:33" ht="15" x14ac:dyDescent="0.25">
      <c r="A47" s="289" t="s">
        <v>86</v>
      </c>
      <c r="B47" s="289" t="s">
        <v>256</v>
      </c>
      <c r="C47" s="289" t="s">
        <v>160</v>
      </c>
      <c r="D47" s="290">
        <v>193893</v>
      </c>
      <c r="E47" s="290">
        <v>9503</v>
      </c>
      <c r="F47" s="290">
        <v>3899</v>
      </c>
      <c r="G47" s="290">
        <v>0</v>
      </c>
      <c r="H47" s="291">
        <v>536003</v>
      </c>
      <c r="I47" s="290">
        <v>96946</v>
      </c>
      <c r="J47" s="290">
        <v>0</v>
      </c>
      <c r="K47" s="290">
        <v>0</v>
      </c>
      <c r="L47" s="290">
        <v>0</v>
      </c>
      <c r="M47" s="291">
        <v>360713</v>
      </c>
      <c r="N47" s="290">
        <v>92944</v>
      </c>
      <c r="O47" s="290">
        <v>9444</v>
      </c>
      <c r="P47" s="290">
        <v>527</v>
      </c>
      <c r="Q47" s="290">
        <v>0</v>
      </c>
      <c r="R47" s="291">
        <v>104865</v>
      </c>
      <c r="S47" s="290">
        <v>0</v>
      </c>
      <c r="T47" s="290">
        <v>0</v>
      </c>
      <c r="U47" s="290">
        <v>0</v>
      </c>
      <c r="V47" s="290">
        <v>0</v>
      </c>
      <c r="W47" s="291">
        <v>62991</v>
      </c>
      <c r="X47" s="290">
        <v>4003</v>
      </c>
      <c r="Y47" s="290">
        <v>59</v>
      </c>
      <c r="Z47" s="290">
        <v>3372</v>
      </c>
      <c r="AA47" s="290">
        <v>0</v>
      </c>
      <c r="AB47" s="291">
        <v>7434</v>
      </c>
      <c r="AC47" s="290">
        <v>0</v>
      </c>
      <c r="AD47" s="290">
        <v>0</v>
      </c>
      <c r="AE47" s="290">
        <v>0</v>
      </c>
      <c r="AF47" s="290">
        <v>0</v>
      </c>
      <c r="AG47" s="291">
        <v>0</v>
      </c>
    </row>
    <row r="48" spans="1:33" ht="15" x14ac:dyDescent="0.25">
      <c r="A48" s="289" t="s">
        <v>87</v>
      </c>
      <c r="B48" s="289" t="s">
        <v>254</v>
      </c>
      <c r="C48" s="289" t="s">
        <v>177</v>
      </c>
      <c r="D48" s="290">
        <v>30818</v>
      </c>
      <c r="E48" s="290">
        <v>1898</v>
      </c>
      <c r="F48" s="290">
        <v>538</v>
      </c>
      <c r="G48" s="290">
        <v>0</v>
      </c>
      <c r="H48" s="291">
        <v>70830</v>
      </c>
      <c r="I48" s="290">
        <v>15409</v>
      </c>
      <c r="J48" s="290">
        <v>0</v>
      </c>
      <c r="K48" s="290">
        <v>0</v>
      </c>
      <c r="L48" s="290">
        <v>0</v>
      </c>
      <c r="M48" s="291">
        <v>47862</v>
      </c>
      <c r="N48" s="290">
        <v>15409</v>
      </c>
      <c r="O48" s="290">
        <v>1898</v>
      </c>
      <c r="P48" s="290">
        <v>0</v>
      </c>
      <c r="Q48" s="290">
        <v>0</v>
      </c>
      <c r="R48" s="291">
        <v>17562</v>
      </c>
      <c r="S48" s="290">
        <v>0</v>
      </c>
      <c r="T48" s="290">
        <v>0</v>
      </c>
      <c r="U48" s="290">
        <v>0</v>
      </c>
      <c r="V48" s="290">
        <v>0</v>
      </c>
      <c r="W48" s="291">
        <v>4868</v>
      </c>
      <c r="X48" s="290">
        <v>0</v>
      </c>
      <c r="Y48" s="290">
        <v>0</v>
      </c>
      <c r="Z48" s="290">
        <v>538</v>
      </c>
      <c r="AA48" s="290">
        <v>0</v>
      </c>
      <c r="AB48" s="291">
        <v>538</v>
      </c>
      <c r="AC48" s="290">
        <v>0</v>
      </c>
      <c r="AD48" s="290">
        <v>0</v>
      </c>
      <c r="AE48" s="290">
        <v>0</v>
      </c>
      <c r="AF48" s="290">
        <v>0</v>
      </c>
      <c r="AG48" s="291">
        <v>0</v>
      </c>
    </row>
    <row r="49" spans="1:33" ht="15" x14ac:dyDescent="0.25">
      <c r="A49" s="289" t="s">
        <v>87</v>
      </c>
      <c r="B49" s="289" t="s">
        <v>255</v>
      </c>
      <c r="C49" s="289" t="s">
        <v>178</v>
      </c>
      <c r="D49" s="290">
        <v>36644</v>
      </c>
      <c r="E49" s="290">
        <v>2257</v>
      </c>
      <c r="F49" s="290">
        <v>640</v>
      </c>
      <c r="G49" s="290">
        <v>0</v>
      </c>
      <c r="H49" s="291">
        <v>84219</v>
      </c>
      <c r="I49" s="290">
        <v>18322</v>
      </c>
      <c r="J49" s="290">
        <v>0</v>
      </c>
      <c r="K49" s="290">
        <v>0</v>
      </c>
      <c r="L49" s="290">
        <v>0</v>
      </c>
      <c r="M49" s="291">
        <v>56909</v>
      </c>
      <c r="N49" s="290">
        <v>18322</v>
      </c>
      <c r="O49" s="290">
        <v>2257</v>
      </c>
      <c r="P49" s="290">
        <v>0</v>
      </c>
      <c r="Q49" s="290">
        <v>0</v>
      </c>
      <c r="R49" s="291">
        <v>20882</v>
      </c>
      <c r="S49" s="290">
        <v>0</v>
      </c>
      <c r="T49" s="290">
        <v>0</v>
      </c>
      <c r="U49" s="290">
        <v>0</v>
      </c>
      <c r="V49" s="290">
        <v>0</v>
      </c>
      <c r="W49" s="291">
        <v>5788</v>
      </c>
      <c r="X49" s="290">
        <v>0</v>
      </c>
      <c r="Y49" s="290">
        <v>0</v>
      </c>
      <c r="Z49" s="290">
        <v>640</v>
      </c>
      <c r="AA49" s="290">
        <v>0</v>
      </c>
      <c r="AB49" s="291">
        <v>640</v>
      </c>
      <c r="AC49" s="290">
        <v>0</v>
      </c>
      <c r="AD49" s="290">
        <v>0</v>
      </c>
      <c r="AE49" s="290">
        <v>0</v>
      </c>
      <c r="AF49" s="290">
        <v>0</v>
      </c>
      <c r="AG49" s="291">
        <v>0</v>
      </c>
    </row>
    <row r="50" spans="1:33" ht="15" x14ac:dyDescent="0.25">
      <c r="A50" s="289" t="s">
        <v>87</v>
      </c>
      <c r="B50" s="289" t="s">
        <v>256</v>
      </c>
      <c r="C50" s="289" t="s">
        <v>160</v>
      </c>
      <c r="D50" s="290">
        <v>29028</v>
      </c>
      <c r="E50" s="290">
        <v>1788</v>
      </c>
      <c r="F50" s="290">
        <v>507</v>
      </c>
      <c r="G50" s="290">
        <v>0</v>
      </c>
      <c r="H50" s="291">
        <v>66715</v>
      </c>
      <c r="I50" s="290">
        <v>14514</v>
      </c>
      <c r="J50" s="290">
        <v>0</v>
      </c>
      <c r="K50" s="290">
        <v>0</v>
      </c>
      <c r="L50" s="290">
        <v>0</v>
      </c>
      <c r="M50" s="291">
        <v>45081</v>
      </c>
      <c r="N50" s="290">
        <v>14514</v>
      </c>
      <c r="O50" s="290">
        <v>1788</v>
      </c>
      <c r="P50" s="290">
        <v>0</v>
      </c>
      <c r="Q50" s="290">
        <v>0</v>
      </c>
      <c r="R50" s="291">
        <v>16542</v>
      </c>
      <c r="S50" s="290">
        <v>0</v>
      </c>
      <c r="T50" s="290">
        <v>0</v>
      </c>
      <c r="U50" s="290">
        <v>0</v>
      </c>
      <c r="V50" s="290">
        <v>0</v>
      </c>
      <c r="W50" s="291">
        <v>4585</v>
      </c>
      <c r="X50" s="290">
        <v>0</v>
      </c>
      <c r="Y50" s="290">
        <v>0</v>
      </c>
      <c r="Z50" s="290">
        <v>507</v>
      </c>
      <c r="AA50" s="290">
        <v>0</v>
      </c>
      <c r="AB50" s="291">
        <v>507</v>
      </c>
      <c r="AC50" s="290">
        <v>0</v>
      </c>
      <c r="AD50" s="290">
        <v>0</v>
      </c>
      <c r="AE50" s="290">
        <v>0</v>
      </c>
      <c r="AF50" s="290">
        <v>0</v>
      </c>
      <c r="AG50" s="291">
        <v>0</v>
      </c>
    </row>
    <row r="51" spans="1:33" ht="15" x14ac:dyDescent="0.25">
      <c r="A51" s="289" t="s">
        <v>89</v>
      </c>
      <c r="B51" s="289" t="s">
        <v>254</v>
      </c>
      <c r="C51" s="289" t="s">
        <v>177</v>
      </c>
      <c r="D51" s="290">
        <v>7121</v>
      </c>
      <c r="E51" s="290">
        <v>439</v>
      </c>
      <c r="F51" s="290">
        <v>124</v>
      </c>
      <c r="G51" s="290">
        <v>0</v>
      </c>
      <c r="H51" s="291">
        <v>16367</v>
      </c>
      <c r="I51" s="290">
        <v>3560</v>
      </c>
      <c r="J51" s="290">
        <v>0</v>
      </c>
      <c r="K51" s="290">
        <v>0</v>
      </c>
      <c r="L51" s="290">
        <v>0</v>
      </c>
      <c r="M51" s="291">
        <v>11059</v>
      </c>
      <c r="N51" s="290">
        <v>3561</v>
      </c>
      <c r="O51" s="290">
        <v>439</v>
      </c>
      <c r="P51" s="290">
        <v>0</v>
      </c>
      <c r="Q51" s="290">
        <v>0</v>
      </c>
      <c r="R51" s="291">
        <v>4059</v>
      </c>
      <c r="S51" s="290">
        <v>0</v>
      </c>
      <c r="T51" s="290">
        <v>0</v>
      </c>
      <c r="U51" s="290">
        <v>0</v>
      </c>
      <c r="V51" s="290">
        <v>0</v>
      </c>
      <c r="W51" s="291">
        <v>1125</v>
      </c>
      <c r="X51" s="290">
        <v>0</v>
      </c>
      <c r="Y51" s="290">
        <v>0</v>
      </c>
      <c r="Z51" s="290">
        <v>124</v>
      </c>
      <c r="AA51" s="290">
        <v>0</v>
      </c>
      <c r="AB51" s="291">
        <v>124</v>
      </c>
      <c r="AC51" s="290">
        <v>0</v>
      </c>
      <c r="AD51" s="290">
        <v>0</v>
      </c>
      <c r="AE51" s="290">
        <v>0</v>
      </c>
      <c r="AF51" s="290">
        <v>0</v>
      </c>
      <c r="AG51" s="291">
        <v>0</v>
      </c>
    </row>
    <row r="52" spans="1:33" ht="15" x14ac:dyDescent="0.25">
      <c r="A52" s="289" t="s">
        <v>89</v>
      </c>
      <c r="B52" s="289" t="s">
        <v>255</v>
      </c>
      <c r="C52" s="289" t="s">
        <v>177</v>
      </c>
      <c r="D52" s="290">
        <v>0</v>
      </c>
      <c r="E52" s="290">
        <v>0</v>
      </c>
      <c r="F52" s="290">
        <v>0</v>
      </c>
      <c r="G52" s="290">
        <v>0</v>
      </c>
      <c r="H52" s="291">
        <v>0</v>
      </c>
      <c r="I52" s="290">
        <v>0</v>
      </c>
      <c r="J52" s="290">
        <v>0</v>
      </c>
      <c r="K52" s="290">
        <v>0</v>
      </c>
      <c r="L52" s="290">
        <v>0</v>
      </c>
      <c r="M52" s="291">
        <v>-57</v>
      </c>
      <c r="N52" s="290">
        <v>0</v>
      </c>
      <c r="O52" s="290">
        <v>0</v>
      </c>
      <c r="P52" s="290">
        <v>0</v>
      </c>
      <c r="Q52" s="290">
        <v>0</v>
      </c>
      <c r="R52" s="291">
        <v>0</v>
      </c>
      <c r="S52" s="290">
        <v>0</v>
      </c>
      <c r="T52" s="290">
        <v>0</v>
      </c>
      <c r="U52" s="290">
        <v>0</v>
      </c>
      <c r="V52" s="290">
        <v>0</v>
      </c>
      <c r="W52" s="291">
        <v>57</v>
      </c>
      <c r="X52" s="290">
        <v>0</v>
      </c>
      <c r="Y52" s="290">
        <v>0</v>
      </c>
      <c r="Z52" s="290">
        <v>0</v>
      </c>
      <c r="AA52" s="290">
        <v>0</v>
      </c>
      <c r="AB52" s="291">
        <v>0</v>
      </c>
      <c r="AC52" s="290">
        <v>0</v>
      </c>
      <c r="AD52" s="290">
        <v>0</v>
      </c>
      <c r="AE52" s="290">
        <v>0</v>
      </c>
      <c r="AF52" s="290">
        <v>0</v>
      </c>
      <c r="AG52" s="291">
        <v>0</v>
      </c>
    </row>
    <row r="53" spans="1:33" ht="15" x14ac:dyDescent="0.25">
      <c r="A53" s="289" t="s">
        <v>89</v>
      </c>
      <c r="B53" s="289" t="s">
        <v>255</v>
      </c>
      <c r="C53" s="289" t="s">
        <v>178</v>
      </c>
      <c r="D53" s="290">
        <v>9502</v>
      </c>
      <c r="E53" s="290">
        <v>585</v>
      </c>
      <c r="F53" s="290">
        <v>166</v>
      </c>
      <c r="G53" s="290">
        <v>0</v>
      </c>
      <c r="H53" s="291">
        <v>21840</v>
      </c>
      <c r="I53" s="290">
        <v>4750</v>
      </c>
      <c r="J53" s="290">
        <v>0</v>
      </c>
      <c r="K53" s="290">
        <v>0</v>
      </c>
      <c r="L53" s="290">
        <v>0</v>
      </c>
      <c r="M53" s="291">
        <v>14750</v>
      </c>
      <c r="N53" s="290">
        <v>4752</v>
      </c>
      <c r="O53" s="290">
        <v>585</v>
      </c>
      <c r="P53" s="290">
        <v>0</v>
      </c>
      <c r="Q53" s="290">
        <v>0</v>
      </c>
      <c r="R53" s="291">
        <v>5415</v>
      </c>
      <c r="S53" s="290">
        <v>0</v>
      </c>
      <c r="T53" s="290">
        <v>0</v>
      </c>
      <c r="U53" s="290">
        <v>0</v>
      </c>
      <c r="V53" s="290">
        <v>0</v>
      </c>
      <c r="W53" s="291">
        <v>1509</v>
      </c>
      <c r="X53" s="290">
        <v>0</v>
      </c>
      <c r="Y53" s="290">
        <v>0</v>
      </c>
      <c r="Z53" s="290">
        <v>166</v>
      </c>
      <c r="AA53" s="290">
        <v>0</v>
      </c>
      <c r="AB53" s="291">
        <v>166</v>
      </c>
      <c r="AC53" s="290">
        <v>0</v>
      </c>
      <c r="AD53" s="290">
        <v>0</v>
      </c>
      <c r="AE53" s="290">
        <v>0</v>
      </c>
      <c r="AF53" s="290">
        <v>0</v>
      </c>
      <c r="AG53" s="291">
        <v>0</v>
      </c>
    </row>
    <row r="54" spans="1:33" ht="15" x14ac:dyDescent="0.25">
      <c r="A54" s="289" t="s">
        <v>89</v>
      </c>
      <c r="B54" s="289" t="s">
        <v>256</v>
      </c>
      <c r="C54" s="289" t="s">
        <v>160</v>
      </c>
      <c r="D54" s="290">
        <v>10780</v>
      </c>
      <c r="E54" s="290">
        <v>664</v>
      </c>
      <c r="F54" s="290">
        <v>188</v>
      </c>
      <c r="G54" s="290">
        <v>0</v>
      </c>
      <c r="H54" s="291">
        <v>24776</v>
      </c>
      <c r="I54" s="290">
        <v>5390</v>
      </c>
      <c r="J54" s="290">
        <v>0</v>
      </c>
      <c r="K54" s="290">
        <v>0</v>
      </c>
      <c r="L54" s="290">
        <v>0</v>
      </c>
      <c r="M54" s="291">
        <v>16687</v>
      </c>
      <c r="N54" s="290">
        <v>5390</v>
      </c>
      <c r="O54" s="290">
        <v>664</v>
      </c>
      <c r="P54" s="290">
        <v>0</v>
      </c>
      <c r="Q54" s="290">
        <v>0</v>
      </c>
      <c r="R54" s="291">
        <v>6144</v>
      </c>
      <c r="S54" s="290">
        <v>0</v>
      </c>
      <c r="T54" s="290">
        <v>0</v>
      </c>
      <c r="U54" s="290">
        <v>0</v>
      </c>
      <c r="V54" s="290">
        <v>0</v>
      </c>
      <c r="W54" s="291">
        <v>1757</v>
      </c>
      <c r="X54" s="290">
        <v>0</v>
      </c>
      <c r="Y54" s="290">
        <v>0</v>
      </c>
      <c r="Z54" s="290">
        <v>188</v>
      </c>
      <c r="AA54" s="290">
        <v>0</v>
      </c>
      <c r="AB54" s="291">
        <v>188</v>
      </c>
      <c r="AC54" s="290">
        <v>0</v>
      </c>
      <c r="AD54" s="290">
        <v>0</v>
      </c>
      <c r="AE54" s="290">
        <v>0</v>
      </c>
      <c r="AF54" s="290">
        <v>0</v>
      </c>
      <c r="AG54" s="291">
        <v>0</v>
      </c>
    </row>
    <row r="55" spans="1:33" ht="15" x14ac:dyDescent="0.25">
      <c r="A55" s="289" t="s">
        <v>90</v>
      </c>
      <c r="B55" s="289" t="s">
        <v>254</v>
      </c>
      <c r="C55" s="289" t="s">
        <v>177</v>
      </c>
      <c r="D55" s="290">
        <v>50754</v>
      </c>
      <c r="E55" s="290">
        <v>1765</v>
      </c>
      <c r="F55" s="290">
        <v>1172</v>
      </c>
      <c r="G55" s="290">
        <v>0</v>
      </c>
      <c r="H55" s="291">
        <v>167093</v>
      </c>
      <c r="I55" s="290">
        <v>25377</v>
      </c>
      <c r="J55" s="290">
        <v>0</v>
      </c>
      <c r="K55" s="290">
        <v>0</v>
      </c>
      <c r="L55" s="290">
        <v>0</v>
      </c>
      <c r="M55" s="291">
        <v>112084</v>
      </c>
      <c r="N55" s="290">
        <v>23143</v>
      </c>
      <c r="O55" s="290">
        <v>1732</v>
      </c>
      <c r="P55" s="290">
        <v>294</v>
      </c>
      <c r="Q55" s="290">
        <v>0</v>
      </c>
      <c r="R55" s="291">
        <v>25782</v>
      </c>
      <c r="S55" s="290">
        <v>0</v>
      </c>
      <c r="T55" s="290">
        <v>0</v>
      </c>
      <c r="U55" s="290">
        <v>0</v>
      </c>
      <c r="V55" s="290">
        <v>0</v>
      </c>
      <c r="W55" s="291">
        <v>26082</v>
      </c>
      <c r="X55" s="290">
        <v>2234</v>
      </c>
      <c r="Y55" s="290">
        <v>33</v>
      </c>
      <c r="Z55" s="290">
        <v>878</v>
      </c>
      <c r="AA55" s="290">
        <v>0</v>
      </c>
      <c r="AB55" s="291">
        <v>3145</v>
      </c>
      <c r="AC55" s="290">
        <v>0</v>
      </c>
      <c r="AD55" s="290">
        <v>0</v>
      </c>
      <c r="AE55" s="290">
        <v>0</v>
      </c>
      <c r="AF55" s="290">
        <v>0</v>
      </c>
      <c r="AG55" s="291">
        <v>0</v>
      </c>
    </row>
    <row r="56" spans="1:33" ht="15" x14ac:dyDescent="0.25">
      <c r="A56" s="289" t="s">
        <v>90</v>
      </c>
      <c r="B56" s="289" t="s">
        <v>255</v>
      </c>
      <c r="C56" s="289" t="s">
        <v>178</v>
      </c>
      <c r="D56" s="290">
        <v>42851</v>
      </c>
      <c r="E56" s="290">
        <v>1610</v>
      </c>
      <c r="F56" s="290">
        <v>965</v>
      </c>
      <c r="G56" s="290">
        <v>0</v>
      </c>
      <c r="H56" s="291">
        <v>136632</v>
      </c>
      <c r="I56" s="290">
        <v>21426</v>
      </c>
      <c r="J56" s="290">
        <v>0</v>
      </c>
      <c r="K56" s="290">
        <v>0</v>
      </c>
      <c r="L56" s="290">
        <v>0</v>
      </c>
      <c r="M56" s="291">
        <v>91703</v>
      </c>
      <c r="N56" s="290">
        <v>19736</v>
      </c>
      <c r="O56" s="290">
        <v>1585</v>
      </c>
      <c r="P56" s="290">
        <v>223</v>
      </c>
      <c r="Q56" s="290">
        <v>0</v>
      </c>
      <c r="R56" s="291">
        <v>22043</v>
      </c>
      <c r="S56" s="290">
        <v>0</v>
      </c>
      <c r="T56" s="290">
        <v>0</v>
      </c>
      <c r="U56" s="290">
        <v>0</v>
      </c>
      <c r="V56" s="290">
        <v>0</v>
      </c>
      <c r="W56" s="291">
        <v>20430</v>
      </c>
      <c r="X56" s="290">
        <v>1689</v>
      </c>
      <c r="Y56" s="290">
        <v>25</v>
      </c>
      <c r="Z56" s="290">
        <v>742</v>
      </c>
      <c r="AA56" s="290">
        <v>0</v>
      </c>
      <c r="AB56" s="291">
        <v>2456</v>
      </c>
      <c r="AC56" s="290">
        <v>0</v>
      </c>
      <c r="AD56" s="290">
        <v>0</v>
      </c>
      <c r="AE56" s="290">
        <v>0</v>
      </c>
      <c r="AF56" s="290">
        <v>0</v>
      </c>
      <c r="AG56" s="291">
        <v>0</v>
      </c>
    </row>
    <row r="57" spans="1:33" ht="15" x14ac:dyDescent="0.25">
      <c r="A57" s="289" t="s">
        <v>90</v>
      </c>
      <c r="B57" s="289" t="s">
        <v>256</v>
      </c>
      <c r="C57" s="289" t="s">
        <v>160</v>
      </c>
      <c r="D57" s="290">
        <v>40661</v>
      </c>
      <c r="E57" s="290">
        <v>1314</v>
      </c>
      <c r="F57" s="290">
        <v>960</v>
      </c>
      <c r="G57" s="290">
        <v>0</v>
      </c>
      <c r="H57" s="291">
        <v>137563</v>
      </c>
      <c r="I57" s="290">
        <v>20331</v>
      </c>
      <c r="J57" s="290">
        <v>0</v>
      </c>
      <c r="K57" s="290">
        <v>0</v>
      </c>
      <c r="L57" s="290">
        <v>0</v>
      </c>
      <c r="M57" s="291">
        <v>92234</v>
      </c>
      <c r="N57" s="290">
        <v>18376</v>
      </c>
      <c r="O57" s="290">
        <v>1286</v>
      </c>
      <c r="P57" s="290">
        <v>257</v>
      </c>
      <c r="Q57" s="290">
        <v>0</v>
      </c>
      <c r="R57" s="291">
        <v>20423</v>
      </c>
      <c r="S57" s="290">
        <v>0</v>
      </c>
      <c r="T57" s="290">
        <v>0</v>
      </c>
      <c r="U57" s="290">
        <v>0</v>
      </c>
      <c r="V57" s="290">
        <v>0</v>
      </c>
      <c r="W57" s="291">
        <v>22221</v>
      </c>
      <c r="X57" s="290">
        <v>1954</v>
      </c>
      <c r="Y57" s="290">
        <v>28</v>
      </c>
      <c r="Z57" s="290">
        <v>703</v>
      </c>
      <c r="AA57" s="290">
        <v>0</v>
      </c>
      <c r="AB57" s="291">
        <v>2685</v>
      </c>
      <c r="AC57" s="290">
        <v>0</v>
      </c>
      <c r="AD57" s="290">
        <v>0</v>
      </c>
      <c r="AE57" s="290">
        <v>0</v>
      </c>
      <c r="AF57" s="290">
        <v>0</v>
      </c>
      <c r="AG57" s="291">
        <v>0</v>
      </c>
    </row>
    <row r="58" spans="1:33" ht="15" x14ac:dyDescent="0.25">
      <c r="A58" s="289" t="s">
        <v>91</v>
      </c>
      <c r="B58" s="289" t="s">
        <v>254</v>
      </c>
      <c r="C58" s="289" t="s">
        <v>177</v>
      </c>
      <c r="D58" s="290">
        <v>26972</v>
      </c>
      <c r="E58" s="290">
        <v>568</v>
      </c>
      <c r="F58" s="290">
        <v>701</v>
      </c>
      <c r="G58" s="290">
        <v>0</v>
      </c>
      <c r="H58" s="291">
        <v>102518</v>
      </c>
      <c r="I58" s="290">
        <v>13486</v>
      </c>
      <c r="J58" s="290">
        <v>0</v>
      </c>
      <c r="K58" s="290">
        <v>0</v>
      </c>
      <c r="L58" s="290">
        <v>0</v>
      </c>
      <c r="M58" s="291">
        <v>68611</v>
      </c>
      <c r="N58" s="290">
        <v>11691</v>
      </c>
      <c r="O58" s="290">
        <v>542</v>
      </c>
      <c r="P58" s="290">
        <v>236</v>
      </c>
      <c r="Q58" s="290">
        <v>0</v>
      </c>
      <c r="R58" s="291">
        <v>12847</v>
      </c>
      <c r="S58" s="290">
        <v>0</v>
      </c>
      <c r="T58" s="290">
        <v>0</v>
      </c>
      <c r="U58" s="290">
        <v>0</v>
      </c>
      <c r="V58" s="290">
        <v>0</v>
      </c>
      <c r="W58" s="291">
        <v>18774</v>
      </c>
      <c r="X58" s="290">
        <v>1795</v>
      </c>
      <c r="Y58" s="290">
        <v>26</v>
      </c>
      <c r="Z58" s="290">
        <v>465</v>
      </c>
      <c r="AA58" s="290">
        <v>0</v>
      </c>
      <c r="AB58" s="291">
        <v>2286</v>
      </c>
      <c r="AC58" s="290">
        <v>0</v>
      </c>
      <c r="AD58" s="290">
        <v>0</v>
      </c>
      <c r="AE58" s="290">
        <v>0</v>
      </c>
      <c r="AF58" s="290">
        <v>0</v>
      </c>
      <c r="AG58" s="291">
        <v>0</v>
      </c>
    </row>
    <row r="59" spans="1:33" ht="15" x14ac:dyDescent="0.25">
      <c r="A59" s="289" t="s">
        <v>91</v>
      </c>
      <c r="B59" s="289" t="s">
        <v>255</v>
      </c>
      <c r="C59" s="289" t="s">
        <v>178</v>
      </c>
      <c r="D59" s="290">
        <v>29322</v>
      </c>
      <c r="E59" s="290">
        <v>832</v>
      </c>
      <c r="F59" s="290">
        <v>717</v>
      </c>
      <c r="G59" s="290">
        <v>0</v>
      </c>
      <c r="H59" s="291">
        <v>103447</v>
      </c>
      <c r="I59" s="290">
        <v>14661</v>
      </c>
      <c r="J59" s="290">
        <v>0</v>
      </c>
      <c r="K59" s="290">
        <v>0</v>
      </c>
      <c r="L59" s="290">
        <v>0</v>
      </c>
      <c r="M59" s="291">
        <v>69313</v>
      </c>
      <c r="N59" s="290">
        <v>13064</v>
      </c>
      <c r="O59" s="290">
        <v>809</v>
      </c>
      <c r="P59" s="290">
        <v>210</v>
      </c>
      <c r="Q59" s="290">
        <v>0</v>
      </c>
      <c r="R59" s="291">
        <v>14462</v>
      </c>
      <c r="S59" s="290">
        <v>0</v>
      </c>
      <c r="T59" s="290">
        <v>0</v>
      </c>
      <c r="U59" s="290">
        <v>0</v>
      </c>
      <c r="V59" s="290">
        <v>0</v>
      </c>
      <c r="W59" s="291">
        <v>17545</v>
      </c>
      <c r="X59" s="290">
        <v>1597</v>
      </c>
      <c r="Y59" s="290">
        <v>23</v>
      </c>
      <c r="Z59" s="290">
        <v>507</v>
      </c>
      <c r="AA59" s="290">
        <v>0</v>
      </c>
      <c r="AB59" s="291">
        <v>2127</v>
      </c>
      <c r="AC59" s="290">
        <v>0</v>
      </c>
      <c r="AD59" s="290">
        <v>0</v>
      </c>
      <c r="AE59" s="290">
        <v>0</v>
      </c>
      <c r="AF59" s="290">
        <v>0</v>
      </c>
      <c r="AG59" s="291">
        <v>0</v>
      </c>
    </row>
    <row r="60" spans="1:33" ht="15" x14ac:dyDescent="0.25">
      <c r="A60" s="289" t="s">
        <v>91</v>
      </c>
      <c r="B60" s="289" t="s">
        <v>256</v>
      </c>
      <c r="C60" s="289" t="s">
        <v>160</v>
      </c>
      <c r="D60" s="290">
        <v>15864</v>
      </c>
      <c r="E60" s="290">
        <v>514</v>
      </c>
      <c r="F60" s="290">
        <v>374</v>
      </c>
      <c r="G60" s="290">
        <v>0</v>
      </c>
      <c r="H60" s="291">
        <v>53625</v>
      </c>
      <c r="I60" s="290">
        <v>7932</v>
      </c>
      <c r="J60" s="290">
        <v>0</v>
      </c>
      <c r="K60" s="290">
        <v>0</v>
      </c>
      <c r="L60" s="290">
        <v>0</v>
      </c>
      <c r="M60" s="291">
        <v>35955</v>
      </c>
      <c r="N60" s="290">
        <v>7172</v>
      </c>
      <c r="O60" s="290">
        <v>503</v>
      </c>
      <c r="P60" s="290">
        <v>100</v>
      </c>
      <c r="Q60" s="290">
        <v>0</v>
      </c>
      <c r="R60" s="291">
        <v>7972</v>
      </c>
      <c r="S60" s="290">
        <v>0</v>
      </c>
      <c r="T60" s="290">
        <v>0</v>
      </c>
      <c r="U60" s="290">
        <v>0</v>
      </c>
      <c r="V60" s="290">
        <v>0</v>
      </c>
      <c r="W60" s="291">
        <v>8653</v>
      </c>
      <c r="X60" s="290">
        <v>760</v>
      </c>
      <c r="Y60" s="290">
        <v>11</v>
      </c>
      <c r="Z60" s="290">
        <v>274</v>
      </c>
      <c r="AA60" s="290">
        <v>0</v>
      </c>
      <c r="AB60" s="291">
        <v>1045</v>
      </c>
      <c r="AC60" s="290">
        <v>0</v>
      </c>
      <c r="AD60" s="290">
        <v>0</v>
      </c>
      <c r="AE60" s="290">
        <v>0</v>
      </c>
      <c r="AF60" s="290">
        <v>0</v>
      </c>
      <c r="AG60" s="291">
        <v>0</v>
      </c>
    </row>
    <row r="61" spans="1:33" ht="15" x14ac:dyDescent="0.25">
      <c r="A61" s="289" t="s">
        <v>92</v>
      </c>
      <c r="B61" s="289" t="s">
        <v>254</v>
      </c>
      <c r="C61" s="289" t="s">
        <v>177</v>
      </c>
      <c r="D61" s="290">
        <v>62181</v>
      </c>
      <c r="E61" s="290">
        <v>1901</v>
      </c>
      <c r="F61" s="290">
        <v>1491</v>
      </c>
      <c r="G61" s="290">
        <v>0</v>
      </c>
      <c r="H61" s="291">
        <v>214339</v>
      </c>
      <c r="I61" s="290">
        <v>31090</v>
      </c>
      <c r="J61" s="290">
        <v>0</v>
      </c>
      <c r="K61" s="290">
        <v>0</v>
      </c>
      <c r="L61" s="290">
        <v>0</v>
      </c>
      <c r="M61" s="291">
        <v>143667</v>
      </c>
      <c r="N61" s="290">
        <v>27927</v>
      </c>
      <c r="O61" s="290">
        <v>1855</v>
      </c>
      <c r="P61" s="290">
        <v>417</v>
      </c>
      <c r="Q61" s="290">
        <v>0</v>
      </c>
      <c r="R61" s="291">
        <v>30986</v>
      </c>
      <c r="S61" s="290">
        <v>0</v>
      </c>
      <c r="T61" s="290">
        <v>0</v>
      </c>
      <c r="U61" s="290">
        <v>0</v>
      </c>
      <c r="V61" s="290">
        <v>0</v>
      </c>
      <c r="W61" s="291">
        <v>35402</v>
      </c>
      <c r="X61" s="290">
        <v>3164</v>
      </c>
      <c r="Y61" s="290">
        <v>46</v>
      </c>
      <c r="Z61" s="290">
        <v>1074</v>
      </c>
      <c r="AA61" s="290">
        <v>0</v>
      </c>
      <c r="AB61" s="291">
        <v>4284</v>
      </c>
      <c r="AC61" s="290">
        <v>0</v>
      </c>
      <c r="AD61" s="290">
        <v>0</v>
      </c>
      <c r="AE61" s="290">
        <v>0</v>
      </c>
      <c r="AF61" s="290">
        <v>0</v>
      </c>
      <c r="AG61" s="291">
        <v>0</v>
      </c>
    </row>
    <row r="62" spans="1:33" ht="15" x14ac:dyDescent="0.25">
      <c r="A62" s="289" t="s">
        <v>92</v>
      </c>
      <c r="B62" s="289" t="s">
        <v>255</v>
      </c>
      <c r="C62" s="289" t="s">
        <v>177</v>
      </c>
      <c r="D62" s="290">
        <v>15391</v>
      </c>
      <c r="E62" s="290">
        <v>113</v>
      </c>
      <c r="F62" s="290">
        <v>444</v>
      </c>
      <c r="G62" s="290">
        <v>0</v>
      </c>
      <c r="H62" s="291">
        <v>66312</v>
      </c>
      <c r="I62" s="290">
        <v>7696</v>
      </c>
      <c r="J62" s="290">
        <v>0</v>
      </c>
      <c r="K62" s="290">
        <v>0</v>
      </c>
      <c r="L62" s="290">
        <v>0</v>
      </c>
      <c r="M62" s="291">
        <v>44303</v>
      </c>
      <c r="N62" s="290">
        <v>6325</v>
      </c>
      <c r="O62" s="290">
        <v>93</v>
      </c>
      <c r="P62" s="290">
        <v>180</v>
      </c>
      <c r="Q62" s="290">
        <v>0</v>
      </c>
      <c r="R62" s="291">
        <v>6843</v>
      </c>
      <c r="S62" s="290">
        <v>0</v>
      </c>
      <c r="T62" s="290">
        <v>0</v>
      </c>
      <c r="U62" s="290">
        <v>0</v>
      </c>
      <c r="V62" s="290">
        <v>0</v>
      </c>
      <c r="W62" s="291">
        <v>13512</v>
      </c>
      <c r="X62" s="290">
        <v>1370</v>
      </c>
      <c r="Y62" s="290">
        <v>20</v>
      </c>
      <c r="Z62" s="290">
        <v>264</v>
      </c>
      <c r="AA62" s="290">
        <v>0</v>
      </c>
      <c r="AB62" s="291">
        <v>1654</v>
      </c>
      <c r="AC62" s="290">
        <v>0</v>
      </c>
      <c r="AD62" s="290">
        <v>0</v>
      </c>
      <c r="AE62" s="290">
        <v>0</v>
      </c>
      <c r="AF62" s="290">
        <v>0</v>
      </c>
      <c r="AG62" s="291">
        <v>0</v>
      </c>
    </row>
    <row r="63" spans="1:33" ht="15" x14ac:dyDescent="0.25">
      <c r="A63" s="289" t="s">
        <v>92</v>
      </c>
      <c r="B63" s="289" t="s">
        <v>255</v>
      </c>
      <c r="C63" s="289" t="s">
        <v>178</v>
      </c>
      <c r="D63" s="290">
        <v>65518</v>
      </c>
      <c r="E63" s="290">
        <v>480</v>
      </c>
      <c r="F63" s="290">
        <v>1891</v>
      </c>
      <c r="G63" s="290">
        <v>0</v>
      </c>
      <c r="H63" s="291">
        <v>282283</v>
      </c>
      <c r="I63" s="290">
        <v>32759</v>
      </c>
      <c r="J63" s="290">
        <v>0</v>
      </c>
      <c r="K63" s="290">
        <v>0</v>
      </c>
      <c r="L63" s="290">
        <v>0</v>
      </c>
      <c r="M63" s="291">
        <v>188593</v>
      </c>
      <c r="N63" s="290">
        <v>26924</v>
      </c>
      <c r="O63" s="290">
        <v>395</v>
      </c>
      <c r="P63" s="290">
        <v>768</v>
      </c>
      <c r="Q63" s="290">
        <v>0</v>
      </c>
      <c r="R63" s="291">
        <v>29132</v>
      </c>
      <c r="S63" s="290">
        <v>0</v>
      </c>
      <c r="T63" s="290">
        <v>0</v>
      </c>
      <c r="U63" s="290">
        <v>0</v>
      </c>
      <c r="V63" s="290">
        <v>0</v>
      </c>
      <c r="W63" s="291">
        <v>57515</v>
      </c>
      <c r="X63" s="290">
        <v>5835</v>
      </c>
      <c r="Y63" s="290">
        <v>85</v>
      </c>
      <c r="Z63" s="290">
        <v>1123</v>
      </c>
      <c r="AA63" s="290">
        <v>0</v>
      </c>
      <c r="AB63" s="291">
        <v>7043</v>
      </c>
      <c r="AC63" s="290">
        <v>0</v>
      </c>
      <c r="AD63" s="290">
        <v>0</v>
      </c>
      <c r="AE63" s="290">
        <v>0</v>
      </c>
      <c r="AF63" s="290">
        <v>0</v>
      </c>
      <c r="AG63" s="291">
        <v>0</v>
      </c>
    </row>
    <row r="64" spans="1:33" ht="15" x14ac:dyDescent="0.25">
      <c r="A64" s="289" t="s">
        <v>92</v>
      </c>
      <c r="B64" s="289" t="s">
        <v>256</v>
      </c>
      <c r="C64" s="289" t="s">
        <v>177</v>
      </c>
      <c r="D64" s="290">
        <v>-15391</v>
      </c>
      <c r="E64" s="290">
        <v>-113</v>
      </c>
      <c r="F64" s="290">
        <v>-444</v>
      </c>
      <c r="G64" s="290">
        <v>0</v>
      </c>
      <c r="H64" s="291">
        <v>-66312</v>
      </c>
      <c r="I64" s="290">
        <v>-7696</v>
      </c>
      <c r="J64" s="290">
        <v>0</v>
      </c>
      <c r="K64" s="290">
        <v>0</v>
      </c>
      <c r="L64" s="290">
        <v>0</v>
      </c>
      <c r="M64" s="291">
        <v>-44303</v>
      </c>
      <c r="N64" s="290">
        <v>-6325</v>
      </c>
      <c r="O64" s="290">
        <v>-93</v>
      </c>
      <c r="P64" s="290">
        <v>-180</v>
      </c>
      <c r="Q64" s="290">
        <v>0</v>
      </c>
      <c r="R64" s="291">
        <v>-6843</v>
      </c>
      <c r="S64" s="290">
        <v>0</v>
      </c>
      <c r="T64" s="290">
        <v>0</v>
      </c>
      <c r="U64" s="290">
        <v>0</v>
      </c>
      <c r="V64" s="290">
        <v>0</v>
      </c>
      <c r="W64" s="291">
        <v>-13512</v>
      </c>
      <c r="X64" s="290">
        <v>-1370</v>
      </c>
      <c r="Y64" s="290">
        <v>-20</v>
      </c>
      <c r="Z64" s="290">
        <v>-264</v>
      </c>
      <c r="AA64" s="290">
        <v>0</v>
      </c>
      <c r="AB64" s="291">
        <v>-1654</v>
      </c>
      <c r="AC64" s="290">
        <v>0</v>
      </c>
      <c r="AD64" s="290">
        <v>0</v>
      </c>
      <c r="AE64" s="290">
        <v>0</v>
      </c>
      <c r="AF64" s="290">
        <v>0</v>
      </c>
      <c r="AG64" s="291">
        <v>0</v>
      </c>
    </row>
    <row r="65" spans="1:33" ht="15" x14ac:dyDescent="0.25">
      <c r="A65" s="289" t="s">
        <v>92</v>
      </c>
      <c r="B65" s="289" t="s">
        <v>256</v>
      </c>
      <c r="C65" s="289" t="s">
        <v>178</v>
      </c>
      <c r="D65" s="290">
        <v>-65518</v>
      </c>
      <c r="E65" s="290">
        <v>-480</v>
      </c>
      <c r="F65" s="290">
        <v>-1891</v>
      </c>
      <c r="G65" s="290">
        <v>0</v>
      </c>
      <c r="H65" s="291">
        <v>-282283</v>
      </c>
      <c r="I65" s="290">
        <v>-32759</v>
      </c>
      <c r="J65" s="290">
        <v>0</v>
      </c>
      <c r="K65" s="290">
        <v>0</v>
      </c>
      <c r="L65" s="290">
        <v>0</v>
      </c>
      <c r="M65" s="291">
        <v>-188593</v>
      </c>
      <c r="N65" s="290">
        <v>-26924</v>
      </c>
      <c r="O65" s="290">
        <v>-395</v>
      </c>
      <c r="P65" s="290">
        <v>-768</v>
      </c>
      <c r="Q65" s="290">
        <v>0</v>
      </c>
      <c r="R65" s="291">
        <v>-29132</v>
      </c>
      <c r="S65" s="290">
        <v>0</v>
      </c>
      <c r="T65" s="290">
        <v>0</v>
      </c>
      <c r="U65" s="290">
        <v>0</v>
      </c>
      <c r="V65" s="290">
        <v>0</v>
      </c>
      <c r="W65" s="291">
        <v>-57515</v>
      </c>
      <c r="X65" s="290">
        <v>-5835</v>
      </c>
      <c r="Y65" s="290">
        <v>-85</v>
      </c>
      <c r="Z65" s="290">
        <v>-1123</v>
      </c>
      <c r="AA65" s="290">
        <v>0</v>
      </c>
      <c r="AB65" s="291">
        <v>-7043</v>
      </c>
      <c r="AC65" s="290">
        <v>0</v>
      </c>
      <c r="AD65" s="290">
        <v>0</v>
      </c>
      <c r="AE65" s="290">
        <v>0</v>
      </c>
      <c r="AF65" s="290">
        <v>0</v>
      </c>
      <c r="AG65" s="291">
        <v>0</v>
      </c>
    </row>
    <row r="66" spans="1:33" ht="15" x14ac:dyDescent="0.25">
      <c r="A66" s="289" t="s">
        <v>92</v>
      </c>
      <c r="B66" s="289" t="s">
        <v>256</v>
      </c>
      <c r="C66" s="289" t="s">
        <v>160</v>
      </c>
      <c r="D66" s="290">
        <v>44414</v>
      </c>
      <c r="E66" s="290">
        <v>325</v>
      </c>
      <c r="F66" s="290">
        <v>1282</v>
      </c>
      <c r="G66" s="290">
        <v>0</v>
      </c>
      <c r="H66" s="291">
        <v>191356</v>
      </c>
      <c r="I66" s="290">
        <v>22207</v>
      </c>
      <c r="J66" s="290">
        <v>0</v>
      </c>
      <c r="K66" s="290">
        <v>0</v>
      </c>
      <c r="L66" s="290">
        <v>0</v>
      </c>
      <c r="M66" s="291">
        <v>127845</v>
      </c>
      <c r="N66" s="290">
        <v>18253</v>
      </c>
      <c r="O66" s="290">
        <v>267</v>
      </c>
      <c r="P66" s="290">
        <v>521</v>
      </c>
      <c r="Q66" s="290">
        <v>0</v>
      </c>
      <c r="R66" s="291">
        <v>19749</v>
      </c>
      <c r="S66" s="290">
        <v>0</v>
      </c>
      <c r="T66" s="290">
        <v>0</v>
      </c>
      <c r="U66" s="290">
        <v>0</v>
      </c>
      <c r="V66" s="290">
        <v>0</v>
      </c>
      <c r="W66" s="291">
        <v>38989</v>
      </c>
      <c r="X66" s="290">
        <v>3954</v>
      </c>
      <c r="Y66" s="290">
        <v>58</v>
      </c>
      <c r="Z66" s="290">
        <v>761</v>
      </c>
      <c r="AA66" s="290">
        <v>0</v>
      </c>
      <c r="AB66" s="291">
        <v>4773</v>
      </c>
      <c r="AC66" s="290">
        <v>0</v>
      </c>
      <c r="AD66" s="290">
        <v>0</v>
      </c>
      <c r="AE66" s="290">
        <v>0</v>
      </c>
      <c r="AF66" s="290">
        <v>0</v>
      </c>
      <c r="AG66" s="291">
        <v>0</v>
      </c>
    </row>
    <row r="67" spans="1:33" ht="15" x14ac:dyDescent="0.25">
      <c r="A67" s="289" t="s">
        <v>93</v>
      </c>
      <c r="B67" s="289" t="s">
        <v>254</v>
      </c>
      <c r="C67" s="289" t="s">
        <v>177</v>
      </c>
      <c r="D67" s="290">
        <v>24399</v>
      </c>
      <c r="E67" s="290">
        <v>408</v>
      </c>
      <c r="F67" s="290">
        <v>656</v>
      </c>
      <c r="G67" s="290">
        <v>0</v>
      </c>
      <c r="H67" s="291">
        <v>96639</v>
      </c>
      <c r="I67" s="290">
        <v>12200</v>
      </c>
      <c r="J67" s="290">
        <v>0</v>
      </c>
      <c r="K67" s="290">
        <v>0</v>
      </c>
      <c r="L67" s="290">
        <v>0</v>
      </c>
      <c r="M67" s="291">
        <v>64639</v>
      </c>
      <c r="N67" s="290">
        <v>10403</v>
      </c>
      <c r="O67" s="290">
        <v>382</v>
      </c>
      <c r="P67" s="290">
        <v>236</v>
      </c>
      <c r="Q67" s="290">
        <v>0</v>
      </c>
      <c r="R67" s="291">
        <v>11377</v>
      </c>
      <c r="S67" s="290">
        <v>0</v>
      </c>
      <c r="T67" s="290">
        <v>0</v>
      </c>
      <c r="U67" s="290">
        <v>0</v>
      </c>
      <c r="V67" s="290">
        <v>0</v>
      </c>
      <c r="W67" s="291">
        <v>18381</v>
      </c>
      <c r="X67" s="290">
        <v>1796</v>
      </c>
      <c r="Y67" s="290">
        <v>26</v>
      </c>
      <c r="Z67" s="290">
        <v>420</v>
      </c>
      <c r="AA67" s="290">
        <v>0</v>
      </c>
      <c r="AB67" s="291">
        <v>2242</v>
      </c>
      <c r="AC67" s="290">
        <v>0</v>
      </c>
      <c r="AD67" s="290">
        <v>0</v>
      </c>
      <c r="AE67" s="290">
        <v>0</v>
      </c>
      <c r="AF67" s="290">
        <v>0</v>
      </c>
      <c r="AG67" s="291">
        <v>0</v>
      </c>
    </row>
    <row r="68" spans="1:33" ht="15" x14ac:dyDescent="0.25">
      <c r="A68" s="289" t="s">
        <v>93</v>
      </c>
      <c r="B68" s="289" t="s">
        <v>255</v>
      </c>
      <c r="C68" s="289" t="s">
        <v>178</v>
      </c>
      <c r="D68" s="290">
        <v>28960</v>
      </c>
      <c r="E68" s="290">
        <v>857</v>
      </c>
      <c r="F68" s="290">
        <v>701</v>
      </c>
      <c r="G68" s="290">
        <v>0</v>
      </c>
      <c r="H68" s="291">
        <v>100883</v>
      </c>
      <c r="I68" s="290">
        <v>14480</v>
      </c>
      <c r="J68" s="290">
        <v>0</v>
      </c>
      <c r="K68" s="290">
        <v>0</v>
      </c>
      <c r="L68" s="290">
        <v>0</v>
      </c>
      <c r="M68" s="291">
        <v>67608</v>
      </c>
      <c r="N68" s="290">
        <v>12960</v>
      </c>
      <c r="O68" s="290">
        <v>835</v>
      </c>
      <c r="P68" s="290">
        <v>200</v>
      </c>
      <c r="Q68" s="290">
        <v>0</v>
      </c>
      <c r="R68" s="291">
        <v>14364</v>
      </c>
      <c r="S68" s="290">
        <v>0</v>
      </c>
      <c r="T68" s="290">
        <v>0</v>
      </c>
      <c r="U68" s="290">
        <v>0</v>
      </c>
      <c r="V68" s="290">
        <v>0</v>
      </c>
      <c r="W68" s="291">
        <v>16868</v>
      </c>
      <c r="X68" s="290">
        <v>1520</v>
      </c>
      <c r="Y68" s="290">
        <v>22</v>
      </c>
      <c r="Z68" s="290">
        <v>501</v>
      </c>
      <c r="AA68" s="290">
        <v>0</v>
      </c>
      <c r="AB68" s="291">
        <v>2043</v>
      </c>
      <c r="AC68" s="290">
        <v>0</v>
      </c>
      <c r="AD68" s="290">
        <v>0</v>
      </c>
      <c r="AE68" s="290">
        <v>0</v>
      </c>
      <c r="AF68" s="290">
        <v>0</v>
      </c>
      <c r="AG68" s="291">
        <v>0</v>
      </c>
    </row>
    <row r="69" spans="1:33" ht="15" x14ac:dyDescent="0.25">
      <c r="A69" s="289" t="s">
        <v>93</v>
      </c>
      <c r="B69" s="289" t="s">
        <v>256</v>
      </c>
      <c r="C69" s="289" t="s">
        <v>177</v>
      </c>
      <c r="D69" s="290">
        <v>-3563</v>
      </c>
      <c r="E69" s="290">
        <v>-26</v>
      </c>
      <c r="F69" s="290">
        <v>-103</v>
      </c>
      <c r="G69" s="290">
        <v>0</v>
      </c>
      <c r="H69" s="291">
        <v>-15351</v>
      </c>
      <c r="I69" s="290">
        <v>-1782</v>
      </c>
      <c r="J69" s="290">
        <v>0</v>
      </c>
      <c r="K69" s="290">
        <v>0</v>
      </c>
      <c r="L69" s="290">
        <v>0</v>
      </c>
      <c r="M69" s="291">
        <v>-10256</v>
      </c>
      <c r="N69" s="290">
        <v>-1465</v>
      </c>
      <c r="O69" s="290">
        <v>-21</v>
      </c>
      <c r="P69" s="290">
        <v>-42</v>
      </c>
      <c r="Q69" s="290">
        <v>0</v>
      </c>
      <c r="R69" s="291">
        <v>-1585</v>
      </c>
      <c r="S69" s="290">
        <v>0</v>
      </c>
      <c r="T69" s="290">
        <v>0</v>
      </c>
      <c r="U69" s="290">
        <v>0</v>
      </c>
      <c r="V69" s="290">
        <v>0</v>
      </c>
      <c r="W69" s="291">
        <v>-3128</v>
      </c>
      <c r="X69" s="290">
        <v>-316</v>
      </c>
      <c r="Y69" s="290">
        <v>-5</v>
      </c>
      <c r="Z69" s="290">
        <v>-61</v>
      </c>
      <c r="AA69" s="290">
        <v>0</v>
      </c>
      <c r="AB69" s="291">
        <v>-382</v>
      </c>
      <c r="AC69" s="290">
        <v>0</v>
      </c>
      <c r="AD69" s="290">
        <v>0</v>
      </c>
      <c r="AE69" s="290">
        <v>0</v>
      </c>
      <c r="AF69" s="290">
        <v>0</v>
      </c>
      <c r="AG69" s="291">
        <v>0</v>
      </c>
    </row>
    <row r="70" spans="1:33" ht="15" x14ac:dyDescent="0.25">
      <c r="A70" s="289" t="s">
        <v>93</v>
      </c>
      <c r="B70" s="289" t="s">
        <v>256</v>
      </c>
      <c r="C70" s="289" t="s">
        <v>160</v>
      </c>
      <c r="D70" s="290">
        <v>16193</v>
      </c>
      <c r="E70" s="290">
        <v>119</v>
      </c>
      <c r="F70" s="290">
        <v>467</v>
      </c>
      <c r="G70" s="290">
        <v>0</v>
      </c>
      <c r="H70" s="291">
        <v>69766</v>
      </c>
      <c r="I70" s="290">
        <v>8097</v>
      </c>
      <c r="J70" s="290">
        <v>0</v>
      </c>
      <c r="K70" s="290">
        <v>0</v>
      </c>
      <c r="L70" s="290">
        <v>0</v>
      </c>
      <c r="M70" s="291">
        <v>46610</v>
      </c>
      <c r="N70" s="290">
        <v>6654</v>
      </c>
      <c r="O70" s="290">
        <v>98</v>
      </c>
      <c r="P70" s="290">
        <v>190</v>
      </c>
      <c r="Q70" s="290">
        <v>0</v>
      </c>
      <c r="R70" s="291">
        <v>7201</v>
      </c>
      <c r="S70" s="290">
        <v>0</v>
      </c>
      <c r="T70" s="290">
        <v>0</v>
      </c>
      <c r="U70" s="290">
        <v>0</v>
      </c>
      <c r="V70" s="290">
        <v>0</v>
      </c>
      <c r="W70" s="291">
        <v>14215</v>
      </c>
      <c r="X70" s="290">
        <v>1442</v>
      </c>
      <c r="Y70" s="290">
        <v>21</v>
      </c>
      <c r="Z70" s="290">
        <v>277</v>
      </c>
      <c r="AA70" s="290">
        <v>0</v>
      </c>
      <c r="AB70" s="291">
        <v>1740</v>
      </c>
      <c r="AC70" s="290">
        <v>0</v>
      </c>
      <c r="AD70" s="290">
        <v>0</v>
      </c>
      <c r="AE70" s="290">
        <v>0</v>
      </c>
      <c r="AF70" s="290">
        <v>0</v>
      </c>
      <c r="AG70" s="291">
        <v>0</v>
      </c>
    </row>
    <row r="71" spans="1:33" ht="15" x14ac:dyDescent="0.25">
      <c r="A71" s="289" t="s">
        <v>97</v>
      </c>
      <c r="B71" s="289" t="s">
        <v>254</v>
      </c>
      <c r="C71" s="289" t="s">
        <v>177</v>
      </c>
      <c r="D71" s="290">
        <v>23338</v>
      </c>
      <c r="E71" s="290">
        <v>779</v>
      </c>
      <c r="F71" s="290">
        <v>546</v>
      </c>
      <c r="G71" s="290">
        <v>0</v>
      </c>
      <c r="H71" s="291">
        <v>78042</v>
      </c>
      <c r="I71" s="290">
        <v>11669</v>
      </c>
      <c r="J71" s="290">
        <v>0</v>
      </c>
      <c r="K71" s="290">
        <v>0</v>
      </c>
      <c r="L71" s="290">
        <v>0</v>
      </c>
      <c r="M71" s="291">
        <v>52334</v>
      </c>
      <c r="N71" s="290">
        <v>10589</v>
      </c>
      <c r="O71" s="290">
        <v>763</v>
      </c>
      <c r="P71" s="290">
        <v>142</v>
      </c>
      <c r="Q71" s="290">
        <v>0</v>
      </c>
      <c r="R71" s="291">
        <v>11781</v>
      </c>
      <c r="S71" s="290">
        <v>0</v>
      </c>
      <c r="T71" s="290">
        <v>0</v>
      </c>
      <c r="U71" s="290">
        <v>0</v>
      </c>
      <c r="V71" s="290">
        <v>0</v>
      </c>
      <c r="W71" s="291">
        <v>12427</v>
      </c>
      <c r="X71" s="290">
        <v>1080</v>
      </c>
      <c r="Y71" s="290">
        <v>16</v>
      </c>
      <c r="Z71" s="290">
        <v>404</v>
      </c>
      <c r="AA71" s="290">
        <v>0</v>
      </c>
      <c r="AB71" s="291">
        <v>1500</v>
      </c>
      <c r="AC71" s="290">
        <v>0</v>
      </c>
      <c r="AD71" s="290">
        <v>0</v>
      </c>
      <c r="AE71" s="290">
        <v>0</v>
      </c>
      <c r="AF71" s="290">
        <v>0</v>
      </c>
      <c r="AG71" s="291">
        <v>0</v>
      </c>
    </row>
    <row r="72" spans="1:33" ht="15" x14ac:dyDescent="0.25">
      <c r="A72" s="289" t="s">
        <v>97</v>
      </c>
      <c r="B72" s="289" t="s">
        <v>255</v>
      </c>
      <c r="C72" s="289" t="s">
        <v>178</v>
      </c>
      <c r="D72" s="290">
        <v>17148</v>
      </c>
      <c r="E72" s="290">
        <v>441</v>
      </c>
      <c r="F72" s="290">
        <v>429</v>
      </c>
      <c r="G72" s="290">
        <v>0</v>
      </c>
      <c r="H72" s="291">
        <v>62194</v>
      </c>
      <c r="I72" s="290">
        <v>8574</v>
      </c>
      <c r="J72" s="290">
        <v>0</v>
      </c>
      <c r="K72" s="290">
        <v>0</v>
      </c>
      <c r="L72" s="290">
        <v>0</v>
      </c>
      <c r="M72" s="291">
        <v>41652</v>
      </c>
      <c r="N72" s="290">
        <v>7565</v>
      </c>
      <c r="O72" s="290">
        <v>426</v>
      </c>
      <c r="P72" s="290">
        <v>133</v>
      </c>
      <c r="Q72" s="290">
        <v>0</v>
      </c>
      <c r="R72" s="291">
        <v>8353</v>
      </c>
      <c r="S72" s="290">
        <v>0</v>
      </c>
      <c r="T72" s="290">
        <v>0</v>
      </c>
      <c r="U72" s="290">
        <v>0</v>
      </c>
      <c r="V72" s="290">
        <v>0</v>
      </c>
      <c r="W72" s="291">
        <v>10869</v>
      </c>
      <c r="X72" s="290">
        <v>1009</v>
      </c>
      <c r="Y72" s="290">
        <v>15</v>
      </c>
      <c r="Z72" s="290">
        <v>296</v>
      </c>
      <c r="AA72" s="290">
        <v>0</v>
      </c>
      <c r="AB72" s="291">
        <v>1320</v>
      </c>
      <c r="AC72" s="290">
        <v>0</v>
      </c>
      <c r="AD72" s="290">
        <v>0</v>
      </c>
      <c r="AE72" s="290">
        <v>0</v>
      </c>
      <c r="AF72" s="290">
        <v>0</v>
      </c>
      <c r="AG72" s="291">
        <v>0</v>
      </c>
    </row>
    <row r="73" spans="1:33" ht="15" x14ac:dyDescent="0.25">
      <c r="A73" s="289" t="s">
        <v>97</v>
      </c>
      <c r="B73" s="289" t="s">
        <v>256</v>
      </c>
      <c r="C73" s="289" t="s">
        <v>160</v>
      </c>
      <c r="D73" s="290">
        <v>17211</v>
      </c>
      <c r="E73" s="290">
        <v>442</v>
      </c>
      <c r="F73" s="290">
        <v>431</v>
      </c>
      <c r="G73" s="290">
        <v>0</v>
      </c>
      <c r="H73" s="291">
        <v>62451</v>
      </c>
      <c r="I73" s="290">
        <v>8605</v>
      </c>
      <c r="J73" s="290">
        <v>0</v>
      </c>
      <c r="K73" s="290">
        <v>0</v>
      </c>
      <c r="L73" s="290">
        <v>0</v>
      </c>
      <c r="M73" s="291">
        <v>41824</v>
      </c>
      <c r="N73" s="290">
        <v>7592</v>
      </c>
      <c r="O73" s="290">
        <v>427</v>
      </c>
      <c r="P73" s="290">
        <v>134</v>
      </c>
      <c r="Q73" s="290">
        <v>0</v>
      </c>
      <c r="R73" s="291">
        <v>8382</v>
      </c>
      <c r="S73" s="290">
        <v>0</v>
      </c>
      <c r="T73" s="290">
        <v>0</v>
      </c>
      <c r="U73" s="290">
        <v>0</v>
      </c>
      <c r="V73" s="290">
        <v>0</v>
      </c>
      <c r="W73" s="291">
        <v>10919</v>
      </c>
      <c r="X73" s="290">
        <v>1014</v>
      </c>
      <c r="Y73" s="290">
        <v>15</v>
      </c>
      <c r="Z73" s="290">
        <v>297</v>
      </c>
      <c r="AA73" s="290">
        <v>0</v>
      </c>
      <c r="AB73" s="291">
        <v>1326</v>
      </c>
      <c r="AC73" s="290">
        <v>0</v>
      </c>
      <c r="AD73" s="290">
        <v>0</v>
      </c>
      <c r="AE73" s="290">
        <v>0</v>
      </c>
      <c r="AF73" s="290">
        <v>0</v>
      </c>
      <c r="AG73" s="291">
        <v>0</v>
      </c>
    </row>
    <row r="74" spans="1:33" ht="15" x14ac:dyDescent="0.25">
      <c r="A74" s="289" t="s">
        <v>98</v>
      </c>
      <c r="B74" s="289" t="s">
        <v>254</v>
      </c>
      <c r="C74" s="289" t="s">
        <v>177</v>
      </c>
      <c r="D74" s="290">
        <v>11405</v>
      </c>
      <c r="E74" s="290">
        <v>703</v>
      </c>
      <c r="F74" s="290">
        <v>199</v>
      </c>
      <c r="G74" s="290">
        <v>0</v>
      </c>
      <c r="H74" s="291">
        <v>26213</v>
      </c>
      <c r="I74" s="290">
        <v>5702</v>
      </c>
      <c r="J74" s="290">
        <v>0</v>
      </c>
      <c r="K74" s="290">
        <v>0</v>
      </c>
      <c r="L74" s="290">
        <v>0</v>
      </c>
      <c r="M74" s="291">
        <v>17713</v>
      </c>
      <c r="N74" s="290">
        <v>5703</v>
      </c>
      <c r="O74" s="290">
        <v>703</v>
      </c>
      <c r="P74" s="290">
        <v>0</v>
      </c>
      <c r="Q74" s="290">
        <v>0</v>
      </c>
      <c r="R74" s="291">
        <v>6500</v>
      </c>
      <c r="S74" s="290">
        <v>0</v>
      </c>
      <c r="T74" s="290">
        <v>0</v>
      </c>
      <c r="U74" s="290">
        <v>0</v>
      </c>
      <c r="V74" s="290">
        <v>0</v>
      </c>
      <c r="W74" s="291">
        <v>1801</v>
      </c>
      <c r="X74" s="290">
        <v>0</v>
      </c>
      <c r="Y74" s="290">
        <v>0</v>
      </c>
      <c r="Z74" s="290">
        <v>199</v>
      </c>
      <c r="AA74" s="290">
        <v>0</v>
      </c>
      <c r="AB74" s="291">
        <v>199</v>
      </c>
      <c r="AC74" s="290">
        <v>0</v>
      </c>
      <c r="AD74" s="290">
        <v>0</v>
      </c>
      <c r="AE74" s="290">
        <v>0</v>
      </c>
      <c r="AF74" s="290">
        <v>0</v>
      </c>
      <c r="AG74" s="291">
        <v>0</v>
      </c>
    </row>
    <row r="75" spans="1:33" ht="15" x14ac:dyDescent="0.25">
      <c r="A75" s="289" t="s">
        <v>98</v>
      </c>
      <c r="B75" s="289" t="s">
        <v>255</v>
      </c>
      <c r="C75" s="289" t="s">
        <v>178</v>
      </c>
      <c r="D75" s="290">
        <v>16036</v>
      </c>
      <c r="E75" s="290">
        <v>988</v>
      </c>
      <c r="F75" s="290">
        <v>280</v>
      </c>
      <c r="G75" s="290">
        <v>0</v>
      </c>
      <c r="H75" s="291">
        <v>36857</v>
      </c>
      <c r="I75" s="290">
        <v>8018</v>
      </c>
      <c r="J75" s="290">
        <v>0</v>
      </c>
      <c r="K75" s="290">
        <v>0</v>
      </c>
      <c r="L75" s="290">
        <v>0</v>
      </c>
      <c r="M75" s="291">
        <v>24905</v>
      </c>
      <c r="N75" s="290">
        <v>8018</v>
      </c>
      <c r="O75" s="290">
        <v>988</v>
      </c>
      <c r="P75" s="290">
        <v>0</v>
      </c>
      <c r="Q75" s="290">
        <v>0</v>
      </c>
      <c r="R75" s="291">
        <v>9139</v>
      </c>
      <c r="S75" s="290">
        <v>0</v>
      </c>
      <c r="T75" s="290">
        <v>0</v>
      </c>
      <c r="U75" s="290">
        <v>0</v>
      </c>
      <c r="V75" s="290">
        <v>0</v>
      </c>
      <c r="W75" s="291">
        <v>2533</v>
      </c>
      <c r="X75" s="290">
        <v>0</v>
      </c>
      <c r="Y75" s="290">
        <v>0</v>
      </c>
      <c r="Z75" s="290">
        <v>280</v>
      </c>
      <c r="AA75" s="290">
        <v>0</v>
      </c>
      <c r="AB75" s="291">
        <v>280</v>
      </c>
      <c r="AC75" s="290">
        <v>0</v>
      </c>
      <c r="AD75" s="290">
        <v>0</v>
      </c>
      <c r="AE75" s="290">
        <v>0</v>
      </c>
      <c r="AF75" s="290">
        <v>0</v>
      </c>
      <c r="AG75" s="291">
        <v>0</v>
      </c>
    </row>
    <row r="76" spans="1:33" ht="15" x14ac:dyDescent="0.25">
      <c r="A76" s="289" t="s">
        <v>98</v>
      </c>
      <c r="B76" s="289" t="s">
        <v>256</v>
      </c>
      <c r="C76" s="289" t="s">
        <v>160</v>
      </c>
      <c r="D76" s="290">
        <v>24623</v>
      </c>
      <c r="E76" s="290">
        <v>318</v>
      </c>
      <c r="F76" s="290">
        <v>682</v>
      </c>
      <c r="G76" s="290">
        <v>0</v>
      </c>
      <c r="H76" s="291">
        <v>100997</v>
      </c>
      <c r="I76" s="290">
        <v>12311</v>
      </c>
      <c r="J76" s="290">
        <v>0</v>
      </c>
      <c r="K76" s="290">
        <v>0</v>
      </c>
      <c r="L76" s="290">
        <v>0</v>
      </c>
      <c r="M76" s="291">
        <v>67520</v>
      </c>
      <c r="N76" s="290">
        <v>10346</v>
      </c>
      <c r="O76" s="290">
        <v>289</v>
      </c>
      <c r="P76" s="290">
        <v>259</v>
      </c>
      <c r="Q76" s="290">
        <v>0</v>
      </c>
      <c r="R76" s="291">
        <v>11267</v>
      </c>
      <c r="S76" s="290">
        <v>0</v>
      </c>
      <c r="T76" s="290">
        <v>0</v>
      </c>
      <c r="U76" s="290">
        <v>0</v>
      </c>
      <c r="V76" s="290">
        <v>0</v>
      </c>
      <c r="W76" s="291">
        <v>19792</v>
      </c>
      <c r="X76" s="290">
        <v>1966</v>
      </c>
      <c r="Y76" s="290">
        <v>29</v>
      </c>
      <c r="Z76" s="290">
        <v>423</v>
      </c>
      <c r="AA76" s="290">
        <v>0</v>
      </c>
      <c r="AB76" s="291">
        <v>2418</v>
      </c>
      <c r="AC76" s="290">
        <v>0</v>
      </c>
      <c r="AD76" s="290">
        <v>0</v>
      </c>
      <c r="AE76" s="290">
        <v>0</v>
      </c>
      <c r="AF76" s="290">
        <v>0</v>
      </c>
      <c r="AG76" s="291">
        <v>0</v>
      </c>
    </row>
    <row r="77" spans="1:33" ht="15" x14ac:dyDescent="0.25">
      <c r="A77" s="289" t="s">
        <v>99</v>
      </c>
      <c r="B77" s="289" t="s">
        <v>254</v>
      </c>
      <c r="C77" s="289" t="s">
        <v>177</v>
      </c>
      <c r="D77" s="290">
        <v>10101</v>
      </c>
      <c r="E77" s="290">
        <v>74</v>
      </c>
      <c r="F77" s="290">
        <v>292</v>
      </c>
      <c r="G77" s="290">
        <v>0</v>
      </c>
      <c r="H77" s="291">
        <v>43522</v>
      </c>
      <c r="I77" s="290">
        <v>5051</v>
      </c>
      <c r="J77" s="290">
        <v>0</v>
      </c>
      <c r="K77" s="290">
        <v>0</v>
      </c>
      <c r="L77" s="290">
        <v>0</v>
      </c>
      <c r="M77" s="291">
        <v>29078</v>
      </c>
      <c r="N77" s="290">
        <v>4151</v>
      </c>
      <c r="O77" s="290">
        <v>61</v>
      </c>
      <c r="P77" s="290">
        <v>119</v>
      </c>
      <c r="Q77" s="290">
        <v>0</v>
      </c>
      <c r="R77" s="291">
        <v>4491</v>
      </c>
      <c r="S77" s="290">
        <v>0</v>
      </c>
      <c r="T77" s="290">
        <v>0</v>
      </c>
      <c r="U77" s="290">
        <v>0</v>
      </c>
      <c r="V77" s="290">
        <v>0</v>
      </c>
      <c r="W77" s="291">
        <v>8868</v>
      </c>
      <c r="X77" s="290">
        <v>899</v>
      </c>
      <c r="Y77" s="290">
        <v>13</v>
      </c>
      <c r="Z77" s="290">
        <v>173</v>
      </c>
      <c r="AA77" s="290">
        <v>0</v>
      </c>
      <c r="AB77" s="291">
        <v>1085</v>
      </c>
      <c r="AC77" s="290">
        <v>0</v>
      </c>
      <c r="AD77" s="290">
        <v>0</v>
      </c>
      <c r="AE77" s="290">
        <v>0</v>
      </c>
      <c r="AF77" s="290">
        <v>0</v>
      </c>
      <c r="AG77" s="291">
        <v>0</v>
      </c>
    </row>
    <row r="78" spans="1:33" ht="15" x14ac:dyDescent="0.25">
      <c r="A78" s="289" t="s">
        <v>99</v>
      </c>
      <c r="B78" s="289" t="s">
        <v>255</v>
      </c>
      <c r="C78" s="289" t="s">
        <v>178</v>
      </c>
      <c r="D78" s="290">
        <v>10065</v>
      </c>
      <c r="E78" s="290">
        <v>74</v>
      </c>
      <c r="F78" s="290">
        <v>291</v>
      </c>
      <c r="G78" s="290">
        <v>0</v>
      </c>
      <c r="H78" s="291">
        <v>43364</v>
      </c>
      <c r="I78" s="290">
        <v>5033</v>
      </c>
      <c r="J78" s="290">
        <v>0</v>
      </c>
      <c r="K78" s="290">
        <v>0</v>
      </c>
      <c r="L78" s="290">
        <v>0</v>
      </c>
      <c r="M78" s="291">
        <v>28971</v>
      </c>
      <c r="N78" s="290">
        <v>4137</v>
      </c>
      <c r="O78" s="290">
        <v>61</v>
      </c>
      <c r="P78" s="290">
        <v>118</v>
      </c>
      <c r="Q78" s="290">
        <v>0</v>
      </c>
      <c r="R78" s="291">
        <v>4476</v>
      </c>
      <c r="S78" s="290">
        <v>0</v>
      </c>
      <c r="T78" s="290">
        <v>0</v>
      </c>
      <c r="U78" s="290">
        <v>0</v>
      </c>
      <c r="V78" s="290">
        <v>0</v>
      </c>
      <c r="W78" s="291">
        <v>8836</v>
      </c>
      <c r="X78" s="290">
        <v>895</v>
      </c>
      <c r="Y78" s="290">
        <v>13</v>
      </c>
      <c r="Z78" s="290">
        <v>173</v>
      </c>
      <c r="AA78" s="290">
        <v>0</v>
      </c>
      <c r="AB78" s="291">
        <v>1081</v>
      </c>
      <c r="AC78" s="290">
        <v>0</v>
      </c>
      <c r="AD78" s="290">
        <v>0</v>
      </c>
      <c r="AE78" s="290">
        <v>0</v>
      </c>
      <c r="AF78" s="290">
        <v>0</v>
      </c>
      <c r="AG78" s="291">
        <v>0</v>
      </c>
    </row>
    <row r="79" spans="1:33" ht="15" x14ac:dyDescent="0.25">
      <c r="A79" s="289" t="s">
        <v>99</v>
      </c>
      <c r="B79" s="289" t="s">
        <v>256</v>
      </c>
      <c r="C79" s="289" t="s">
        <v>160</v>
      </c>
      <c r="D79" s="290">
        <v>10791</v>
      </c>
      <c r="E79" s="290">
        <v>79</v>
      </c>
      <c r="F79" s="290">
        <v>311</v>
      </c>
      <c r="G79" s="290">
        <v>0</v>
      </c>
      <c r="H79" s="291">
        <v>46491</v>
      </c>
      <c r="I79" s="290">
        <v>5396</v>
      </c>
      <c r="J79" s="290">
        <v>0</v>
      </c>
      <c r="K79" s="290">
        <v>0</v>
      </c>
      <c r="L79" s="290">
        <v>0</v>
      </c>
      <c r="M79" s="291">
        <v>31060</v>
      </c>
      <c r="N79" s="290">
        <v>4435</v>
      </c>
      <c r="O79" s="290">
        <v>65</v>
      </c>
      <c r="P79" s="290">
        <v>126</v>
      </c>
      <c r="Q79" s="290">
        <v>0</v>
      </c>
      <c r="R79" s="291">
        <v>4799</v>
      </c>
      <c r="S79" s="290">
        <v>0</v>
      </c>
      <c r="T79" s="290">
        <v>0</v>
      </c>
      <c r="U79" s="290">
        <v>0</v>
      </c>
      <c r="V79" s="290">
        <v>0</v>
      </c>
      <c r="W79" s="291">
        <v>9473</v>
      </c>
      <c r="X79" s="290">
        <v>960</v>
      </c>
      <c r="Y79" s="290">
        <v>14</v>
      </c>
      <c r="Z79" s="290">
        <v>185</v>
      </c>
      <c r="AA79" s="290">
        <v>0</v>
      </c>
      <c r="AB79" s="291">
        <v>1159</v>
      </c>
      <c r="AC79" s="290">
        <v>0</v>
      </c>
      <c r="AD79" s="290">
        <v>0</v>
      </c>
      <c r="AE79" s="290">
        <v>0</v>
      </c>
      <c r="AF79" s="290">
        <v>0</v>
      </c>
      <c r="AG79" s="291">
        <v>0</v>
      </c>
    </row>
    <row r="80" spans="1:33" ht="15" x14ac:dyDescent="0.25">
      <c r="A80" s="289" t="s">
        <v>103</v>
      </c>
      <c r="B80" s="289" t="s">
        <v>254</v>
      </c>
      <c r="C80" s="289" t="s">
        <v>177</v>
      </c>
      <c r="D80" s="290">
        <v>21063</v>
      </c>
      <c r="E80" s="290">
        <v>295</v>
      </c>
      <c r="F80" s="290">
        <v>578</v>
      </c>
      <c r="G80" s="290">
        <v>0</v>
      </c>
      <c r="H80" s="291">
        <v>85541</v>
      </c>
      <c r="I80" s="290">
        <v>10531</v>
      </c>
      <c r="J80" s="290">
        <v>0</v>
      </c>
      <c r="K80" s="290">
        <v>0</v>
      </c>
      <c r="L80" s="290">
        <v>0</v>
      </c>
      <c r="M80" s="291">
        <v>56808</v>
      </c>
      <c r="N80" s="290">
        <v>8887</v>
      </c>
      <c r="O80" s="290">
        <v>271</v>
      </c>
      <c r="P80" s="290">
        <v>217</v>
      </c>
      <c r="Q80" s="290">
        <v>0</v>
      </c>
      <c r="R80" s="291">
        <v>9691</v>
      </c>
      <c r="S80" s="290">
        <v>0</v>
      </c>
      <c r="T80" s="290">
        <v>0</v>
      </c>
      <c r="U80" s="290">
        <v>0</v>
      </c>
      <c r="V80" s="290">
        <v>0</v>
      </c>
      <c r="W80" s="291">
        <v>17012</v>
      </c>
      <c r="X80" s="290">
        <v>1645</v>
      </c>
      <c r="Y80" s="290">
        <v>24</v>
      </c>
      <c r="Z80" s="290">
        <v>361</v>
      </c>
      <c r="AA80" s="290">
        <v>0</v>
      </c>
      <c r="AB80" s="291">
        <v>2030</v>
      </c>
      <c r="AC80" s="290">
        <v>0</v>
      </c>
      <c r="AD80" s="290">
        <v>0</v>
      </c>
      <c r="AE80" s="290">
        <v>0</v>
      </c>
      <c r="AF80" s="290">
        <v>0</v>
      </c>
      <c r="AG80" s="291">
        <v>0</v>
      </c>
    </row>
    <row r="81" spans="1:33" ht="15" x14ac:dyDescent="0.25">
      <c r="A81" s="289" t="s">
        <v>103</v>
      </c>
      <c r="B81" s="289" t="s">
        <v>255</v>
      </c>
      <c r="C81" s="289" t="s">
        <v>177</v>
      </c>
      <c r="D81" s="290">
        <v>0</v>
      </c>
      <c r="E81" s="290">
        <v>0</v>
      </c>
      <c r="F81" s="290">
        <v>0</v>
      </c>
      <c r="G81" s="290">
        <v>0</v>
      </c>
      <c r="H81" s="291">
        <v>0</v>
      </c>
      <c r="I81" s="290">
        <v>0</v>
      </c>
      <c r="J81" s="290">
        <v>0</v>
      </c>
      <c r="K81" s="290">
        <v>0</v>
      </c>
      <c r="L81" s="290">
        <v>0</v>
      </c>
      <c r="M81" s="291">
        <v>386</v>
      </c>
      <c r="N81" s="290">
        <v>0</v>
      </c>
      <c r="O81" s="290">
        <v>0</v>
      </c>
      <c r="P81" s="290">
        <v>0</v>
      </c>
      <c r="Q81" s="290">
        <v>0</v>
      </c>
      <c r="R81" s="291">
        <v>0</v>
      </c>
      <c r="S81" s="290">
        <v>0</v>
      </c>
      <c r="T81" s="290">
        <v>0</v>
      </c>
      <c r="U81" s="290">
        <v>0</v>
      </c>
      <c r="V81" s="290">
        <v>0</v>
      </c>
      <c r="W81" s="291">
        <v>-386</v>
      </c>
      <c r="X81" s="290">
        <v>0</v>
      </c>
      <c r="Y81" s="290">
        <v>0</v>
      </c>
      <c r="Z81" s="290">
        <v>0</v>
      </c>
      <c r="AA81" s="290">
        <v>0</v>
      </c>
      <c r="AB81" s="291">
        <v>0</v>
      </c>
      <c r="AC81" s="290">
        <v>0</v>
      </c>
      <c r="AD81" s="290">
        <v>0</v>
      </c>
      <c r="AE81" s="290">
        <v>0</v>
      </c>
      <c r="AF81" s="290">
        <v>0</v>
      </c>
      <c r="AG81" s="291">
        <v>0</v>
      </c>
    </row>
    <row r="82" spans="1:33" ht="15" x14ac:dyDescent="0.25">
      <c r="A82" s="289" t="s">
        <v>103</v>
      </c>
      <c r="B82" s="289" t="s">
        <v>255</v>
      </c>
      <c r="C82" s="289" t="s">
        <v>178</v>
      </c>
      <c r="D82" s="290">
        <v>22445</v>
      </c>
      <c r="E82" s="290">
        <v>295</v>
      </c>
      <c r="F82" s="290">
        <v>620</v>
      </c>
      <c r="G82" s="290">
        <v>0</v>
      </c>
      <c r="H82" s="291">
        <v>91865</v>
      </c>
      <c r="I82" s="290">
        <v>11223</v>
      </c>
      <c r="J82" s="290">
        <v>0</v>
      </c>
      <c r="K82" s="290">
        <v>0</v>
      </c>
      <c r="L82" s="290">
        <v>0</v>
      </c>
      <c r="M82" s="291">
        <v>61418</v>
      </c>
      <c r="N82" s="290">
        <v>9438</v>
      </c>
      <c r="O82" s="290">
        <v>269</v>
      </c>
      <c r="P82" s="290">
        <v>235</v>
      </c>
      <c r="Q82" s="290">
        <v>0</v>
      </c>
      <c r="R82" s="291">
        <v>10281</v>
      </c>
      <c r="S82" s="290">
        <v>0</v>
      </c>
      <c r="T82" s="290">
        <v>0</v>
      </c>
      <c r="U82" s="290">
        <v>0</v>
      </c>
      <c r="V82" s="290">
        <v>0</v>
      </c>
      <c r="W82" s="291">
        <v>17971</v>
      </c>
      <c r="X82" s="290">
        <v>1784</v>
      </c>
      <c r="Y82" s="290">
        <v>26</v>
      </c>
      <c r="Z82" s="290">
        <v>385</v>
      </c>
      <c r="AA82" s="290">
        <v>0</v>
      </c>
      <c r="AB82" s="291">
        <v>2195</v>
      </c>
      <c r="AC82" s="290">
        <v>0</v>
      </c>
      <c r="AD82" s="290">
        <v>0</v>
      </c>
      <c r="AE82" s="290">
        <v>0</v>
      </c>
      <c r="AF82" s="290">
        <v>0</v>
      </c>
      <c r="AG82" s="291">
        <v>0</v>
      </c>
    </row>
    <row r="83" spans="1:33" ht="15" x14ac:dyDescent="0.25">
      <c r="A83" s="289" t="s">
        <v>103</v>
      </c>
      <c r="B83" s="289" t="s">
        <v>256</v>
      </c>
      <c r="C83" s="289" t="s">
        <v>177</v>
      </c>
      <c r="D83" s="290">
        <v>743</v>
      </c>
      <c r="E83" s="290">
        <v>5</v>
      </c>
      <c r="F83" s="290">
        <v>21</v>
      </c>
      <c r="G83" s="290">
        <v>0</v>
      </c>
      <c r="H83" s="291">
        <v>3202</v>
      </c>
      <c r="I83" s="290">
        <v>372</v>
      </c>
      <c r="J83" s="290">
        <v>0</v>
      </c>
      <c r="K83" s="290">
        <v>0</v>
      </c>
      <c r="L83" s="290">
        <v>0</v>
      </c>
      <c r="M83" s="291">
        <v>2140</v>
      </c>
      <c r="N83" s="290">
        <v>306</v>
      </c>
      <c r="O83" s="290">
        <v>4</v>
      </c>
      <c r="P83" s="290">
        <v>9</v>
      </c>
      <c r="Q83" s="290">
        <v>0</v>
      </c>
      <c r="R83" s="291">
        <v>331</v>
      </c>
      <c r="S83" s="290">
        <v>0</v>
      </c>
      <c r="T83" s="290">
        <v>0</v>
      </c>
      <c r="U83" s="290">
        <v>0</v>
      </c>
      <c r="V83" s="290">
        <v>0</v>
      </c>
      <c r="W83" s="291">
        <v>653</v>
      </c>
      <c r="X83" s="290">
        <v>65</v>
      </c>
      <c r="Y83" s="290">
        <v>1</v>
      </c>
      <c r="Z83" s="290">
        <v>12</v>
      </c>
      <c r="AA83" s="290">
        <v>0</v>
      </c>
      <c r="AB83" s="291">
        <v>78</v>
      </c>
      <c r="AC83" s="290">
        <v>0</v>
      </c>
      <c r="AD83" s="290">
        <v>0</v>
      </c>
      <c r="AE83" s="290">
        <v>0</v>
      </c>
      <c r="AF83" s="290">
        <v>0</v>
      </c>
      <c r="AG83" s="291">
        <v>0</v>
      </c>
    </row>
    <row r="84" spans="1:33" ht="15" x14ac:dyDescent="0.25">
      <c r="A84" s="289" t="s">
        <v>103</v>
      </c>
      <c r="B84" s="289" t="s">
        <v>256</v>
      </c>
      <c r="C84" s="289" t="s">
        <v>160</v>
      </c>
      <c r="D84" s="290">
        <v>27183</v>
      </c>
      <c r="E84" s="290">
        <v>576</v>
      </c>
      <c r="F84" s="290">
        <v>705</v>
      </c>
      <c r="G84" s="290">
        <v>0</v>
      </c>
      <c r="H84" s="291">
        <v>103150</v>
      </c>
      <c r="I84" s="290">
        <v>13592</v>
      </c>
      <c r="J84" s="290">
        <v>0</v>
      </c>
      <c r="K84" s="290">
        <v>0</v>
      </c>
      <c r="L84" s="290">
        <v>0</v>
      </c>
      <c r="M84" s="291">
        <v>69037</v>
      </c>
      <c r="N84" s="290">
        <v>11790</v>
      </c>
      <c r="O84" s="290">
        <v>550</v>
      </c>
      <c r="P84" s="290">
        <v>237</v>
      </c>
      <c r="Q84" s="290">
        <v>0</v>
      </c>
      <c r="R84" s="291">
        <v>12957</v>
      </c>
      <c r="S84" s="290">
        <v>0</v>
      </c>
      <c r="T84" s="290">
        <v>0</v>
      </c>
      <c r="U84" s="290">
        <v>0</v>
      </c>
      <c r="V84" s="290">
        <v>0</v>
      </c>
      <c r="W84" s="291">
        <v>18861</v>
      </c>
      <c r="X84" s="290">
        <v>1801</v>
      </c>
      <c r="Y84" s="290">
        <v>26</v>
      </c>
      <c r="Z84" s="290">
        <v>468</v>
      </c>
      <c r="AA84" s="290">
        <v>0</v>
      </c>
      <c r="AB84" s="291">
        <v>2295</v>
      </c>
      <c r="AC84" s="290">
        <v>0</v>
      </c>
      <c r="AD84" s="290">
        <v>0</v>
      </c>
      <c r="AE84" s="290">
        <v>0</v>
      </c>
      <c r="AF84" s="290">
        <v>0</v>
      </c>
      <c r="AG84" s="291">
        <v>0</v>
      </c>
    </row>
    <row r="85" spans="1:33" ht="15" x14ac:dyDescent="0.25">
      <c r="A85" s="289" t="s">
        <v>105</v>
      </c>
      <c r="B85" s="289" t="s">
        <v>254</v>
      </c>
      <c r="C85" s="289" t="s">
        <v>177</v>
      </c>
      <c r="D85" s="290">
        <v>11374</v>
      </c>
      <c r="E85" s="290">
        <v>701</v>
      </c>
      <c r="F85" s="290">
        <v>199</v>
      </c>
      <c r="G85" s="290">
        <v>0</v>
      </c>
      <c r="H85" s="291">
        <v>26140</v>
      </c>
      <c r="I85" s="290">
        <v>5687</v>
      </c>
      <c r="J85" s="290">
        <v>0</v>
      </c>
      <c r="K85" s="290">
        <v>0</v>
      </c>
      <c r="L85" s="290">
        <v>0</v>
      </c>
      <c r="M85" s="291">
        <v>17663</v>
      </c>
      <c r="N85" s="290">
        <v>5687</v>
      </c>
      <c r="O85" s="290">
        <v>701</v>
      </c>
      <c r="P85" s="290">
        <v>0</v>
      </c>
      <c r="Q85" s="290">
        <v>0</v>
      </c>
      <c r="R85" s="291">
        <v>6481</v>
      </c>
      <c r="S85" s="290">
        <v>0</v>
      </c>
      <c r="T85" s="290">
        <v>0</v>
      </c>
      <c r="U85" s="290">
        <v>0</v>
      </c>
      <c r="V85" s="290">
        <v>0</v>
      </c>
      <c r="W85" s="291">
        <v>1797</v>
      </c>
      <c r="X85" s="290">
        <v>0</v>
      </c>
      <c r="Y85" s="290">
        <v>0</v>
      </c>
      <c r="Z85" s="290">
        <v>199</v>
      </c>
      <c r="AA85" s="290">
        <v>0</v>
      </c>
      <c r="AB85" s="291">
        <v>199</v>
      </c>
      <c r="AC85" s="290">
        <v>0</v>
      </c>
      <c r="AD85" s="290">
        <v>0</v>
      </c>
      <c r="AE85" s="290">
        <v>0</v>
      </c>
      <c r="AF85" s="290">
        <v>0</v>
      </c>
      <c r="AG85" s="291">
        <v>0</v>
      </c>
    </row>
    <row r="86" spans="1:33" ht="15" x14ac:dyDescent="0.25">
      <c r="A86" s="289" t="s">
        <v>105</v>
      </c>
      <c r="B86" s="289" t="s">
        <v>255</v>
      </c>
      <c r="C86" s="289" t="s">
        <v>178</v>
      </c>
      <c r="D86" s="290">
        <v>54360</v>
      </c>
      <c r="E86" s="290">
        <v>1125</v>
      </c>
      <c r="F86" s="290">
        <v>1416</v>
      </c>
      <c r="G86" s="290">
        <v>0</v>
      </c>
      <c r="H86" s="291">
        <v>207274</v>
      </c>
      <c r="I86" s="290">
        <v>27180</v>
      </c>
      <c r="J86" s="290">
        <v>0</v>
      </c>
      <c r="K86" s="290">
        <v>0</v>
      </c>
      <c r="L86" s="290">
        <v>0</v>
      </c>
      <c r="M86" s="291">
        <v>138714</v>
      </c>
      <c r="N86" s="290">
        <v>23533</v>
      </c>
      <c r="O86" s="290">
        <v>1072</v>
      </c>
      <c r="P86" s="290">
        <v>480</v>
      </c>
      <c r="Q86" s="290">
        <v>0</v>
      </c>
      <c r="R86" s="291">
        <v>25850</v>
      </c>
      <c r="S86" s="290">
        <v>0</v>
      </c>
      <c r="T86" s="290">
        <v>0</v>
      </c>
      <c r="U86" s="290">
        <v>0</v>
      </c>
      <c r="V86" s="290">
        <v>0</v>
      </c>
      <c r="W86" s="291">
        <v>38074</v>
      </c>
      <c r="X86" s="290">
        <v>3647</v>
      </c>
      <c r="Y86" s="290">
        <v>53</v>
      </c>
      <c r="Z86" s="290">
        <v>936</v>
      </c>
      <c r="AA86" s="290">
        <v>0</v>
      </c>
      <c r="AB86" s="291">
        <v>4636</v>
      </c>
      <c r="AC86" s="290">
        <v>0</v>
      </c>
      <c r="AD86" s="290">
        <v>0</v>
      </c>
      <c r="AE86" s="290">
        <v>0</v>
      </c>
      <c r="AF86" s="290">
        <v>0</v>
      </c>
      <c r="AG86" s="291">
        <v>0</v>
      </c>
    </row>
    <row r="87" spans="1:33" ht="15" x14ac:dyDescent="0.25">
      <c r="A87" s="289" t="s">
        <v>105</v>
      </c>
      <c r="B87" s="289" t="s">
        <v>256</v>
      </c>
      <c r="C87" s="289" t="s">
        <v>178</v>
      </c>
      <c r="D87" s="290">
        <v>-11552</v>
      </c>
      <c r="E87" s="290">
        <v>-85</v>
      </c>
      <c r="F87" s="290">
        <v>-333</v>
      </c>
      <c r="G87" s="290">
        <v>0</v>
      </c>
      <c r="H87" s="291">
        <v>-49772</v>
      </c>
      <c r="I87" s="290">
        <v>-5776</v>
      </c>
      <c r="J87" s="290">
        <v>0</v>
      </c>
      <c r="K87" s="290">
        <v>0</v>
      </c>
      <c r="L87" s="290">
        <v>0</v>
      </c>
      <c r="M87" s="291">
        <v>-33252</v>
      </c>
      <c r="N87" s="290">
        <v>-4748</v>
      </c>
      <c r="O87" s="290">
        <v>-70</v>
      </c>
      <c r="P87" s="290">
        <v>-135</v>
      </c>
      <c r="Q87" s="290">
        <v>0</v>
      </c>
      <c r="R87" s="291">
        <v>-5138</v>
      </c>
      <c r="S87" s="290">
        <v>0</v>
      </c>
      <c r="T87" s="290">
        <v>0</v>
      </c>
      <c r="U87" s="290">
        <v>0</v>
      </c>
      <c r="V87" s="290">
        <v>0</v>
      </c>
      <c r="W87" s="291">
        <v>-10141</v>
      </c>
      <c r="X87" s="290">
        <v>-1028</v>
      </c>
      <c r="Y87" s="290">
        <v>-15</v>
      </c>
      <c r="Z87" s="290">
        <v>-198</v>
      </c>
      <c r="AA87" s="290">
        <v>0</v>
      </c>
      <c r="AB87" s="291">
        <v>-1241</v>
      </c>
      <c r="AC87" s="290">
        <v>0</v>
      </c>
      <c r="AD87" s="290">
        <v>0</v>
      </c>
      <c r="AE87" s="290">
        <v>0</v>
      </c>
      <c r="AF87" s="290">
        <v>0</v>
      </c>
      <c r="AG87" s="291">
        <v>0</v>
      </c>
    </row>
    <row r="88" spans="1:33" ht="15" x14ac:dyDescent="0.25">
      <c r="A88" s="289" t="s">
        <v>105</v>
      </c>
      <c r="B88" s="289" t="s">
        <v>256</v>
      </c>
      <c r="C88" s="289" t="s">
        <v>160</v>
      </c>
      <c r="D88" s="290">
        <v>24892</v>
      </c>
      <c r="E88" s="290">
        <v>736</v>
      </c>
      <c r="F88" s="290">
        <v>602</v>
      </c>
      <c r="G88" s="290">
        <v>0</v>
      </c>
      <c r="H88" s="291">
        <v>86767</v>
      </c>
      <c r="I88" s="290">
        <v>12446</v>
      </c>
      <c r="J88" s="290">
        <v>0</v>
      </c>
      <c r="K88" s="290">
        <v>0</v>
      </c>
      <c r="L88" s="290">
        <v>0</v>
      </c>
      <c r="M88" s="291">
        <v>58147</v>
      </c>
      <c r="N88" s="290">
        <v>11137</v>
      </c>
      <c r="O88" s="290">
        <v>717</v>
      </c>
      <c r="P88" s="290">
        <v>172</v>
      </c>
      <c r="Q88" s="290">
        <v>0</v>
      </c>
      <c r="R88" s="291">
        <v>12344</v>
      </c>
      <c r="S88" s="290">
        <v>0</v>
      </c>
      <c r="T88" s="290">
        <v>0</v>
      </c>
      <c r="U88" s="290">
        <v>0</v>
      </c>
      <c r="V88" s="290">
        <v>0</v>
      </c>
      <c r="W88" s="291">
        <v>14518</v>
      </c>
      <c r="X88" s="290">
        <v>1309</v>
      </c>
      <c r="Y88" s="290">
        <v>19</v>
      </c>
      <c r="Z88" s="290">
        <v>430</v>
      </c>
      <c r="AA88" s="290">
        <v>0</v>
      </c>
      <c r="AB88" s="291">
        <v>1758</v>
      </c>
      <c r="AC88" s="290">
        <v>0</v>
      </c>
      <c r="AD88" s="290">
        <v>0</v>
      </c>
      <c r="AE88" s="290">
        <v>0</v>
      </c>
      <c r="AF88" s="290">
        <v>0</v>
      </c>
      <c r="AG88" s="291">
        <v>0</v>
      </c>
    </row>
    <row r="89" spans="1:33" ht="15" x14ac:dyDescent="0.25">
      <c r="A89" s="289" t="s">
        <v>106</v>
      </c>
      <c r="B89" s="289" t="s">
        <v>254</v>
      </c>
      <c r="C89" s="289" t="s">
        <v>177</v>
      </c>
      <c r="D89" s="290">
        <v>7478</v>
      </c>
      <c r="E89" s="290">
        <v>55</v>
      </c>
      <c r="F89" s="290">
        <v>216</v>
      </c>
      <c r="G89" s="290">
        <v>0</v>
      </c>
      <c r="H89" s="291">
        <v>32221</v>
      </c>
      <c r="I89" s="290">
        <v>3739</v>
      </c>
      <c r="J89" s="290">
        <v>0</v>
      </c>
      <c r="K89" s="290">
        <v>0</v>
      </c>
      <c r="L89" s="290">
        <v>0</v>
      </c>
      <c r="M89" s="291">
        <v>21525</v>
      </c>
      <c r="N89" s="290">
        <v>3073</v>
      </c>
      <c r="O89" s="290">
        <v>46</v>
      </c>
      <c r="P89" s="290">
        <v>88</v>
      </c>
      <c r="Q89" s="290">
        <v>0</v>
      </c>
      <c r="R89" s="291">
        <v>3327</v>
      </c>
      <c r="S89" s="290">
        <v>0</v>
      </c>
      <c r="T89" s="290">
        <v>0</v>
      </c>
      <c r="U89" s="290">
        <v>0</v>
      </c>
      <c r="V89" s="290">
        <v>0</v>
      </c>
      <c r="W89" s="291">
        <v>6566</v>
      </c>
      <c r="X89" s="290">
        <v>666</v>
      </c>
      <c r="Y89" s="290">
        <v>9</v>
      </c>
      <c r="Z89" s="290">
        <v>128</v>
      </c>
      <c r="AA89" s="290">
        <v>0</v>
      </c>
      <c r="AB89" s="291">
        <v>803</v>
      </c>
      <c r="AC89" s="290">
        <v>0</v>
      </c>
      <c r="AD89" s="290">
        <v>0</v>
      </c>
      <c r="AE89" s="290">
        <v>0</v>
      </c>
      <c r="AF89" s="290">
        <v>0</v>
      </c>
      <c r="AG89" s="291">
        <v>0</v>
      </c>
    </row>
    <row r="90" spans="1:33" ht="15" x14ac:dyDescent="0.25">
      <c r="A90" s="289" t="s">
        <v>106</v>
      </c>
      <c r="B90" s="289" t="s">
        <v>255</v>
      </c>
      <c r="C90" s="289" t="s">
        <v>178</v>
      </c>
      <c r="D90" s="290">
        <v>8033</v>
      </c>
      <c r="E90" s="290">
        <v>59</v>
      </c>
      <c r="F90" s="290">
        <v>232</v>
      </c>
      <c r="G90" s="290">
        <v>0</v>
      </c>
      <c r="H90" s="291">
        <v>34612</v>
      </c>
      <c r="I90" s="290">
        <v>4017</v>
      </c>
      <c r="J90" s="290">
        <v>0</v>
      </c>
      <c r="K90" s="290">
        <v>0</v>
      </c>
      <c r="L90" s="290">
        <v>0</v>
      </c>
      <c r="M90" s="291">
        <v>23124</v>
      </c>
      <c r="N90" s="290">
        <v>3302</v>
      </c>
      <c r="O90" s="290">
        <v>48</v>
      </c>
      <c r="P90" s="290">
        <v>94</v>
      </c>
      <c r="Q90" s="290">
        <v>0</v>
      </c>
      <c r="R90" s="291">
        <v>3572</v>
      </c>
      <c r="S90" s="290">
        <v>0</v>
      </c>
      <c r="T90" s="290">
        <v>0</v>
      </c>
      <c r="U90" s="290">
        <v>0</v>
      </c>
      <c r="V90" s="290">
        <v>0</v>
      </c>
      <c r="W90" s="291">
        <v>7053</v>
      </c>
      <c r="X90" s="290">
        <v>714</v>
      </c>
      <c r="Y90" s="290">
        <v>11</v>
      </c>
      <c r="Z90" s="290">
        <v>138</v>
      </c>
      <c r="AA90" s="290">
        <v>0</v>
      </c>
      <c r="AB90" s="291">
        <v>863</v>
      </c>
      <c r="AC90" s="290">
        <v>0</v>
      </c>
      <c r="AD90" s="290">
        <v>0</v>
      </c>
      <c r="AE90" s="290">
        <v>0</v>
      </c>
      <c r="AF90" s="290">
        <v>0</v>
      </c>
      <c r="AG90" s="291">
        <v>0</v>
      </c>
    </row>
    <row r="91" spans="1:33" ht="15" x14ac:dyDescent="0.25">
      <c r="A91" s="289" t="s">
        <v>106</v>
      </c>
      <c r="B91" s="289" t="s">
        <v>256</v>
      </c>
      <c r="C91" s="289" t="s">
        <v>160</v>
      </c>
      <c r="D91" s="290">
        <v>10941</v>
      </c>
      <c r="E91" s="290">
        <v>80</v>
      </c>
      <c r="F91" s="290">
        <v>316</v>
      </c>
      <c r="G91" s="290">
        <v>0</v>
      </c>
      <c r="H91" s="291">
        <v>47141</v>
      </c>
      <c r="I91" s="290">
        <v>5471</v>
      </c>
      <c r="J91" s="290">
        <v>0</v>
      </c>
      <c r="K91" s="290">
        <v>0</v>
      </c>
      <c r="L91" s="290">
        <v>0</v>
      </c>
      <c r="M91" s="291">
        <v>31495</v>
      </c>
      <c r="N91" s="290">
        <v>4496</v>
      </c>
      <c r="O91" s="290">
        <v>66</v>
      </c>
      <c r="P91" s="290">
        <v>128</v>
      </c>
      <c r="Q91" s="290">
        <v>0</v>
      </c>
      <c r="R91" s="291">
        <v>4865</v>
      </c>
      <c r="S91" s="290">
        <v>0</v>
      </c>
      <c r="T91" s="290">
        <v>0</v>
      </c>
      <c r="U91" s="290">
        <v>0</v>
      </c>
      <c r="V91" s="290">
        <v>0</v>
      </c>
      <c r="W91" s="291">
        <v>9605</v>
      </c>
      <c r="X91" s="290">
        <v>974</v>
      </c>
      <c r="Y91" s="290">
        <v>14</v>
      </c>
      <c r="Z91" s="290">
        <v>188</v>
      </c>
      <c r="AA91" s="290">
        <v>0</v>
      </c>
      <c r="AB91" s="291">
        <v>1176</v>
      </c>
      <c r="AC91" s="290">
        <v>0</v>
      </c>
      <c r="AD91" s="290">
        <v>0</v>
      </c>
      <c r="AE91" s="290">
        <v>0</v>
      </c>
      <c r="AF91" s="290">
        <v>0</v>
      </c>
      <c r="AG91" s="291">
        <v>0</v>
      </c>
    </row>
    <row r="92" spans="1:33" ht="15" x14ac:dyDescent="0.25">
      <c r="P92" s="227"/>
    </row>
    <row r="93" spans="1:33" ht="15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58E9-21BF-4707-A451-A8BA1306C9AF}">
  <sheetPr>
    <tabColor theme="9" tint="0.59999389629810485"/>
  </sheetPr>
  <dimension ref="A1:AG75"/>
  <sheetViews>
    <sheetView zoomScaleNormal="100" workbookViewId="0">
      <pane xSplit="3" ySplit="1" topLeftCell="U2" activePane="bottomRight" state="frozen"/>
      <selection pane="topRight" activeCell="E38" sqref="E38"/>
      <selection pane="bottomLeft" activeCell="E38" sqref="E38"/>
      <selection pane="bottomRight"/>
    </sheetView>
  </sheetViews>
  <sheetFormatPr defaultColWidth="12.5703125" defaultRowHeight="15" x14ac:dyDescent="0.25"/>
  <cols>
    <col min="1" max="1" width="15.85546875" bestFit="1" customWidth="1"/>
    <col min="2" max="2" width="14.5703125" customWidth="1"/>
    <col min="3" max="3" width="15.140625" bestFit="1" customWidth="1"/>
    <col min="4" max="33" width="13.7109375" customWidth="1"/>
  </cols>
  <sheetData>
    <row r="1" spans="1:33" x14ac:dyDescent="0.25">
      <c r="A1" s="184" t="s">
        <v>141</v>
      </c>
      <c r="B1" s="184" t="s">
        <v>173</v>
      </c>
    </row>
    <row r="2" spans="1:33" x14ac:dyDescent="0.25">
      <c r="A2" s="236" t="s">
        <v>162</v>
      </c>
      <c r="B2" s="237" t="s">
        <v>162</v>
      </c>
      <c r="C2" s="238" t="s">
        <v>162</v>
      </c>
      <c r="D2" s="298" t="s">
        <v>144</v>
      </c>
      <c r="E2" s="298" t="s">
        <v>144</v>
      </c>
      <c r="F2" s="298" t="s">
        <v>144</v>
      </c>
      <c r="G2" s="298" t="s">
        <v>144</v>
      </c>
      <c r="H2" s="298" t="s">
        <v>144</v>
      </c>
      <c r="I2" s="298" t="s">
        <v>145</v>
      </c>
      <c r="J2" s="298" t="s">
        <v>145</v>
      </c>
      <c r="K2" s="298" t="s">
        <v>145</v>
      </c>
      <c r="L2" s="298" t="s">
        <v>145</v>
      </c>
      <c r="M2" s="298" t="s">
        <v>145</v>
      </c>
      <c r="N2" s="298" t="s">
        <v>146</v>
      </c>
      <c r="O2" s="298" t="s">
        <v>146</v>
      </c>
      <c r="P2" s="298" t="s">
        <v>146</v>
      </c>
      <c r="Q2" s="298" t="s">
        <v>146</v>
      </c>
      <c r="R2" s="298" t="s">
        <v>146</v>
      </c>
      <c r="S2" s="298" t="s">
        <v>147</v>
      </c>
      <c r="T2" s="298" t="s">
        <v>147</v>
      </c>
      <c r="U2" s="298" t="s">
        <v>147</v>
      </c>
      <c r="V2" s="298" t="s">
        <v>147</v>
      </c>
      <c r="W2" s="298" t="s">
        <v>147</v>
      </c>
      <c r="X2" s="298" t="s">
        <v>148</v>
      </c>
      <c r="Y2" s="298" t="s">
        <v>148</v>
      </c>
      <c r="Z2" s="298" t="s">
        <v>148</v>
      </c>
      <c r="AA2" s="298" t="s">
        <v>148</v>
      </c>
      <c r="AB2" s="298" t="s">
        <v>148</v>
      </c>
      <c r="AC2" s="298" t="s">
        <v>149</v>
      </c>
      <c r="AD2" s="298" t="s">
        <v>149</v>
      </c>
      <c r="AE2" s="298" t="s">
        <v>149</v>
      </c>
      <c r="AF2" s="298" t="s">
        <v>149</v>
      </c>
      <c r="AG2" s="298" t="s">
        <v>149</v>
      </c>
    </row>
    <row r="3" spans="1:33" x14ac:dyDescent="0.25">
      <c r="A3" s="239" t="s">
        <v>150</v>
      </c>
      <c r="B3" s="240" t="s">
        <v>151</v>
      </c>
      <c r="C3" s="241" t="s">
        <v>152</v>
      </c>
      <c r="D3" s="298" t="s">
        <v>45</v>
      </c>
      <c r="E3" s="298" t="s">
        <v>46</v>
      </c>
      <c r="F3" s="298" t="s">
        <v>118</v>
      </c>
      <c r="G3" s="298" t="s">
        <v>159</v>
      </c>
      <c r="H3" s="299" t="s">
        <v>163</v>
      </c>
      <c r="I3" s="298" t="s">
        <v>45</v>
      </c>
      <c r="J3" s="298" t="s">
        <v>46</v>
      </c>
      <c r="K3" s="298" t="s">
        <v>118</v>
      </c>
      <c r="L3" s="298" t="s">
        <v>159</v>
      </c>
      <c r="M3" s="299" t="s">
        <v>163</v>
      </c>
      <c r="N3" s="298" t="s">
        <v>45</v>
      </c>
      <c r="O3" s="298" t="s">
        <v>46</v>
      </c>
      <c r="P3" s="298" t="s">
        <v>118</v>
      </c>
      <c r="Q3" s="298" t="s">
        <v>159</v>
      </c>
      <c r="R3" s="299" t="s">
        <v>163</v>
      </c>
      <c r="S3" s="298" t="s">
        <v>45</v>
      </c>
      <c r="T3" s="298" t="s">
        <v>46</v>
      </c>
      <c r="U3" s="298" t="s">
        <v>118</v>
      </c>
      <c r="V3" s="298" t="s">
        <v>159</v>
      </c>
      <c r="W3" s="299" t="s">
        <v>163</v>
      </c>
      <c r="X3" s="298" t="s">
        <v>45</v>
      </c>
      <c r="Y3" s="298" t="s">
        <v>46</v>
      </c>
      <c r="Z3" s="298" t="s">
        <v>118</v>
      </c>
      <c r="AA3" s="298" t="s">
        <v>159</v>
      </c>
      <c r="AB3" s="299" t="s">
        <v>163</v>
      </c>
      <c r="AC3" s="298" t="s">
        <v>45</v>
      </c>
      <c r="AD3" s="298" t="s">
        <v>46</v>
      </c>
      <c r="AE3" s="298" t="s">
        <v>118</v>
      </c>
      <c r="AF3" s="298" t="s">
        <v>159</v>
      </c>
      <c r="AG3" s="299" t="s">
        <v>163</v>
      </c>
    </row>
    <row r="4" spans="1:33" x14ac:dyDescent="0.25">
      <c r="A4" s="289" t="s">
        <v>49</v>
      </c>
      <c r="B4" s="289" t="s">
        <v>256</v>
      </c>
      <c r="C4" s="289" t="s">
        <v>160</v>
      </c>
      <c r="D4" s="290">
        <v>57384</v>
      </c>
      <c r="E4" s="290">
        <v>420</v>
      </c>
      <c r="F4" s="290">
        <v>1657</v>
      </c>
      <c r="G4" s="290">
        <v>0</v>
      </c>
      <c r="H4" s="291">
        <v>247239</v>
      </c>
      <c r="I4" s="290">
        <v>28692</v>
      </c>
      <c r="J4" s="290">
        <v>0</v>
      </c>
      <c r="K4" s="290">
        <v>0</v>
      </c>
      <c r="L4" s="290">
        <v>0</v>
      </c>
      <c r="M4" s="291">
        <v>165180</v>
      </c>
      <c r="N4" s="290">
        <v>23582</v>
      </c>
      <c r="O4" s="290">
        <v>345</v>
      </c>
      <c r="P4" s="290">
        <v>673</v>
      </c>
      <c r="Q4" s="290">
        <v>0</v>
      </c>
      <c r="R4" s="291">
        <v>25515</v>
      </c>
      <c r="S4" s="290">
        <v>0</v>
      </c>
      <c r="T4" s="290">
        <v>0</v>
      </c>
      <c r="U4" s="290">
        <v>0</v>
      </c>
      <c r="V4" s="290">
        <v>0</v>
      </c>
      <c r="W4" s="291">
        <v>50375</v>
      </c>
      <c r="X4" s="290">
        <v>5110</v>
      </c>
      <c r="Y4" s="290">
        <v>75</v>
      </c>
      <c r="Z4" s="290">
        <v>984</v>
      </c>
      <c r="AA4" s="290">
        <v>0</v>
      </c>
      <c r="AB4" s="291">
        <v>6169</v>
      </c>
      <c r="AC4" s="290">
        <v>0</v>
      </c>
      <c r="AD4" s="290">
        <v>0</v>
      </c>
      <c r="AE4" s="290">
        <v>0</v>
      </c>
      <c r="AF4" s="290">
        <v>0</v>
      </c>
      <c r="AG4" s="291">
        <v>0</v>
      </c>
    </row>
    <row r="5" spans="1:33" x14ac:dyDescent="0.25">
      <c r="A5" s="289" t="s">
        <v>52</v>
      </c>
      <c r="B5" s="289" t="s">
        <v>254</v>
      </c>
      <c r="C5" s="289" t="s">
        <v>177</v>
      </c>
      <c r="D5" s="290">
        <v>3502</v>
      </c>
      <c r="E5" s="290">
        <v>26</v>
      </c>
      <c r="F5" s="290">
        <v>101</v>
      </c>
      <c r="G5" s="290">
        <v>0</v>
      </c>
      <c r="H5" s="291">
        <v>15090</v>
      </c>
      <c r="I5" s="290">
        <v>1751</v>
      </c>
      <c r="J5" s="290">
        <v>0</v>
      </c>
      <c r="K5" s="290">
        <v>0</v>
      </c>
      <c r="L5" s="290">
        <v>0</v>
      </c>
      <c r="M5" s="291">
        <v>10081</v>
      </c>
      <c r="N5" s="290">
        <v>1440</v>
      </c>
      <c r="O5" s="290">
        <v>21</v>
      </c>
      <c r="P5" s="290">
        <v>41</v>
      </c>
      <c r="Q5" s="290">
        <v>0</v>
      </c>
      <c r="R5" s="291">
        <v>1558</v>
      </c>
      <c r="S5" s="290">
        <v>0</v>
      </c>
      <c r="T5" s="290">
        <v>0</v>
      </c>
      <c r="U5" s="290">
        <v>0</v>
      </c>
      <c r="V5" s="290">
        <v>0</v>
      </c>
      <c r="W5" s="291">
        <v>3075</v>
      </c>
      <c r="X5" s="290">
        <v>311</v>
      </c>
      <c r="Y5" s="290">
        <v>5</v>
      </c>
      <c r="Z5" s="290">
        <v>60</v>
      </c>
      <c r="AA5" s="290">
        <v>0</v>
      </c>
      <c r="AB5" s="291">
        <v>376</v>
      </c>
      <c r="AC5" s="290">
        <v>0</v>
      </c>
      <c r="AD5" s="290">
        <v>0</v>
      </c>
      <c r="AE5" s="290">
        <v>0</v>
      </c>
      <c r="AF5" s="290">
        <v>0</v>
      </c>
      <c r="AG5" s="291">
        <v>0</v>
      </c>
    </row>
    <row r="6" spans="1:33" x14ac:dyDescent="0.25">
      <c r="A6" s="289" t="s">
        <v>52</v>
      </c>
      <c r="B6" s="289" t="s">
        <v>255</v>
      </c>
      <c r="C6" s="289" t="s">
        <v>178</v>
      </c>
      <c r="D6" s="290">
        <v>3517</v>
      </c>
      <c r="E6" s="290">
        <v>26</v>
      </c>
      <c r="F6" s="290">
        <v>102</v>
      </c>
      <c r="G6" s="290">
        <v>0</v>
      </c>
      <c r="H6" s="291">
        <v>15153</v>
      </c>
      <c r="I6" s="290">
        <v>1759</v>
      </c>
      <c r="J6" s="290">
        <v>0</v>
      </c>
      <c r="K6" s="290">
        <v>0</v>
      </c>
      <c r="L6" s="290">
        <v>0</v>
      </c>
      <c r="M6" s="291">
        <v>10124</v>
      </c>
      <c r="N6" s="290">
        <v>1446</v>
      </c>
      <c r="O6" s="290">
        <v>21</v>
      </c>
      <c r="P6" s="290">
        <v>41</v>
      </c>
      <c r="Q6" s="290">
        <v>0</v>
      </c>
      <c r="R6" s="291">
        <v>1564</v>
      </c>
      <c r="S6" s="290">
        <v>0</v>
      </c>
      <c r="T6" s="290">
        <v>0</v>
      </c>
      <c r="U6" s="290">
        <v>0</v>
      </c>
      <c r="V6" s="290">
        <v>0</v>
      </c>
      <c r="W6" s="291">
        <v>3087</v>
      </c>
      <c r="X6" s="290">
        <v>312</v>
      </c>
      <c r="Y6" s="290">
        <v>5</v>
      </c>
      <c r="Z6" s="290">
        <v>61</v>
      </c>
      <c r="AA6" s="290">
        <v>0</v>
      </c>
      <c r="AB6" s="291">
        <v>378</v>
      </c>
      <c r="AC6" s="290">
        <v>0</v>
      </c>
      <c r="AD6" s="290">
        <v>0</v>
      </c>
      <c r="AE6" s="290">
        <v>0</v>
      </c>
      <c r="AF6" s="290">
        <v>0</v>
      </c>
      <c r="AG6" s="291">
        <v>0</v>
      </c>
    </row>
    <row r="7" spans="1:33" x14ac:dyDescent="0.25">
      <c r="A7" s="289" t="s">
        <v>52</v>
      </c>
      <c r="B7" s="289" t="s">
        <v>256</v>
      </c>
      <c r="C7" s="289" t="s">
        <v>160</v>
      </c>
      <c r="D7" s="290">
        <v>3279</v>
      </c>
      <c r="E7" s="290">
        <v>24</v>
      </c>
      <c r="F7" s="290">
        <v>95</v>
      </c>
      <c r="G7" s="290">
        <v>0</v>
      </c>
      <c r="H7" s="291">
        <v>14128</v>
      </c>
      <c r="I7" s="290">
        <v>1640</v>
      </c>
      <c r="J7" s="290">
        <v>0</v>
      </c>
      <c r="K7" s="290">
        <v>0</v>
      </c>
      <c r="L7" s="290">
        <v>0</v>
      </c>
      <c r="M7" s="291">
        <v>9439</v>
      </c>
      <c r="N7" s="290">
        <v>1347</v>
      </c>
      <c r="O7" s="290">
        <v>20</v>
      </c>
      <c r="P7" s="290">
        <v>39</v>
      </c>
      <c r="Q7" s="290">
        <v>0</v>
      </c>
      <c r="R7" s="291">
        <v>1458</v>
      </c>
      <c r="S7" s="290">
        <v>0</v>
      </c>
      <c r="T7" s="290">
        <v>0</v>
      </c>
      <c r="U7" s="290">
        <v>0</v>
      </c>
      <c r="V7" s="290">
        <v>0</v>
      </c>
      <c r="W7" s="291">
        <v>2879</v>
      </c>
      <c r="X7" s="290">
        <v>292</v>
      </c>
      <c r="Y7" s="290">
        <v>4</v>
      </c>
      <c r="Z7" s="290">
        <v>56</v>
      </c>
      <c r="AA7" s="290">
        <v>0</v>
      </c>
      <c r="AB7" s="291">
        <v>352</v>
      </c>
      <c r="AC7" s="290">
        <v>0</v>
      </c>
      <c r="AD7" s="290">
        <v>0</v>
      </c>
      <c r="AE7" s="290">
        <v>0</v>
      </c>
      <c r="AF7" s="290">
        <v>0</v>
      </c>
      <c r="AG7" s="291">
        <v>0</v>
      </c>
    </row>
    <row r="8" spans="1:33" x14ac:dyDescent="0.25">
      <c r="A8" s="289" t="s">
        <v>56</v>
      </c>
      <c r="B8" s="289" t="s">
        <v>254</v>
      </c>
      <c r="C8" s="289" t="s">
        <v>177</v>
      </c>
      <c r="D8" s="290">
        <v>52643</v>
      </c>
      <c r="E8" s="290">
        <v>386</v>
      </c>
      <c r="F8" s="290">
        <v>1520</v>
      </c>
      <c r="G8" s="290">
        <v>0</v>
      </c>
      <c r="H8" s="291">
        <v>226812</v>
      </c>
      <c r="I8" s="290">
        <v>26322</v>
      </c>
      <c r="J8" s="290">
        <v>0</v>
      </c>
      <c r="K8" s="290">
        <v>0</v>
      </c>
      <c r="L8" s="290">
        <v>0</v>
      </c>
      <c r="M8" s="291">
        <v>151533</v>
      </c>
      <c r="N8" s="290">
        <v>21633</v>
      </c>
      <c r="O8" s="290">
        <v>317</v>
      </c>
      <c r="P8" s="290">
        <v>618</v>
      </c>
      <c r="Q8" s="290">
        <v>0</v>
      </c>
      <c r="R8" s="291">
        <v>23407</v>
      </c>
      <c r="S8" s="290">
        <v>0</v>
      </c>
      <c r="T8" s="290">
        <v>0</v>
      </c>
      <c r="U8" s="290">
        <v>0</v>
      </c>
      <c r="V8" s="290">
        <v>0</v>
      </c>
      <c r="W8" s="291">
        <v>46213</v>
      </c>
      <c r="X8" s="290">
        <v>4688</v>
      </c>
      <c r="Y8" s="290">
        <v>69</v>
      </c>
      <c r="Z8" s="290">
        <v>902</v>
      </c>
      <c r="AA8" s="290">
        <v>0</v>
      </c>
      <c r="AB8" s="291">
        <v>5659</v>
      </c>
      <c r="AC8" s="290">
        <v>0</v>
      </c>
      <c r="AD8" s="290">
        <v>0</v>
      </c>
      <c r="AE8" s="290">
        <v>0</v>
      </c>
      <c r="AF8" s="290">
        <v>0</v>
      </c>
      <c r="AG8" s="291">
        <v>0</v>
      </c>
    </row>
    <row r="9" spans="1:33" x14ac:dyDescent="0.25">
      <c r="A9" s="289" t="s">
        <v>56</v>
      </c>
      <c r="B9" s="289" t="s">
        <v>255</v>
      </c>
      <c r="C9" s="289" t="s">
        <v>177</v>
      </c>
      <c r="D9" s="290">
        <v>-35368</v>
      </c>
      <c r="E9" s="290">
        <v>-259</v>
      </c>
      <c r="F9" s="290">
        <v>-1021</v>
      </c>
      <c r="G9" s="290">
        <v>0</v>
      </c>
      <c r="H9" s="291">
        <v>-152381</v>
      </c>
      <c r="I9" s="290">
        <v>-17684</v>
      </c>
      <c r="J9" s="290">
        <v>0</v>
      </c>
      <c r="K9" s="290">
        <v>0</v>
      </c>
      <c r="L9" s="290">
        <v>0</v>
      </c>
      <c r="M9" s="291">
        <v>-101805</v>
      </c>
      <c r="N9" s="290">
        <v>-14534</v>
      </c>
      <c r="O9" s="290">
        <v>-213</v>
      </c>
      <c r="P9" s="290">
        <v>-415</v>
      </c>
      <c r="Q9" s="290">
        <v>0</v>
      </c>
      <c r="R9" s="291">
        <v>-15726</v>
      </c>
      <c r="S9" s="290">
        <v>0</v>
      </c>
      <c r="T9" s="290">
        <v>0</v>
      </c>
      <c r="U9" s="290">
        <v>0</v>
      </c>
      <c r="V9" s="290">
        <v>0</v>
      </c>
      <c r="W9" s="291">
        <v>-31048</v>
      </c>
      <c r="X9" s="290">
        <v>-3150</v>
      </c>
      <c r="Y9" s="290">
        <v>-46</v>
      </c>
      <c r="Z9" s="290">
        <v>-606</v>
      </c>
      <c r="AA9" s="290">
        <v>0</v>
      </c>
      <c r="AB9" s="291">
        <v>-3802</v>
      </c>
      <c r="AC9" s="290">
        <v>0</v>
      </c>
      <c r="AD9" s="290">
        <v>0</v>
      </c>
      <c r="AE9" s="290">
        <v>0</v>
      </c>
      <c r="AF9" s="290">
        <v>0</v>
      </c>
      <c r="AG9" s="291">
        <v>0</v>
      </c>
    </row>
    <row r="10" spans="1:33" x14ac:dyDescent="0.25">
      <c r="A10" s="289" t="s">
        <v>56</v>
      </c>
      <c r="B10" s="289" t="s">
        <v>255</v>
      </c>
      <c r="C10" s="289" t="s">
        <v>178</v>
      </c>
      <c r="D10" s="290">
        <v>18849</v>
      </c>
      <c r="E10" s="290">
        <v>138</v>
      </c>
      <c r="F10" s="290">
        <v>544</v>
      </c>
      <c r="G10" s="290">
        <v>0</v>
      </c>
      <c r="H10" s="291">
        <v>81211</v>
      </c>
      <c r="I10" s="290">
        <v>9425</v>
      </c>
      <c r="J10" s="290">
        <v>0</v>
      </c>
      <c r="K10" s="290">
        <v>0</v>
      </c>
      <c r="L10" s="290">
        <v>0</v>
      </c>
      <c r="M10" s="291">
        <v>54257</v>
      </c>
      <c r="N10" s="290">
        <v>7746</v>
      </c>
      <c r="O10" s="290">
        <v>114</v>
      </c>
      <c r="P10" s="290">
        <v>221</v>
      </c>
      <c r="Q10" s="290">
        <v>0</v>
      </c>
      <c r="R10" s="291">
        <v>8381</v>
      </c>
      <c r="S10" s="290">
        <v>0</v>
      </c>
      <c r="T10" s="290">
        <v>0</v>
      </c>
      <c r="U10" s="290">
        <v>0</v>
      </c>
      <c r="V10" s="290">
        <v>0</v>
      </c>
      <c r="W10" s="291">
        <v>16548</v>
      </c>
      <c r="X10" s="290">
        <v>1678</v>
      </c>
      <c r="Y10" s="290">
        <v>24</v>
      </c>
      <c r="Z10" s="290">
        <v>323</v>
      </c>
      <c r="AA10" s="290">
        <v>0</v>
      </c>
      <c r="AB10" s="291">
        <v>2025</v>
      </c>
      <c r="AC10" s="290">
        <v>0</v>
      </c>
      <c r="AD10" s="290">
        <v>0</v>
      </c>
      <c r="AE10" s="290">
        <v>0</v>
      </c>
      <c r="AF10" s="290">
        <v>0</v>
      </c>
      <c r="AG10" s="291">
        <v>0</v>
      </c>
    </row>
    <row r="11" spans="1:33" x14ac:dyDescent="0.25">
      <c r="A11" s="289" t="s">
        <v>56</v>
      </c>
      <c r="B11" s="289" t="s">
        <v>256</v>
      </c>
      <c r="C11" s="289" t="s">
        <v>160</v>
      </c>
      <c r="D11" s="290">
        <v>22545</v>
      </c>
      <c r="E11" s="290">
        <v>165</v>
      </c>
      <c r="F11" s="290">
        <v>651</v>
      </c>
      <c r="G11" s="290">
        <v>0</v>
      </c>
      <c r="H11" s="291">
        <v>97134</v>
      </c>
      <c r="I11" s="290">
        <v>11273</v>
      </c>
      <c r="J11" s="290">
        <v>0</v>
      </c>
      <c r="K11" s="290">
        <v>0</v>
      </c>
      <c r="L11" s="290">
        <v>0</v>
      </c>
      <c r="M11" s="291">
        <v>64895</v>
      </c>
      <c r="N11" s="290">
        <v>9265</v>
      </c>
      <c r="O11" s="290">
        <v>136</v>
      </c>
      <c r="P11" s="290">
        <v>265</v>
      </c>
      <c r="Q11" s="290">
        <v>0</v>
      </c>
      <c r="R11" s="291">
        <v>10026</v>
      </c>
      <c r="S11" s="290">
        <v>0</v>
      </c>
      <c r="T11" s="290">
        <v>0</v>
      </c>
      <c r="U11" s="290">
        <v>0</v>
      </c>
      <c r="V11" s="290">
        <v>0</v>
      </c>
      <c r="W11" s="291">
        <v>19791</v>
      </c>
      <c r="X11" s="290">
        <v>2007</v>
      </c>
      <c r="Y11" s="290">
        <v>29</v>
      </c>
      <c r="Z11" s="290">
        <v>386</v>
      </c>
      <c r="AA11" s="290">
        <v>0</v>
      </c>
      <c r="AB11" s="291">
        <v>2422</v>
      </c>
      <c r="AC11" s="290">
        <v>0</v>
      </c>
      <c r="AD11" s="290">
        <v>0</v>
      </c>
      <c r="AE11" s="290">
        <v>0</v>
      </c>
      <c r="AF11" s="290">
        <v>0</v>
      </c>
      <c r="AG11" s="291">
        <v>0</v>
      </c>
    </row>
    <row r="12" spans="1:33" x14ac:dyDescent="0.25">
      <c r="A12" s="289" t="s">
        <v>59</v>
      </c>
      <c r="B12" s="289" t="s">
        <v>256</v>
      </c>
      <c r="C12" s="289" t="s">
        <v>160</v>
      </c>
      <c r="D12" s="290">
        <v>8666</v>
      </c>
      <c r="E12" s="290">
        <v>63</v>
      </c>
      <c r="F12" s="290">
        <v>250</v>
      </c>
      <c r="G12" s="290">
        <v>0</v>
      </c>
      <c r="H12" s="291">
        <v>37339</v>
      </c>
      <c r="I12" s="290">
        <v>4333</v>
      </c>
      <c r="J12" s="290">
        <v>0</v>
      </c>
      <c r="K12" s="290">
        <v>0</v>
      </c>
      <c r="L12" s="290">
        <v>0</v>
      </c>
      <c r="M12" s="291">
        <v>24946</v>
      </c>
      <c r="N12" s="290">
        <v>3561</v>
      </c>
      <c r="O12" s="290">
        <v>52</v>
      </c>
      <c r="P12" s="290">
        <v>102</v>
      </c>
      <c r="Q12" s="290">
        <v>0</v>
      </c>
      <c r="R12" s="291">
        <v>3853</v>
      </c>
      <c r="S12" s="290">
        <v>0</v>
      </c>
      <c r="T12" s="290">
        <v>0</v>
      </c>
      <c r="U12" s="290">
        <v>0</v>
      </c>
      <c r="V12" s="290">
        <v>0</v>
      </c>
      <c r="W12" s="291">
        <v>7609</v>
      </c>
      <c r="X12" s="290">
        <v>772</v>
      </c>
      <c r="Y12" s="290">
        <v>11</v>
      </c>
      <c r="Z12" s="290">
        <v>148</v>
      </c>
      <c r="AA12" s="290">
        <v>0</v>
      </c>
      <c r="AB12" s="291">
        <v>931</v>
      </c>
      <c r="AC12" s="290">
        <v>0</v>
      </c>
      <c r="AD12" s="290">
        <v>0</v>
      </c>
      <c r="AE12" s="290">
        <v>0</v>
      </c>
      <c r="AF12" s="290">
        <v>0</v>
      </c>
      <c r="AG12" s="291">
        <v>0</v>
      </c>
    </row>
    <row r="13" spans="1:33" x14ac:dyDescent="0.25">
      <c r="A13" s="289" t="s">
        <v>68</v>
      </c>
      <c r="B13" s="289" t="s">
        <v>254</v>
      </c>
      <c r="C13" s="289" t="s">
        <v>177</v>
      </c>
      <c r="D13" s="290">
        <v>128652</v>
      </c>
      <c r="E13" s="290">
        <v>942</v>
      </c>
      <c r="F13" s="290">
        <v>3714</v>
      </c>
      <c r="G13" s="290">
        <v>0</v>
      </c>
      <c r="H13" s="291">
        <v>554294</v>
      </c>
      <c r="I13" s="290">
        <v>64326</v>
      </c>
      <c r="J13" s="290">
        <v>0</v>
      </c>
      <c r="K13" s="290">
        <v>0</v>
      </c>
      <c r="L13" s="290">
        <v>0</v>
      </c>
      <c r="M13" s="291">
        <v>370323</v>
      </c>
      <c r="N13" s="290">
        <v>52869</v>
      </c>
      <c r="O13" s="290">
        <v>774</v>
      </c>
      <c r="P13" s="290">
        <v>1509</v>
      </c>
      <c r="Q13" s="290">
        <v>0</v>
      </c>
      <c r="R13" s="291">
        <v>57203</v>
      </c>
      <c r="S13" s="290">
        <v>0</v>
      </c>
      <c r="T13" s="290">
        <v>0</v>
      </c>
      <c r="U13" s="290">
        <v>0</v>
      </c>
      <c r="V13" s="290">
        <v>0</v>
      </c>
      <c r="W13" s="291">
        <v>112938</v>
      </c>
      <c r="X13" s="290">
        <v>11457</v>
      </c>
      <c r="Y13" s="290">
        <v>168</v>
      </c>
      <c r="Z13" s="290">
        <v>2205</v>
      </c>
      <c r="AA13" s="290">
        <v>0</v>
      </c>
      <c r="AB13" s="291">
        <v>13830</v>
      </c>
      <c r="AC13" s="290">
        <v>0</v>
      </c>
      <c r="AD13" s="290">
        <v>0</v>
      </c>
      <c r="AE13" s="290">
        <v>0</v>
      </c>
      <c r="AF13" s="290">
        <v>0</v>
      </c>
      <c r="AG13" s="291">
        <v>0</v>
      </c>
    </row>
    <row r="14" spans="1:33" x14ac:dyDescent="0.25">
      <c r="A14" s="289" t="s">
        <v>68</v>
      </c>
      <c r="B14" s="289" t="s">
        <v>255</v>
      </c>
      <c r="C14" s="289" t="s">
        <v>178</v>
      </c>
      <c r="D14" s="290">
        <v>123712</v>
      </c>
      <c r="E14" s="290">
        <v>906</v>
      </c>
      <c r="F14" s="290">
        <v>3571</v>
      </c>
      <c r="G14" s="290">
        <v>0</v>
      </c>
      <c r="H14" s="291">
        <v>533012</v>
      </c>
      <c r="I14" s="290">
        <v>61856</v>
      </c>
      <c r="J14" s="290">
        <v>0</v>
      </c>
      <c r="K14" s="290">
        <v>0</v>
      </c>
      <c r="L14" s="290">
        <v>0</v>
      </c>
      <c r="M14" s="291">
        <v>356105</v>
      </c>
      <c r="N14" s="290">
        <v>50839</v>
      </c>
      <c r="O14" s="290">
        <v>745</v>
      </c>
      <c r="P14" s="290">
        <v>1451</v>
      </c>
      <c r="Q14" s="290">
        <v>0</v>
      </c>
      <c r="R14" s="291">
        <v>55007</v>
      </c>
      <c r="S14" s="290">
        <v>0</v>
      </c>
      <c r="T14" s="290">
        <v>0</v>
      </c>
      <c r="U14" s="290">
        <v>0</v>
      </c>
      <c r="V14" s="290">
        <v>0</v>
      </c>
      <c r="W14" s="291">
        <v>108602</v>
      </c>
      <c r="X14" s="290">
        <v>11017</v>
      </c>
      <c r="Y14" s="290">
        <v>161</v>
      </c>
      <c r="Z14" s="290">
        <v>2120</v>
      </c>
      <c r="AA14" s="290">
        <v>0</v>
      </c>
      <c r="AB14" s="291">
        <v>13298</v>
      </c>
      <c r="AC14" s="290">
        <v>0</v>
      </c>
      <c r="AD14" s="290">
        <v>0</v>
      </c>
      <c r="AE14" s="290">
        <v>0</v>
      </c>
      <c r="AF14" s="290">
        <v>0</v>
      </c>
      <c r="AG14" s="291">
        <v>0</v>
      </c>
    </row>
    <row r="15" spans="1:33" x14ac:dyDescent="0.25">
      <c r="A15" s="289" t="s">
        <v>68</v>
      </c>
      <c r="B15" s="289" t="s">
        <v>256</v>
      </c>
      <c r="C15" s="289" t="s">
        <v>160</v>
      </c>
      <c r="D15" s="290">
        <v>123062</v>
      </c>
      <c r="E15" s="290">
        <v>901</v>
      </c>
      <c r="F15" s="290">
        <v>3552</v>
      </c>
      <c r="G15" s="290">
        <v>0</v>
      </c>
      <c r="H15" s="291">
        <v>530213</v>
      </c>
      <c r="I15" s="290">
        <v>61531</v>
      </c>
      <c r="J15" s="290">
        <v>0</v>
      </c>
      <c r="K15" s="290">
        <v>0</v>
      </c>
      <c r="L15" s="290">
        <v>0</v>
      </c>
      <c r="M15" s="291">
        <v>354236</v>
      </c>
      <c r="N15" s="290">
        <v>50572</v>
      </c>
      <c r="O15" s="290">
        <v>741</v>
      </c>
      <c r="P15" s="290">
        <v>1443</v>
      </c>
      <c r="Q15" s="290">
        <v>0</v>
      </c>
      <c r="R15" s="291">
        <v>54717</v>
      </c>
      <c r="S15" s="290">
        <v>0</v>
      </c>
      <c r="T15" s="290">
        <v>0</v>
      </c>
      <c r="U15" s="290">
        <v>0</v>
      </c>
      <c r="V15" s="290">
        <v>0</v>
      </c>
      <c r="W15" s="291">
        <v>108032</v>
      </c>
      <c r="X15" s="290">
        <v>10959</v>
      </c>
      <c r="Y15" s="290">
        <v>160</v>
      </c>
      <c r="Z15" s="290">
        <v>2109</v>
      </c>
      <c r="AA15" s="290">
        <v>0</v>
      </c>
      <c r="AB15" s="291">
        <v>13228</v>
      </c>
      <c r="AC15" s="290">
        <v>0</v>
      </c>
      <c r="AD15" s="290">
        <v>0</v>
      </c>
      <c r="AE15" s="290">
        <v>0</v>
      </c>
      <c r="AF15" s="290">
        <v>0</v>
      </c>
      <c r="AG15" s="291">
        <v>0</v>
      </c>
    </row>
    <row r="16" spans="1:33" x14ac:dyDescent="0.25">
      <c r="A16" s="289" t="s">
        <v>73</v>
      </c>
      <c r="B16" s="289" t="s">
        <v>254</v>
      </c>
      <c r="C16" s="289" t="s">
        <v>177</v>
      </c>
      <c r="D16" s="290">
        <v>1423</v>
      </c>
      <c r="E16" s="290">
        <v>10</v>
      </c>
      <c r="F16" s="290">
        <v>41</v>
      </c>
      <c r="G16" s="290">
        <v>0</v>
      </c>
      <c r="H16" s="291">
        <v>6132</v>
      </c>
      <c r="I16" s="290">
        <v>712</v>
      </c>
      <c r="J16" s="290">
        <v>0</v>
      </c>
      <c r="K16" s="290">
        <v>0</v>
      </c>
      <c r="L16" s="290">
        <v>0</v>
      </c>
      <c r="M16" s="291">
        <v>4098</v>
      </c>
      <c r="N16" s="290">
        <v>585</v>
      </c>
      <c r="O16" s="290">
        <v>8</v>
      </c>
      <c r="P16" s="290">
        <v>17</v>
      </c>
      <c r="Q16" s="290">
        <v>0</v>
      </c>
      <c r="R16" s="291">
        <v>632</v>
      </c>
      <c r="S16" s="290">
        <v>0</v>
      </c>
      <c r="T16" s="290">
        <v>0</v>
      </c>
      <c r="U16" s="290">
        <v>0</v>
      </c>
      <c r="V16" s="290">
        <v>0</v>
      </c>
      <c r="W16" s="291">
        <v>1250</v>
      </c>
      <c r="X16" s="290">
        <v>126</v>
      </c>
      <c r="Y16" s="290">
        <v>2</v>
      </c>
      <c r="Z16" s="290">
        <v>24</v>
      </c>
      <c r="AA16" s="290">
        <v>0</v>
      </c>
      <c r="AB16" s="291">
        <v>152</v>
      </c>
      <c r="AC16" s="290">
        <v>0</v>
      </c>
      <c r="AD16" s="290">
        <v>0</v>
      </c>
      <c r="AE16" s="290">
        <v>0</v>
      </c>
      <c r="AF16" s="290">
        <v>0</v>
      </c>
      <c r="AG16" s="291">
        <v>0</v>
      </c>
    </row>
    <row r="17" spans="1:33" x14ac:dyDescent="0.25">
      <c r="A17" s="289" t="s">
        <v>73</v>
      </c>
      <c r="B17" s="289" t="s">
        <v>255</v>
      </c>
      <c r="C17" s="289" t="s">
        <v>178</v>
      </c>
      <c r="D17" s="290">
        <v>2846</v>
      </c>
      <c r="E17" s="290">
        <v>21</v>
      </c>
      <c r="F17" s="290">
        <v>82</v>
      </c>
      <c r="G17" s="290">
        <v>0</v>
      </c>
      <c r="H17" s="291">
        <v>12264</v>
      </c>
      <c r="I17" s="290">
        <v>1423</v>
      </c>
      <c r="J17" s="290">
        <v>0</v>
      </c>
      <c r="K17" s="290">
        <v>0</v>
      </c>
      <c r="L17" s="290">
        <v>0</v>
      </c>
      <c r="M17" s="291">
        <v>8193</v>
      </c>
      <c r="N17" s="290">
        <v>1171</v>
      </c>
      <c r="O17" s="290">
        <v>17</v>
      </c>
      <c r="P17" s="290">
        <v>33</v>
      </c>
      <c r="Q17" s="290">
        <v>0</v>
      </c>
      <c r="R17" s="291">
        <v>1267</v>
      </c>
      <c r="S17" s="290">
        <v>0</v>
      </c>
      <c r="T17" s="290">
        <v>0</v>
      </c>
      <c r="U17" s="290">
        <v>0</v>
      </c>
      <c r="V17" s="290">
        <v>0</v>
      </c>
      <c r="W17" s="291">
        <v>2499</v>
      </c>
      <c r="X17" s="290">
        <v>252</v>
      </c>
      <c r="Y17" s="290">
        <v>4</v>
      </c>
      <c r="Z17" s="290">
        <v>49</v>
      </c>
      <c r="AA17" s="290">
        <v>0</v>
      </c>
      <c r="AB17" s="291">
        <v>305</v>
      </c>
      <c r="AC17" s="290">
        <v>0</v>
      </c>
      <c r="AD17" s="290">
        <v>0</v>
      </c>
      <c r="AE17" s="290">
        <v>0</v>
      </c>
      <c r="AF17" s="290">
        <v>0</v>
      </c>
      <c r="AG17" s="291">
        <v>0</v>
      </c>
    </row>
    <row r="18" spans="1:33" x14ac:dyDescent="0.25">
      <c r="A18" s="289" t="s">
        <v>73</v>
      </c>
      <c r="B18" s="289" t="s">
        <v>256</v>
      </c>
      <c r="C18" s="289" t="s">
        <v>177</v>
      </c>
      <c r="D18" s="290">
        <v>1423</v>
      </c>
      <c r="E18" s="290">
        <v>10</v>
      </c>
      <c r="F18" s="290">
        <v>41</v>
      </c>
      <c r="G18" s="290">
        <v>0</v>
      </c>
      <c r="H18" s="291">
        <v>6132</v>
      </c>
      <c r="I18" s="290">
        <v>712</v>
      </c>
      <c r="J18" s="290">
        <v>0</v>
      </c>
      <c r="K18" s="290">
        <v>0</v>
      </c>
      <c r="L18" s="290">
        <v>0</v>
      </c>
      <c r="M18" s="291">
        <v>4098</v>
      </c>
      <c r="N18" s="290">
        <v>585</v>
      </c>
      <c r="O18" s="290">
        <v>8</v>
      </c>
      <c r="P18" s="290">
        <v>17</v>
      </c>
      <c r="Q18" s="290">
        <v>0</v>
      </c>
      <c r="R18" s="291">
        <v>632</v>
      </c>
      <c r="S18" s="290">
        <v>0</v>
      </c>
      <c r="T18" s="290">
        <v>0</v>
      </c>
      <c r="U18" s="290">
        <v>0</v>
      </c>
      <c r="V18" s="290">
        <v>0</v>
      </c>
      <c r="W18" s="291">
        <v>1250</v>
      </c>
      <c r="X18" s="290">
        <v>126</v>
      </c>
      <c r="Y18" s="290">
        <v>2</v>
      </c>
      <c r="Z18" s="290">
        <v>24</v>
      </c>
      <c r="AA18" s="290">
        <v>0</v>
      </c>
      <c r="AB18" s="291">
        <v>152</v>
      </c>
      <c r="AC18" s="290">
        <v>0</v>
      </c>
      <c r="AD18" s="290">
        <v>0</v>
      </c>
      <c r="AE18" s="290">
        <v>0</v>
      </c>
      <c r="AF18" s="290">
        <v>0</v>
      </c>
      <c r="AG18" s="291">
        <v>0</v>
      </c>
    </row>
    <row r="19" spans="1:33" x14ac:dyDescent="0.25">
      <c r="A19" s="289" t="s">
        <v>73</v>
      </c>
      <c r="B19" s="289" t="s">
        <v>256</v>
      </c>
      <c r="C19" s="289" t="s">
        <v>160</v>
      </c>
      <c r="D19" s="290">
        <v>4270</v>
      </c>
      <c r="E19" s="290">
        <v>31</v>
      </c>
      <c r="F19" s="290">
        <v>123</v>
      </c>
      <c r="G19" s="290">
        <v>0</v>
      </c>
      <c r="H19" s="291">
        <v>18397</v>
      </c>
      <c r="I19" s="290">
        <v>2135</v>
      </c>
      <c r="J19" s="290">
        <v>0</v>
      </c>
      <c r="K19" s="290">
        <v>0</v>
      </c>
      <c r="L19" s="290">
        <v>0</v>
      </c>
      <c r="M19" s="291">
        <v>12291</v>
      </c>
      <c r="N19" s="290">
        <v>1755</v>
      </c>
      <c r="O19" s="290">
        <v>26</v>
      </c>
      <c r="P19" s="290">
        <v>50</v>
      </c>
      <c r="Q19" s="290">
        <v>0</v>
      </c>
      <c r="R19" s="291">
        <v>1899</v>
      </c>
      <c r="S19" s="290">
        <v>0</v>
      </c>
      <c r="T19" s="290">
        <v>0</v>
      </c>
      <c r="U19" s="290">
        <v>0</v>
      </c>
      <c r="V19" s="290">
        <v>0</v>
      </c>
      <c r="W19" s="291">
        <v>3749</v>
      </c>
      <c r="X19" s="290">
        <v>380</v>
      </c>
      <c r="Y19" s="290">
        <v>5</v>
      </c>
      <c r="Z19" s="290">
        <v>73</v>
      </c>
      <c r="AA19" s="290">
        <v>0</v>
      </c>
      <c r="AB19" s="291">
        <v>458</v>
      </c>
      <c r="AC19" s="290">
        <v>0</v>
      </c>
      <c r="AD19" s="290">
        <v>0</v>
      </c>
      <c r="AE19" s="290">
        <v>0</v>
      </c>
      <c r="AF19" s="290">
        <v>0</v>
      </c>
      <c r="AG19" s="291">
        <v>0</v>
      </c>
    </row>
    <row r="20" spans="1:33" x14ac:dyDescent="0.25">
      <c r="A20" s="289" t="s">
        <v>76</v>
      </c>
      <c r="B20" s="289" t="s">
        <v>254</v>
      </c>
      <c r="C20" s="289" t="s">
        <v>177</v>
      </c>
      <c r="D20" s="290">
        <v>3288</v>
      </c>
      <c r="E20" s="290">
        <v>24</v>
      </c>
      <c r="F20" s="290">
        <v>95</v>
      </c>
      <c r="G20" s="290">
        <v>0</v>
      </c>
      <c r="H20" s="291">
        <v>14168</v>
      </c>
      <c r="I20" s="290">
        <v>1644</v>
      </c>
      <c r="J20" s="290">
        <v>0</v>
      </c>
      <c r="K20" s="290">
        <v>0</v>
      </c>
      <c r="L20" s="290">
        <v>0</v>
      </c>
      <c r="M20" s="291">
        <v>9465</v>
      </c>
      <c r="N20" s="290">
        <v>1351</v>
      </c>
      <c r="O20" s="290">
        <v>20</v>
      </c>
      <c r="P20" s="290">
        <v>39</v>
      </c>
      <c r="Q20" s="290">
        <v>0</v>
      </c>
      <c r="R20" s="291">
        <v>1463</v>
      </c>
      <c r="S20" s="290">
        <v>0</v>
      </c>
      <c r="T20" s="290">
        <v>0</v>
      </c>
      <c r="U20" s="290">
        <v>0</v>
      </c>
      <c r="V20" s="290">
        <v>0</v>
      </c>
      <c r="W20" s="291">
        <v>2887</v>
      </c>
      <c r="X20" s="290">
        <v>293</v>
      </c>
      <c r="Y20" s="290">
        <v>4</v>
      </c>
      <c r="Z20" s="290">
        <v>56</v>
      </c>
      <c r="AA20" s="290">
        <v>0</v>
      </c>
      <c r="AB20" s="291">
        <v>353</v>
      </c>
      <c r="AC20" s="290">
        <v>0</v>
      </c>
      <c r="AD20" s="290">
        <v>0</v>
      </c>
      <c r="AE20" s="290">
        <v>0</v>
      </c>
      <c r="AF20" s="290">
        <v>0</v>
      </c>
      <c r="AG20" s="291">
        <v>0</v>
      </c>
    </row>
    <row r="21" spans="1:33" x14ac:dyDescent="0.25">
      <c r="A21" s="289" t="s">
        <v>76</v>
      </c>
      <c r="B21" s="289" t="s">
        <v>255</v>
      </c>
      <c r="C21" s="289" t="s">
        <v>178</v>
      </c>
      <c r="D21" s="290">
        <v>5930</v>
      </c>
      <c r="E21" s="290">
        <v>43</v>
      </c>
      <c r="F21" s="290">
        <v>171</v>
      </c>
      <c r="G21" s="290">
        <v>0</v>
      </c>
      <c r="H21" s="291">
        <v>25550</v>
      </c>
      <c r="I21" s="290">
        <v>2965</v>
      </c>
      <c r="J21" s="290">
        <v>0</v>
      </c>
      <c r="K21" s="290">
        <v>0</v>
      </c>
      <c r="L21" s="290">
        <v>0</v>
      </c>
      <c r="M21" s="291">
        <v>17070</v>
      </c>
      <c r="N21" s="290">
        <v>2438</v>
      </c>
      <c r="O21" s="290">
        <v>35</v>
      </c>
      <c r="P21" s="290">
        <v>69</v>
      </c>
      <c r="Q21" s="290">
        <v>0</v>
      </c>
      <c r="R21" s="291">
        <v>2637</v>
      </c>
      <c r="S21" s="290">
        <v>0</v>
      </c>
      <c r="T21" s="290">
        <v>0</v>
      </c>
      <c r="U21" s="290">
        <v>0</v>
      </c>
      <c r="V21" s="290">
        <v>0</v>
      </c>
      <c r="W21" s="291">
        <v>5206</v>
      </c>
      <c r="X21" s="290">
        <v>527</v>
      </c>
      <c r="Y21" s="290">
        <v>8</v>
      </c>
      <c r="Z21" s="290">
        <v>102</v>
      </c>
      <c r="AA21" s="290">
        <v>0</v>
      </c>
      <c r="AB21" s="291">
        <v>637</v>
      </c>
      <c r="AC21" s="290">
        <v>0</v>
      </c>
      <c r="AD21" s="290">
        <v>0</v>
      </c>
      <c r="AE21" s="290">
        <v>0</v>
      </c>
      <c r="AF21" s="290">
        <v>0</v>
      </c>
      <c r="AG21" s="291">
        <v>0</v>
      </c>
    </row>
    <row r="22" spans="1:33" x14ac:dyDescent="0.25">
      <c r="A22" s="289" t="s">
        <v>76</v>
      </c>
      <c r="B22" s="289" t="s">
        <v>256</v>
      </c>
      <c r="C22" s="289" t="s">
        <v>160</v>
      </c>
      <c r="D22" s="290">
        <v>4868</v>
      </c>
      <c r="E22" s="290">
        <v>36</v>
      </c>
      <c r="F22" s="290">
        <v>141</v>
      </c>
      <c r="G22" s="290">
        <v>0</v>
      </c>
      <c r="H22" s="291">
        <v>20975</v>
      </c>
      <c r="I22" s="290">
        <v>2434</v>
      </c>
      <c r="J22" s="290">
        <v>0</v>
      </c>
      <c r="K22" s="290">
        <v>0</v>
      </c>
      <c r="L22" s="290">
        <v>0</v>
      </c>
      <c r="M22" s="291">
        <v>14012</v>
      </c>
      <c r="N22" s="290">
        <v>2002</v>
      </c>
      <c r="O22" s="290">
        <v>29</v>
      </c>
      <c r="P22" s="290">
        <v>57</v>
      </c>
      <c r="Q22" s="290">
        <v>0</v>
      </c>
      <c r="R22" s="291">
        <v>2166</v>
      </c>
      <c r="S22" s="290">
        <v>0</v>
      </c>
      <c r="T22" s="290">
        <v>0</v>
      </c>
      <c r="U22" s="290">
        <v>0</v>
      </c>
      <c r="V22" s="290">
        <v>0</v>
      </c>
      <c r="W22" s="291">
        <v>4274</v>
      </c>
      <c r="X22" s="290">
        <v>432</v>
      </c>
      <c r="Y22" s="290">
        <v>7</v>
      </c>
      <c r="Z22" s="290">
        <v>84</v>
      </c>
      <c r="AA22" s="290">
        <v>0</v>
      </c>
      <c r="AB22" s="291">
        <v>523</v>
      </c>
      <c r="AC22" s="290">
        <v>0</v>
      </c>
      <c r="AD22" s="290">
        <v>0</v>
      </c>
      <c r="AE22" s="290">
        <v>0</v>
      </c>
      <c r="AF22" s="290">
        <v>0</v>
      </c>
      <c r="AG22" s="291">
        <v>0</v>
      </c>
    </row>
    <row r="23" spans="1:33" x14ac:dyDescent="0.25">
      <c r="A23" s="289" t="s">
        <v>79</v>
      </c>
      <c r="B23" s="289" t="s">
        <v>254</v>
      </c>
      <c r="C23" s="289" t="s">
        <v>177</v>
      </c>
      <c r="D23" s="290">
        <v>113569</v>
      </c>
      <c r="E23" s="290">
        <v>832</v>
      </c>
      <c r="F23" s="290">
        <v>3278</v>
      </c>
      <c r="G23" s="290">
        <v>0</v>
      </c>
      <c r="H23" s="291">
        <v>489310</v>
      </c>
      <c r="I23" s="290">
        <v>56785</v>
      </c>
      <c r="J23" s="290">
        <v>0</v>
      </c>
      <c r="K23" s="290">
        <v>0</v>
      </c>
      <c r="L23" s="290">
        <v>0</v>
      </c>
      <c r="M23" s="291">
        <v>326908</v>
      </c>
      <c r="N23" s="290">
        <v>46670</v>
      </c>
      <c r="O23" s="290">
        <v>684</v>
      </c>
      <c r="P23" s="290">
        <v>1332</v>
      </c>
      <c r="Q23" s="290">
        <v>0</v>
      </c>
      <c r="R23" s="291">
        <v>50497</v>
      </c>
      <c r="S23" s="290">
        <v>0</v>
      </c>
      <c r="T23" s="290">
        <v>0</v>
      </c>
      <c r="U23" s="290">
        <v>0</v>
      </c>
      <c r="V23" s="290">
        <v>0</v>
      </c>
      <c r="W23" s="291">
        <v>99697</v>
      </c>
      <c r="X23" s="290">
        <v>10114</v>
      </c>
      <c r="Y23" s="290">
        <v>148</v>
      </c>
      <c r="Z23" s="290">
        <v>1946</v>
      </c>
      <c r="AA23" s="290">
        <v>0</v>
      </c>
      <c r="AB23" s="291">
        <v>12208</v>
      </c>
      <c r="AC23" s="290">
        <v>0</v>
      </c>
      <c r="AD23" s="290">
        <v>0</v>
      </c>
      <c r="AE23" s="290">
        <v>0</v>
      </c>
      <c r="AF23" s="290">
        <v>0</v>
      </c>
      <c r="AG23" s="291">
        <v>0</v>
      </c>
    </row>
    <row r="24" spans="1:33" x14ac:dyDescent="0.25">
      <c r="A24" s="289" t="s">
        <v>79</v>
      </c>
      <c r="B24" s="289" t="s">
        <v>255</v>
      </c>
      <c r="C24" s="289" t="s">
        <v>178</v>
      </c>
      <c r="D24" s="290">
        <v>116370</v>
      </c>
      <c r="E24" s="290">
        <v>852</v>
      </c>
      <c r="F24" s="290">
        <v>3359</v>
      </c>
      <c r="G24" s="290">
        <v>0</v>
      </c>
      <c r="H24" s="291">
        <v>501377</v>
      </c>
      <c r="I24" s="290">
        <v>58185</v>
      </c>
      <c r="J24" s="290">
        <v>0</v>
      </c>
      <c r="K24" s="290">
        <v>0</v>
      </c>
      <c r="L24" s="290">
        <v>0</v>
      </c>
      <c r="M24" s="291">
        <v>334970</v>
      </c>
      <c r="N24" s="290">
        <v>47822</v>
      </c>
      <c r="O24" s="290">
        <v>700</v>
      </c>
      <c r="P24" s="290">
        <v>1365</v>
      </c>
      <c r="Q24" s="290">
        <v>0</v>
      </c>
      <c r="R24" s="291">
        <v>51742</v>
      </c>
      <c r="S24" s="290">
        <v>0</v>
      </c>
      <c r="T24" s="290">
        <v>0</v>
      </c>
      <c r="U24" s="290">
        <v>0</v>
      </c>
      <c r="V24" s="290">
        <v>0</v>
      </c>
      <c r="W24" s="291">
        <v>102156</v>
      </c>
      <c r="X24" s="290">
        <v>10363</v>
      </c>
      <c r="Y24" s="290">
        <v>152</v>
      </c>
      <c r="Z24" s="290">
        <v>1994</v>
      </c>
      <c r="AA24" s="290">
        <v>0</v>
      </c>
      <c r="AB24" s="291">
        <v>12509</v>
      </c>
      <c r="AC24" s="290">
        <v>0</v>
      </c>
      <c r="AD24" s="290">
        <v>0</v>
      </c>
      <c r="AE24" s="290">
        <v>0</v>
      </c>
      <c r="AF24" s="290">
        <v>0</v>
      </c>
      <c r="AG24" s="291">
        <v>0</v>
      </c>
    </row>
    <row r="25" spans="1:33" x14ac:dyDescent="0.25">
      <c r="A25" s="289" t="s">
        <v>79</v>
      </c>
      <c r="B25" s="289" t="s">
        <v>256</v>
      </c>
      <c r="C25" s="289" t="s">
        <v>160</v>
      </c>
      <c r="D25" s="290">
        <v>141925</v>
      </c>
      <c r="E25" s="290">
        <v>1040</v>
      </c>
      <c r="F25" s="290">
        <v>4097</v>
      </c>
      <c r="G25" s="290">
        <v>0</v>
      </c>
      <c r="H25" s="291">
        <v>611480</v>
      </c>
      <c r="I25" s="290">
        <v>70963</v>
      </c>
      <c r="J25" s="290">
        <v>0</v>
      </c>
      <c r="K25" s="290">
        <v>0</v>
      </c>
      <c r="L25" s="290">
        <v>0</v>
      </c>
      <c r="M25" s="291">
        <v>408529</v>
      </c>
      <c r="N25" s="290">
        <v>58323</v>
      </c>
      <c r="O25" s="290">
        <v>855</v>
      </c>
      <c r="P25" s="290">
        <v>1665</v>
      </c>
      <c r="Q25" s="290">
        <v>0</v>
      </c>
      <c r="R25" s="291">
        <v>63106</v>
      </c>
      <c r="S25" s="290">
        <v>0</v>
      </c>
      <c r="T25" s="290">
        <v>0</v>
      </c>
      <c r="U25" s="290">
        <v>0</v>
      </c>
      <c r="V25" s="290">
        <v>0</v>
      </c>
      <c r="W25" s="291">
        <v>124589</v>
      </c>
      <c r="X25" s="290">
        <v>12639</v>
      </c>
      <c r="Y25" s="290">
        <v>185</v>
      </c>
      <c r="Z25" s="290">
        <v>2432</v>
      </c>
      <c r="AA25" s="290">
        <v>0</v>
      </c>
      <c r="AB25" s="291">
        <v>15256</v>
      </c>
      <c r="AC25" s="290">
        <v>0</v>
      </c>
      <c r="AD25" s="290">
        <v>0</v>
      </c>
      <c r="AE25" s="290">
        <v>0</v>
      </c>
      <c r="AF25" s="290">
        <v>0</v>
      </c>
      <c r="AG25" s="291">
        <v>0</v>
      </c>
    </row>
    <row r="26" spans="1:33" x14ac:dyDescent="0.25">
      <c r="A26" s="289" t="s">
        <v>80</v>
      </c>
      <c r="B26" s="289" t="s">
        <v>254</v>
      </c>
      <c r="C26" s="289" t="s">
        <v>177</v>
      </c>
      <c r="D26" s="290">
        <v>20562</v>
      </c>
      <c r="E26" s="290">
        <v>151</v>
      </c>
      <c r="F26" s="290">
        <v>594</v>
      </c>
      <c r="G26" s="290">
        <v>0</v>
      </c>
      <c r="H26" s="291">
        <v>88590</v>
      </c>
      <c r="I26" s="290">
        <v>10281</v>
      </c>
      <c r="J26" s="290">
        <v>0</v>
      </c>
      <c r="K26" s="290">
        <v>0</v>
      </c>
      <c r="L26" s="290">
        <v>0</v>
      </c>
      <c r="M26" s="291">
        <v>59186</v>
      </c>
      <c r="N26" s="290">
        <v>8451</v>
      </c>
      <c r="O26" s="290">
        <v>124</v>
      </c>
      <c r="P26" s="290">
        <v>241</v>
      </c>
      <c r="Q26" s="290">
        <v>0</v>
      </c>
      <c r="R26" s="291">
        <v>9143</v>
      </c>
      <c r="S26" s="290">
        <v>0</v>
      </c>
      <c r="T26" s="290">
        <v>0</v>
      </c>
      <c r="U26" s="290">
        <v>0</v>
      </c>
      <c r="V26" s="290">
        <v>0</v>
      </c>
      <c r="W26" s="291">
        <v>18051</v>
      </c>
      <c r="X26" s="290">
        <v>1830</v>
      </c>
      <c r="Y26" s="290">
        <v>27</v>
      </c>
      <c r="Z26" s="290">
        <v>353</v>
      </c>
      <c r="AA26" s="290">
        <v>0</v>
      </c>
      <c r="AB26" s="291">
        <v>2210</v>
      </c>
      <c r="AC26" s="290">
        <v>0</v>
      </c>
      <c r="AD26" s="290">
        <v>0</v>
      </c>
      <c r="AE26" s="290">
        <v>0</v>
      </c>
      <c r="AF26" s="290">
        <v>0</v>
      </c>
      <c r="AG26" s="291">
        <v>0</v>
      </c>
    </row>
    <row r="27" spans="1:33" x14ac:dyDescent="0.25">
      <c r="A27" s="289" t="s">
        <v>82</v>
      </c>
      <c r="B27" s="289" t="s">
        <v>254</v>
      </c>
      <c r="C27" s="289" t="s">
        <v>177</v>
      </c>
      <c r="D27" s="290">
        <v>21908</v>
      </c>
      <c r="E27" s="290">
        <v>160</v>
      </c>
      <c r="F27" s="290">
        <v>632</v>
      </c>
      <c r="G27" s="290">
        <v>0</v>
      </c>
      <c r="H27" s="291">
        <v>94392</v>
      </c>
      <c r="I27" s="290">
        <v>10954</v>
      </c>
      <c r="J27" s="290">
        <v>0</v>
      </c>
      <c r="K27" s="290">
        <v>0</v>
      </c>
      <c r="L27" s="290">
        <v>0</v>
      </c>
      <c r="M27" s="291">
        <v>63064</v>
      </c>
      <c r="N27" s="290">
        <v>9003</v>
      </c>
      <c r="O27" s="290">
        <v>132</v>
      </c>
      <c r="P27" s="290">
        <v>257</v>
      </c>
      <c r="Q27" s="290">
        <v>0</v>
      </c>
      <c r="R27" s="291">
        <v>9741</v>
      </c>
      <c r="S27" s="290">
        <v>0</v>
      </c>
      <c r="T27" s="290">
        <v>0</v>
      </c>
      <c r="U27" s="290">
        <v>0</v>
      </c>
      <c r="V27" s="290">
        <v>0</v>
      </c>
      <c r="W27" s="291">
        <v>19233</v>
      </c>
      <c r="X27" s="290">
        <v>1951</v>
      </c>
      <c r="Y27" s="290">
        <v>28</v>
      </c>
      <c r="Z27" s="290">
        <v>375</v>
      </c>
      <c r="AA27" s="290">
        <v>0</v>
      </c>
      <c r="AB27" s="291">
        <v>2354</v>
      </c>
      <c r="AC27" s="290">
        <v>0</v>
      </c>
      <c r="AD27" s="290">
        <v>0</v>
      </c>
      <c r="AE27" s="290">
        <v>0</v>
      </c>
      <c r="AF27" s="290">
        <v>0</v>
      </c>
      <c r="AG27" s="291">
        <v>0</v>
      </c>
    </row>
    <row r="28" spans="1:33" x14ac:dyDescent="0.25">
      <c r="A28" s="289" t="s">
        <v>82</v>
      </c>
      <c r="B28" s="289" t="s">
        <v>255</v>
      </c>
      <c r="C28" s="289" t="s">
        <v>178</v>
      </c>
      <c r="D28" s="290">
        <v>21731</v>
      </c>
      <c r="E28" s="290">
        <v>159</v>
      </c>
      <c r="F28" s="290">
        <v>627</v>
      </c>
      <c r="G28" s="290">
        <v>0</v>
      </c>
      <c r="H28" s="291">
        <v>93629</v>
      </c>
      <c r="I28" s="290">
        <v>10866</v>
      </c>
      <c r="J28" s="290">
        <v>0</v>
      </c>
      <c r="K28" s="290">
        <v>0</v>
      </c>
      <c r="L28" s="290">
        <v>0</v>
      </c>
      <c r="M28" s="291">
        <v>62554</v>
      </c>
      <c r="N28" s="290">
        <v>8930</v>
      </c>
      <c r="O28" s="290">
        <v>131</v>
      </c>
      <c r="P28" s="290">
        <v>255</v>
      </c>
      <c r="Q28" s="290">
        <v>0</v>
      </c>
      <c r="R28" s="291">
        <v>9663</v>
      </c>
      <c r="S28" s="290">
        <v>0</v>
      </c>
      <c r="T28" s="290">
        <v>0</v>
      </c>
      <c r="U28" s="290">
        <v>0</v>
      </c>
      <c r="V28" s="290">
        <v>0</v>
      </c>
      <c r="W28" s="291">
        <v>19077</v>
      </c>
      <c r="X28" s="290">
        <v>1935</v>
      </c>
      <c r="Y28" s="290">
        <v>28</v>
      </c>
      <c r="Z28" s="290">
        <v>372</v>
      </c>
      <c r="AA28" s="290">
        <v>0</v>
      </c>
      <c r="AB28" s="291">
        <v>2335</v>
      </c>
      <c r="AC28" s="290">
        <v>0</v>
      </c>
      <c r="AD28" s="290">
        <v>0</v>
      </c>
      <c r="AE28" s="290">
        <v>0</v>
      </c>
      <c r="AF28" s="290">
        <v>0</v>
      </c>
      <c r="AG28" s="291">
        <v>0</v>
      </c>
    </row>
    <row r="29" spans="1:33" x14ac:dyDescent="0.25">
      <c r="A29" s="289" t="s">
        <v>82</v>
      </c>
      <c r="B29" s="289" t="s">
        <v>256</v>
      </c>
      <c r="C29" s="289" t="s">
        <v>160</v>
      </c>
      <c r="D29" s="290">
        <v>22107</v>
      </c>
      <c r="E29" s="290">
        <v>162</v>
      </c>
      <c r="F29" s="290">
        <v>638</v>
      </c>
      <c r="G29" s="290">
        <v>0</v>
      </c>
      <c r="H29" s="291">
        <v>95246</v>
      </c>
      <c r="I29" s="290">
        <v>11054</v>
      </c>
      <c r="J29" s="290">
        <v>0</v>
      </c>
      <c r="K29" s="290">
        <v>0</v>
      </c>
      <c r="L29" s="290">
        <v>0</v>
      </c>
      <c r="M29" s="291">
        <v>63634</v>
      </c>
      <c r="N29" s="290">
        <v>9085</v>
      </c>
      <c r="O29" s="290">
        <v>133</v>
      </c>
      <c r="P29" s="290">
        <v>259</v>
      </c>
      <c r="Q29" s="290">
        <v>0</v>
      </c>
      <c r="R29" s="291">
        <v>9829</v>
      </c>
      <c r="S29" s="290">
        <v>0</v>
      </c>
      <c r="T29" s="290">
        <v>0</v>
      </c>
      <c r="U29" s="290">
        <v>0</v>
      </c>
      <c r="V29" s="290">
        <v>0</v>
      </c>
      <c r="W29" s="291">
        <v>19407</v>
      </c>
      <c r="X29" s="290">
        <v>1968</v>
      </c>
      <c r="Y29" s="290">
        <v>29</v>
      </c>
      <c r="Z29" s="290">
        <v>379</v>
      </c>
      <c r="AA29" s="290">
        <v>0</v>
      </c>
      <c r="AB29" s="291">
        <v>2376</v>
      </c>
      <c r="AC29" s="290">
        <v>0</v>
      </c>
      <c r="AD29" s="290">
        <v>0</v>
      </c>
      <c r="AE29" s="290">
        <v>0</v>
      </c>
      <c r="AF29" s="290">
        <v>0</v>
      </c>
      <c r="AG29" s="291">
        <v>0</v>
      </c>
    </row>
    <row r="30" spans="1:33" x14ac:dyDescent="0.25">
      <c r="A30" s="289" t="s">
        <v>83</v>
      </c>
      <c r="B30" s="289" t="s">
        <v>254</v>
      </c>
      <c r="C30" s="289" t="s">
        <v>177</v>
      </c>
      <c r="D30" s="290">
        <v>843</v>
      </c>
      <c r="E30" s="290">
        <v>6</v>
      </c>
      <c r="F30" s="290">
        <v>24</v>
      </c>
      <c r="G30" s="290">
        <v>0</v>
      </c>
      <c r="H30" s="291">
        <v>3633</v>
      </c>
      <c r="I30" s="290">
        <v>422</v>
      </c>
      <c r="J30" s="290">
        <v>0</v>
      </c>
      <c r="K30" s="290">
        <v>0</v>
      </c>
      <c r="L30" s="290">
        <v>0</v>
      </c>
      <c r="M30" s="291">
        <v>2427</v>
      </c>
      <c r="N30" s="290">
        <v>346</v>
      </c>
      <c r="O30" s="290">
        <v>5</v>
      </c>
      <c r="P30" s="290">
        <v>10</v>
      </c>
      <c r="Q30" s="290">
        <v>0</v>
      </c>
      <c r="R30" s="291">
        <v>375</v>
      </c>
      <c r="S30" s="290">
        <v>0</v>
      </c>
      <c r="T30" s="290">
        <v>0</v>
      </c>
      <c r="U30" s="290">
        <v>0</v>
      </c>
      <c r="V30" s="290">
        <v>0</v>
      </c>
      <c r="W30" s="291">
        <v>741</v>
      </c>
      <c r="X30" s="290">
        <v>75</v>
      </c>
      <c r="Y30" s="290">
        <v>1</v>
      </c>
      <c r="Z30" s="290">
        <v>14</v>
      </c>
      <c r="AA30" s="290">
        <v>0</v>
      </c>
      <c r="AB30" s="291">
        <v>90</v>
      </c>
      <c r="AC30" s="290">
        <v>0</v>
      </c>
      <c r="AD30" s="290">
        <v>0</v>
      </c>
      <c r="AE30" s="290">
        <v>0</v>
      </c>
      <c r="AF30" s="290">
        <v>0</v>
      </c>
      <c r="AG30" s="291">
        <v>0</v>
      </c>
    </row>
    <row r="31" spans="1:33" x14ac:dyDescent="0.25">
      <c r="A31" s="289" t="s">
        <v>83</v>
      </c>
      <c r="B31" s="289" t="s">
        <v>255</v>
      </c>
      <c r="C31" s="289" t="s">
        <v>177</v>
      </c>
      <c r="D31" s="290">
        <v>4510</v>
      </c>
      <c r="E31" s="290">
        <v>33</v>
      </c>
      <c r="F31" s="290">
        <v>130</v>
      </c>
      <c r="G31" s="290">
        <v>0</v>
      </c>
      <c r="H31" s="291">
        <v>19431</v>
      </c>
      <c r="I31" s="290">
        <v>2255</v>
      </c>
      <c r="J31" s="290">
        <v>0</v>
      </c>
      <c r="K31" s="290">
        <v>0</v>
      </c>
      <c r="L31" s="290">
        <v>0</v>
      </c>
      <c r="M31" s="291">
        <v>12981</v>
      </c>
      <c r="N31" s="290">
        <v>1854</v>
      </c>
      <c r="O31" s="290">
        <v>27</v>
      </c>
      <c r="P31" s="290">
        <v>53</v>
      </c>
      <c r="Q31" s="290">
        <v>0</v>
      </c>
      <c r="R31" s="291">
        <v>2006</v>
      </c>
      <c r="S31" s="290">
        <v>0</v>
      </c>
      <c r="T31" s="290">
        <v>0</v>
      </c>
      <c r="U31" s="290">
        <v>0</v>
      </c>
      <c r="V31" s="290">
        <v>0</v>
      </c>
      <c r="W31" s="291">
        <v>3960</v>
      </c>
      <c r="X31" s="290">
        <v>401</v>
      </c>
      <c r="Y31" s="290">
        <v>6</v>
      </c>
      <c r="Z31" s="290">
        <v>77</v>
      </c>
      <c r="AA31" s="290">
        <v>0</v>
      </c>
      <c r="AB31" s="291">
        <v>484</v>
      </c>
      <c r="AC31" s="290">
        <v>0</v>
      </c>
      <c r="AD31" s="290">
        <v>0</v>
      </c>
      <c r="AE31" s="290">
        <v>0</v>
      </c>
      <c r="AF31" s="290">
        <v>0</v>
      </c>
      <c r="AG31" s="291">
        <v>0</v>
      </c>
    </row>
    <row r="32" spans="1:33" x14ac:dyDescent="0.25">
      <c r="A32" s="289" t="s">
        <v>83</v>
      </c>
      <c r="B32" s="289" t="s">
        <v>255</v>
      </c>
      <c r="C32" s="289" t="s">
        <v>178</v>
      </c>
      <c r="D32" s="290">
        <v>6303</v>
      </c>
      <c r="E32" s="290">
        <v>46</v>
      </c>
      <c r="F32" s="290">
        <v>182</v>
      </c>
      <c r="G32" s="290">
        <v>0</v>
      </c>
      <c r="H32" s="291">
        <v>27157</v>
      </c>
      <c r="I32" s="290">
        <v>3152</v>
      </c>
      <c r="J32" s="290">
        <v>0</v>
      </c>
      <c r="K32" s="290">
        <v>0</v>
      </c>
      <c r="L32" s="290">
        <v>0</v>
      </c>
      <c r="M32" s="291">
        <v>18143</v>
      </c>
      <c r="N32" s="290">
        <v>2590</v>
      </c>
      <c r="O32" s="290">
        <v>38</v>
      </c>
      <c r="P32" s="290">
        <v>74</v>
      </c>
      <c r="Q32" s="290">
        <v>0</v>
      </c>
      <c r="R32" s="291">
        <v>2803</v>
      </c>
      <c r="S32" s="290">
        <v>0</v>
      </c>
      <c r="T32" s="290">
        <v>0</v>
      </c>
      <c r="U32" s="290">
        <v>0</v>
      </c>
      <c r="V32" s="290">
        <v>0</v>
      </c>
      <c r="W32" s="291">
        <v>5534</v>
      </c>
      <c r="X32" s="290">
        <v>561</v>
      </c>
      <c r="Y32" s="290">
        <v>8</v>
      </c>
      <c r="Z32" s="290">
        <v>108</v>
      </c>
      <c r="AA32" s="290">
        <v>0</v>
      </c>
      <c r="AB32" s="291">
        <v>677</v>
      </c>
      <c r="AC32" s="290">
        <v>0</v>
      </c>
      <c r="AD32" s="290">
        <v>0</v>
      </c>
      <c r="AE32" s="290">
        <v>0</v>
      </c>
      <c r="AF32" s="290">
        <v>0</v>
      </c>
      <c r="AG32" s="291">
        <v>0</v>
      </c>
    </row>
    <row r="33" spans="1:33" x14ac:dyDescent="0.25">
      <c r="A33" s="289" t="s">
        <v>83</v>
      </c>
      <c r="B33" s="289" t="s">
        <v>256</v>
      </c>
      <c r="C33" s="289" t="s">
        <v>177</v>
      </c>
      <c r="D33" s="290">
        <v>-130</v>
      </c>
      <c r="E33" s="290">
        <v>-1</v>
      </c>
      <c r="F33" s="290">
        <v>-4</v>
      </c>
      <c r="G33" s="290">
        <v>0</v>
      </c>
      <c r="H33" s="291">
        <v>-561</v>
      </c>
      <c r="I33" s="290">
        <v>-65</v>
      </c>
      <c r="J33" s="290">
        <v>0</v>
      </c>
      <c r="K33" s="290">
        <v>0</v>
      </c>
      <c r="L33" s="290">
        <v>0</v>
      </c>
      <c r="M33" s="291">
        <v>-374</v>
      </c>
      <c r="N33" s="290">
        <v>-54</v>
      </c>
      <c r="O33" s="290">
        <v>-1</v>
      </c>
      <c r="P33" s="290">
        <v>-2</v>
      </c>
      <c r="Q33" s="290">
        <v>0</v>
      </c>
      <c r="R33" s="291">
        <v>-59</v>
      </c>
      <c r="S33" s="290">
        <v>0</v>
      </c>
      <c r="T33" s="290">
        <v>0</v>
      </c>
      <c r="U33" s="290">
        <v>0</v>
      </c>
      <c r="V33" s="290">
        <v>0</v>
      </c>
      <c r="W33" s="291">
        <v>-115</v>
      </c>
      <c r="X33" s="290">
        <v>-11</v>
      </c>
      <c r="Y33" s="290">
        <v>0</v>
      </c>
      <c r="Z33" s="290">
        <v>-2</v>
      </c>
      <c r="AA33" s="290">
        <v>0</v>
      </c>
      <c r="AB33" s="291">
        <v>-13</v>
      </c>
      <c r="AC33" s="290">
        <v>0</v>
      </c>
      <c r="AD33" s="290">
        <v>0</v>
      </c>
      <c r="AE33" s="290">
        <v>0</v>
      </c>
      <c r="AF33" s="290">
        <v>0</v>
      </c>
      <c r="AG33" s="291">
        <v>0</v>
      </c>
    </row>
    <row r="34" spans="1:33" x14ac:dyDescent="0.25">
      <c r="A34" s="289" t="s">
        <v>83</v>
      </c>
      <c r="B34" s="289" t="s">
        <v>256</v>
      </c>
      <c r="C34" s="289" t="s">
        <v>178</v>
      </c>
      <c r="D34" s="290">
        <v>-131</v>
      </c>
      <c r="E34" s="290">
        <v>-1</v>
      </c>
      <c r="F34" s="290">
        <v>-4</v>
      </c>
      <c r="G34" s="290">
        <v>0</v>
      </c>
      <c r="H34" s="291">
        <v>-563</v>
      </c>
      <c r="I34" s="290">
        <v>-66</v>
      </c>
      <c r="J34" s="290">
        <v>0</v>
      </c>
      <c r="K34" s="290">
        <v>0</v>
      </c>
      <c r="L34" s="290">
        <v>0</v>
      </c>
      <c r="M34" s="291">
        <v>-376</v>
      </c>
      <c r="N34" s="290">
        <v>-54</v>
      </c>
      <c r="O34" s="290">
        <v>-1</v>
      </c>
      <c r="P34" s="290">
        <v>-2</v>
      </c>
      <c r="Q34" s="290">
        <v>0</v>
      </c>
      <c r="R34" s="291">
        <v>-59</v>
      </c>
      <c r="S34" s="290">
        <v>0</v>
      </c>
      <c r="T34" s="290">
        <v>0</v>
      </c>
      <c r="U34" s="290">
        <v>0</v>
      </c>
      <c r="V34" s="290">
        <v>0</v>
      </c>
      <c r="W34" s="291">
        <v>-115</v>
      </c>
      <c r="X34" s="290">
        <v>-11</v>
      </c>
      <c r="Y34" s="290">
        <v>0</v>
      </c>
      <c r="Z34" s="290">
        <v>-2</v>
      </c>
      <c r="AA34" s="290">
        <v>0</v>
      </c>
      <c r="AB34" s="291">
        <v>-13</v>
      </c>
      <c r="AC34" s="290">
        <v>0</v>
      </c>
      <c r="AD34" s="290">
        <v>0</v>
      </c>
      <c r="AE34" s="290">
        <v>0</v>
      </c>
      <c r="AF34" s="290">
        <v>0</v>
      </c>
      <c r="AG34" s="291">
        <v>0</v>
      </c>
    </row>
    <row r="35" spans="1:33" x14ac:dyDescent="0.25">
      <c r="A35" s="289" t="s">
        <v>83</v>
      </c>
      <c r="B35" s="289" t="s">
        <v>256</v>
      </c>
      <c r="C35" s="289" t="s">
        <v>160</v>
      </c>
      <c r="D35" s="290">
        <v>8182</v>
      </c>
      <c r="E35" s="290">
        <v>60</v>
      </c>
      <c r="F35" s="290">
        <v>236</v>
      </c>
      <c r="G35" s="290">
        <v>0</v>
      </c>
      <c r="H35" s="291">
        <v>35253</v>
      </c>
      <c r="I35" s="290">
        <v>4091</v>
      </c>
      <c r="J35" s="290">
        <v>0</v>
      </c>
      <c r="K35" s="290">
        <v>0</v>
      </c>
      <c r="L35" s="290">
        <v>0</v>
      </c>
      <c r="M35" s="291">
        <v>23553</v>
      </c>
      <c r="N35" s="290">
        <v>3363</v>
      </c>
      <c r="O35" s="290">
        <v>49</v>
      </c>
      <c r="P35" s="290">
        <v>96</v>
      </c>
      <c r="Q35" s="290">
        <v>0</v>
      </c>
      <c r="R35" s="291">
        <v>3638</v>
      </c>
      <c r="S35" s="290">
        <v>0</v>
      </c>
      <c r="T35" s="290">
        <v>0</v>
      </c>
      <c r="U35" s="290">
        <v>0</v>
      </c>
      <c r="V35" s="290">
        <v>0</v>
      </c>
      <c r="W35" s="291">
        <v>7183</v>
      </c>
      <c r="X35" s="290">
        <v>728</v>
      </c>
      <c r="Y35" s="290">
        <v>11</v>
      </c>
      <c r="Z35" s="290">
        <v>140</v>
      </c>
      <c r="AA35" s="290">
        <v>0</v>
      </c>
      <c r="AB35" s="291">
        <v>879</v>
      </c>
      <c r="AC35" s="290">
        <v>0</v>
      </c>
      <c r="AD35" s="290">
        <v>0</v>
      </c>
      <c r="AE35" s="290">
        <v>0</v>
      </c>
      <c r="AF35" s="290">
        <v>0</v>
      </c>
      <c r="AG35" s="291">
        <v>0</v>
      </c>
    </row>
    <row r="36" spans="1:33" x14ac:dyDescent="0.25">
      <c r="A36" s="289" t="s">
        <v>85</v>
      </c>
      <c r="B36" s="289" t="s">
        <v>254</v>
      </c>
      <c r="C36" s="289" t="s">
        <v>177</v>
      </c>
      <c r="D36" s="290">
        <v>1108290</v>
      </c>
      <c r="E36" s="290">
        <v>8118</v>
      </c>
      <c r="F36" s="290">
        <v>31993</v>
      </c>
      <c r="G36" s="290">
        <v>0</v>
      </c>
      <c r="H36" s="291">
        <v>4775055</v>
      </c>
      <c r="I36" s="290">
        <v>554145</v>
      </c>
      <c r="J36" s="290">
        <v>0</v>
      </c>
      <c r="K36" s="290">
        <v>0</v>
      </c>
      <c r="L36" s="290">
        <v>0</v>
      </c>
      <c r="M36" s="291">
        <v>3190213</v>
      </c>
      <c r="N36" s="290">
        <v>455447</v>
      </c>
      <c r="O36" s="290">
        <v>6672</v>
      </c>
      <c r="P36" s="290">
        <v>12999</v>
      </c>
      <c r="Q36" s="290">
        <v>0</v>
      </c>
      <c r="R36" s="291">
        <v>492786</v>
      </c>
      <c r="S36" s="290">
        <v>0</v>
      </c>
      <c r="T36" s="290">
        <v>0</v>
      </c>
      <c r="U36" s="290">
        <v>0</v>
      </c>
      <c r="V36" s="290">
        <v>0</v>
      </c>
      <c r="W36" s="291">
        <v>972918</v>
      </c>
      <c r="X36" s="290">
        <v>98698</v>
      </c>
      <c r="Y36" s="290">
        <v>1446</v>
      </c>
      <c r="Z36" s="290">
        <v>18994</v>
      </c>
      <c r="AA36" s="290">
        <v>0</v>
      </c>
      <c r="AB36" s="291">
        <v>119138</v>
      </c>
      <c r="AC36" s="290">
        <v>0</v>
      </c>
      <c r="AD36" s="290">
        <v>0</v>
      </c>
      <c r="AE36" s="290">
        <v>0</v>
      </c>
      <c r="AF36" s="290">
        <v>0</v>
      </c>
      <c r="AG36" s="291">
        <v>0</v>
      </c>
    </row>
    <row r="37" spans="1:33" x14ac:dyDescent="0.25">
      <c r="A37" s="289" t="s">
        <v>85</v>
      </c>
      <c r="B37" s="289" t="s">
        <v>255</v>
      </c>
      <c r="C37" s="289" t="s">
        <v>178</v>
      </c>
      <c r="D37" s="290">
        <v>4142611</v>
      </c>
      <c r="E37" s="290">
        <v>30342</v>
      </c>
      <c r="F37" s="290">
        <v>119584</v>
      </c>
      <c r="G37" s="290">
        <v>0</v>
      </c>
      <c r="H37" s="291">
        <v>17848390</v>
      </c>
      <c r="I37" s="290">
        <v>2071306</v>
      </c>
      <c r="J37" s="290">
        <v>0</v>
      </c>
      <c r="K37" s="290">
        <v>0</v>
      </c>
      <c r="L37" s="290">
        <v>0</v>
      </c>
      <c r="M37" s="291">
        <v>11924510</v>
      </c>
      <c r="N37" s="290">
        <v>1702385</v>
      </c>
      <c r="O37" s="290">
        <v>24938</v>
      </c>
      <c r="P37" s="290">
        <v>48587</v>
      </c>
      <c r="Q37" s="290">
        <v>0</v>
      </c>
      <c r="R37" s="291">
        <v>1841949</v>
      </c>
      <c r="S37" s="290">
        <v>0</v>
      </c>
      <c r="T37" s="290">
        <v>0</v>
      </c>
      <c r="U37" s="290">
        <v>0</v>
      </c>
      <c r="V37" s="290">
        <v>0</v>
      </c>
      <c r="W37" s="291">
        <v>3636610</v>
      </c>
      <c r="X37" s="290">
        <v>368920</v>
      </c>
      <c r="Y37" s="290">
        <v>5404</v>
      </c>
      <c r="Z37" s="290">
        <v>70997</v>
      </c>
      <c r="AA37" s="290">
        <v>0</v>
      </c>
      <c r="AB37" s="291">
        <v>445321</v>
      </c>
      <c r="AC37" s="290">
        <v>0</v>
      </c>
      <c r="AD37" s="290">
        <v>0</v>
      </c>
      <c r="AE37" s="290">
        <v>0</v>
      </c>
      <c r="AF37" s="290">
        <v>0</v>
      </c>
      <c r="AG37" s="291">
        <v>0</v>
      </c>
    </row>
    <row r="38" spans="1:33" x14ac:dyDescent="0.25">
      <c r="A38" s="289" t="s">
        <v>85</v>
      </c>
      <c r="B38" s="289" t="s">
        <v>256</v>
      </c>
      <c r="C38" s="289" t="s">
        <v>178</v>
      </c>
      <c r="D38" s="290">
        <v>-2988</v>
      </c>
      <c r="E38" s="290">
        <v>-22</v>
      </c>
      <c r="F38" s="290">
        <v>-86</v>
      </c>
      <c r="G38" s="290">
        <v>0</v>
      </c>
      <c r="H38" s="291">
        <v>-12873</v>
      </c>
      <c r="I38" s="290">
        <v>-1494</v>
      </c>
      <c r="J38" s="290">
        <v>0</v>
      </c>
      <c r="K38" s="290">
        <v>0</v>
      </c>
      <c r="L38" s="290">
        <v>0</v>
      </c>
      <c r="M38" s="291">
        <v>-8601</v>
      </c>
      <c r="N38" s="290">
        <v>-1228</v>
      </c>
      <c r="O38" s="290">
        <v>-18</v>
      </c>
      <c r="P38" s="290">
        <v>-35</v>
      </c>
      <c r="Q38" s="290">
        <v>0</v>
      </c>
      <c r="R38" s="291">
        <v>-1328</v>
      </c>
      <c r="S38" s="290">
        <v>0</v>
      </c>
      <c r="T38" s="290">
        <v>0</v>
      </c>
      <c r="U38" s="290">
        <v>0</v>
      </c>
      <c r="V38" s="290">
        <v>0</v>
      </c>
      <c r="W38" s="291">
        <v>-2623</v>
      </c>
      <c r="X38" s="290">
        <v>-266</v>
      </c>
      <c r="Y38" s="290">
        <v>-4</v>
      </c>
      <c r="Z38" s="290">
        <v>-51</v>
      </c>
      <c r="AA38" s="290">
        <v>0</v>
      </c>
      <c r="AB38" s="291">
        <v>-321</v>
      </c>
      <c r="AC38" s="290">
        <v>0</v>
      </c>
      <c r="AD38" s="290">
        <v>0</v>
      </c>
      <c r="AE38" s="290">
        <v>0</v>
      </c>
      <c r="AF38" s="290">
        <v>0</v>
      </c>
      <c r="AG38" s="291">
        <v>0</v>
      </c>
    </row>
    <row r="39" spans="1:33" x14ac:dyDescent="0.25">
      <c r="A39" s="289" t="s">
        <v>85</v>
      </c>
      <c r="B39" s="289" t="s">
        <v>256</v>
      </c>
      <c r="C39" s="289" t="s">
        <v>160</v>
      </c>
      <c r="D39" s="290">
        <v>3659570</v>
      </c>
      <c r="E39" s="290">
        <v>26804</v>
      </c>
      <c r="F39" s="290">
        <v>105640</v>
      </c>
      <c r="G39" s="290">
        <v>0</v>
      </c>
      <c r="H39" s="291">
        <v>15767213</v>
      </c>
      <c r="I39" s="290">
        <v>1829785</v>
      </c>
      <c r="J39" s="290">
        <v>0</v>
      </c>
      <c r="K39" s="290">
        <v>0</v>
      </c>
      <c r="L39" s="290">
        <v>0</v>
      </c>
      <c r="M39" s="291">
        <v>10534075</v>
      </c>
      <c r="N39" s="290">
        <v>1503882</v>
      </c>
      <c r="O39" s="290">
        <v>22030</v>
      </c>
      <c r="P39" s="290">
        <v>42922</v>
      </c>
      <c r="Q39" s="290">
        <v>0</v>
      </c>
      <c r="R39" s="291">
        <v>1627173</v>
      </c>
      <c r="S39" s="290">
        <v>0</v>
      </c>
      <c r="T39" s="290">
        <v>0</v>
      </c>
      <c r="U39" s="290">
        <v>0</v>
      </c>
      <c r="V39" s="290">
        <v>0</v>
      </c>
      <c r="W39" s="291">
        <v>3212570</v>
      </c>
      <c r="X39" s="290">
        <v>325903</v>
      </c>
      <c r="Y39" s="290">
        <v>4774</v>
      </c>
      <c r="Z39" s="290">
        <v>62718</v>
      </c>
      <c r="AA39" s="290">
        <v>0</v>
      </c>
      <c r="AB39" s="291">
        <v>393395</v>
      </c>
      <c r="AC39" s="290">
        <v>0</v>
      </c>
      <c r="AD39" s="290">
        <v>0</v>
      </c>
      <c r="AE39" s="290">
        <v>0</v>
      </c>
      <c r="AF39" s="290">
        <v>0</v>
      </c>
      <c r="AG39" s="291">
        <v>0</v>
      </c>
    </row>
    <row r="40" spans="1:33" x14ac:dyDescent="0.25">
      <c r="A40" s="289" t="s">
        <v>86</v>
      </c>
      <c r="B40" s="289" t="s">
        <v>254</v>
      </c>
      <c r="C40" s="289" t="s">
        <v>177</v>
      </c>
      <c r="D40" s="290">
        <v>35334</v>
      </c>
      <c r="E40" s="290">
        <v>259</v>
      </c>
      <c r="F40" s="290">
        <v>1020</v>
      </c>
      <c r="G40" s="290">
        <v>0</v>
      </c>
      <c r="H40" s="291">
        <v>152238</v>
      </c>
      <c r="I40" s="290">
        <v>17667</v>
      </c>
      <c r="J40" s="290">
        <v>0</v>
      </c>
      <c r="K40" s="290">
        <v>0</v>
      </c>
      <c r="L40" s="290">
        <v>0</v>
      </c>
      <c r="M40" s="291">
        <v>101709</v>
      </c>
      <c r="N40" s="290">
        <v>14521</v>
      </c>
      <c r="O40" s="290">
        <v>213</v>
      </c>
      <c r="P40" s="290">
        <v>414</v>
      </c>
      <c r="Q40" s="290">
        <v>0</v>
      </c>
      <c r="R40" s="291">
        <v>15712</v>
      </c>
      <c r="S40" s="290">
        <v>0</v>
      </c>
      <c r="T40" s="290">
        <v>0</v>
      </c>
      <c r="U40" s="290">
        <v>0</v>
      </c>
      <c r="V40" s="290">
        <v>0</v>
      </c>
      <c r="W40" s="291">
        <v>31019</v>
      </c>
      <c r="X40" s="290">
        <v>3146</v>
      </c>
      <c r="Y40" s="290">
        <v>46</v>
      </c>
      <c r="Z40" s="290">
        <v>606</v>
      </c>
      <c r="AA40" s="290">
        <v>0</v>
      </c>
      <c r="AB40" s="291">
        <v>3798</v>
      </c>
      <c r="AC40" s="290">
        <v>0</v>
      </c>
      <c r="AD40" s="290">
        <v>0</v>
      </c>
      <c r="AE40" s="290">
        <v>0</v>
      </c>
      <c r="AF40" s="290">
        <v>0</v>
      </c>
      <c r="AG40" s="291">
        <v>0</v>
      </c>
    </row>
    <row r="41" spans="1:33" x14ac:dyDescent="0.25">
      <c r="A41" s="289" t="s">
        <v>86</v>
      </c>
      <c r="B41" s="289" t="s">
        <v>255</v>
      </c>
      <c r="C41" s="289" t="s">
        <v>178</v>
      </c>
      <c r="D41" s="290">
        <v>32752</v>
      </c>
      <c r="E41" s="290">
        <v>240</v>
      </c>
      <c r="F41" s="290">
        <v>945</v>
      </c>
      <c r="G41" s="290">
        <v>0</v>
      </c>
      <c r="H41" s="291">
        <v>141112</v>
      </c>
      <c r="I41" s="290">
        <v>16376</v>
      </c>
      <c r="J41" s="290">
        <v>0</v>
      </c>
      <c r="K41" s="290">
        <v>0</v>
      </c>
      <c r="L41" s="290">
        <v>0</v>
      </c>
      <c r="M41" s="291">
        <v>94277</v>
      </c>
      <c r="N41" s="290">
        <v>13460</v>
      </c>
      <c r="O41" s="290">
        <v>197</v>
      </c>
      <c r="P41" s="290">
        <v>384</v>
      </c>
      <c r="Q41" s="290">
        <v>0</v>
      </c>
      <c r="R41" s="291">
        <v>14563</v>
      </c>
      <c r="S41" s="290">
        <v>0</v>
      </c>
      <c r="T41" s="290">
        <v>0</v>
      </c>
      <c r="U41" s="290">
        <v>0</v>
      </c>
      <c r="V41" s="290">
        <v>0</v>
      </c>
      <c r="W41" s="291">
        <v>28752</v>
      </c>
      <c r="X41" s="290">
        <v>2916</v>
      </c>
      <c r="Y41" s="290">
        <v>43</v>
      </c>
      <c r="Z41" s="290">
        <v>561</v>
      </c>
      <c r="AA41" s="290">
        <v>0</v>
      </c>
      <c r="AB41" s="291">
        <v>3520</v>
      </c>
      <c r="AC41" s="290">
        <v>0</v>
      </c>
      <c r="AD41" s="290">
        <v>0</v>
      </c>
      <c r="AE41" s="290">
        <v>0</v>
      </c>
      <c r="AF41" s="290">
        <v>0</v>
      </c>
      <c r="AG41" s="291">
        <v>0</v>
      </c>
    </row>
    <row r="42" spans="1:33" x14ac:dyDescent="0.25">
      <c r="A42" s="289" t="s">
        <v>86</v>
      </c>
      <c r="B42" s="289" t="s">
        <v>256</v>
      </c>
      <c r="C42" s="289" t="s">
        <v>160</v>
      </c>
      <c r="D42" s="290">
        <v>44960</v>
      </c>
      <c r="E42" s="290">
        <v>329</v>
      </c>
      <c r="F42" s="290">
        <v>1298</v>
      </c>
      <c r="G42" s="290">
        <v>0</v>
      </c>
      <c r="H42" s="291">
        <v>193708</v>
      </c>
      <c r="I42" s="290">
        <v>22480</v>
      </c>
      <c r="J42" s="290">
        <v>0</v>
      </c>
      <c r="K42" s="290">
        <v>0</v>
      </c>
      <c r="L42" s="290">
        <v>0</v>
      </c>
      <c r="M42" s="291">
        <v>129416</v>
      </c>
      <c r="N42" s="290">
        <v>18477</v>
      </c>
      <c r="O42" s="290">
        <v>270</v>
      </c>
      <c r="P42" s="290">
        <v>527</v>
      </c>
      <c r="Q42" s="290">
        <v>0</v>
      </c>
      <c r="R42" s="291">
        <v>19991</v>
      </c>
      <c r="S42" s="290">
        <v>0</v>
      </c>
      <c r="T42" s="290">
        <v>0</v>
      </c>
      <c r="U42" s="290">
        <v>0</v>
      </c>
      <c r="V42" s="290">
        <v>0</v>
      </c>
      <c r="W42" s="291">
        <v>39468</v>
      </c>
      <c r="X42" s="290">
        <v>4003</v>
      </c>
      <c r="Y42" s="290">
        <v>59</v>
      </c>
      <c r="Z42" s="290">
        <v>771</v>
      </c>
      <c r="AA42" s="290">
        <v>0</v>
      </c>
      <c r="AB42" s="291">
        <v>4833</v>
      </c>
      <c r="AC42" s="290">
        <v>0</v>
      </c>
      <c r="AD42" s="290">
        <v>0</v>
      </c>
      <c r="AE42" s="290">
        <v>0</v>
      </c>
      <c r="AF42" s="290">
        <v>0</v>
      </c>
      <c r="AG42" s="291">
        <v>0</v>
      </c>
    </row>
    <row r="43" spans="1:33" x14ac:dyDescent="0.25">
      <c r="A43" s="289" t="s">
        <v>90</v>
      </c>
      <c r="B43" s="289" t="s">
        <v>254</v>
      </c>
      <c r="C43" s="289" t="s">
        <v>177</v>
      </c>
      <c r="D43" s="290">
        <v>25094</v>
      </c>
      <c r="E43" s="290">
        <v>184</v>
      </c>
      <c r="F43" s="290">
        <v>724</v>
      </c>
      <c r="G43" s="290">
        <v>0</v>
      </c>
      <c r="H43" s="291">
        <v>108117</v>
      </c>
      <c r="I43" s="290">
        <v>12547</v>
      </c>
      <c r="J43" s="290">
        <v>0</v>
      </c>
      <c r="K43" s="290">
        <v>0</v>
      </c>
      <c r="L43" s="290">
        <v>0</v>
      </c>
      <c r="M43" s="291">
        <v>72232</v>
      </c>
      <c r="N43" s="290">
        <v>10313</v>
      </c>
      <c r="O43" s="290">
        <v>151</v>
      </c>
      <c r="P43" s="290">
        <v>294</v>
      </c>
      <c r="Q43" s="290">
        <v>0</v>
      </c>
      <c r="R43" s="291">
        <v>11159</v>
      </c>
      <c r="S43" s="290">
        <v>0</v>
      </c>
      <c r="T43" s="290">
        <v>0</v>
      </c>
      <c r="U43" s="290">
        <v>0</v>
      </c>
      <c r="V43" s="290">
        <v>0</v>
      </c>
      <c r="W43" s="291">
        <v>22029</v>
      </c>
      <c r="X43" s="290">
        <v>2234</v>
      </c>
      <c r="Y43" s="290">
        <v>33</v>
      </c>
      <c r="Z43" s="290">
        <v>430</v>
      </c>
      <c r="AA43" s="290">
        <v>0</v>
      </c>
      <c r="AB43" s="291">
        <v>2697</v>
      </c>
      <c r="AC43" s="290">
        <v>0</v>
      </c>
      <c r="AD43" s="290">
        <v>0</v>
      </c>
      <c r="AE43" s="290">
        <v>0</v>
      </c>
      <c r="AF43" s="290">
        <v>0</v>
      </c>
      <c r="AG43" s="291">
        <v>0</v>
      </c>
    </row>
    <row r="44" spans="1:33" x14ac:dyDescent="0.25">
      <c r="A44" s="289" t="s">
        <v>90</v>
      </c>
      <c r="B44" s="289" t="s">
        <v>255</v>
      </c>
      <c r="C44" s="289" t="s">
        <v>178</v>
      </c>
      <c r="D44" s="290">
        <v>18977</v>
      </c>
      <c r="E44" s="290">
        <v>139</v>
      </c>
      <c r="F44" s="290">
        <v>548</v>
      </c>
      <c r="G44" s="290">
        <v>0</v>
      </c>
      <c r="H44" s="291">
        <v>81762</v>
      </c>
      <c r="I44" s="290">
        <v>9489</v>
      </c>
      <c r="J44" s="290">
        <v>0</v>
      </c>
      <c r="K44" s="290">
        <v>0</v>
      </c>
      <c r="L44" s="290">
        <v>0</v>
      </c>
      <c r="M44" s="291">
        <v>54626</v>
      </c>
      <c r="N44" s="290">
        <v>7799</v>
      </c>
      <c r="O44" s="290">
        <v>114</v>
      </c>
      <c r="P44" s="290">
        <v>223</v>
      </c>
      <c r="Q44" s="290">
        <v>0</v>
      </c>
      <c r="R44" s="291">
        <v>8438</v>
      </c>
      <c r="S44" s="290">
        <v>0</v>
      </c>
      <c r="T44" s="290">
        <v>0</v>
      </c>
      <c r="U44" s="290">
        <v>0</v>
      </c>
      <c r="V44" s="290">
        <v>0</v>
      </c>
      <c r="W44" s="291">
        <v>16659</v>
      </c>
      <c r="X44" s="290">
        <v>1689</v>
      </c>
      <c r="Y44" s="290">
        <v>25</v>
      </c>
      <c r="Z44" s="290">
        <v>325</v>
      </c>
      <c r="AA44" s="290">
        <v>0</v>
      </c>
      <c r="AB44" s="291">
        <v>2039</v>
      </c>
      <c r="AC44" s="290">
        <v>0</v>
      </c>
      <c r="AD44" s="290">
        <v>0</v>
      </c>
      <c r="AE44" s="290">
        <v>0</v>
      </c>
      <c r="AF44" s="290">
        <v>0</v>
      </c>
      <c r="AG44" s="291">
        <v>0</v>
      </c>
    </row>
    <row r="45" spans="1:33" x14ac:dyDescent="0.25">
      <c r="A45" s="289" t="s">
        <v>90</v>
      </c>
      <c r="B45" s="289" t="s">
        <v>256</v>
      </c>
      <c r="C45" s="289" t="s">
        <v>160</v>
      </c>
      <c r="D45" s="290">
        <v>21943</v>
      </c>
      <c r="E45" s="290">
        <v>161</v>
      </c>
      <c r="F45" s="290">
        <v>633</v>
      </c>
      <c r="G45" s="290">
        <v>0</v>
      </c>
      <c r="H45" s="291">
        <v>94542</v>
      </c>
      <c r="I45" s="290">
        <v>10972</v>
      </c>
      <c r="J45" s="290">
        <v>0</v>
      </c>
      <c r="K45" s="290">
        <v>0</v>
      </c>
      <c r="L45" s="290">
        <v>0</v>
      </c>
      <c r="M45" s="291">
        <v>63164</v>
      </c>
      <c r="N45" s="290">
        <v>9017</v>
      </c>
      <c r="O45" s="290">
        <v>133</v>
      </c>
      <c r="P45" s="290">
        <v>257</v>
      </c>
      <c r="Q45" s="290">
        <v>0</v>
      </c>
      <c r="R45" s="291">
        <v>9756</v>
      </c>
      <c r="S45" s="290">
        <v>0</v>
      </c>
      <c r="T45" s="290">
        <v>0</v>
      </c>
      <c r="U45" s="290">
        <v>0</v>
      </c>
      <c r="V45" s="290">
        <v>0</v>
      </c>
      <c r="W45" s="291">
        <v>19264</v>
      </c>
      <c r="X45" s="290">
        <v>1954</v>
      </c>
      <c r="Y45" s="290">
        <v>28</v>
      </c>
      <c r="Z45" s="290">
        <v>376</v>
      </c>
      <c r="AA45" s="290">
        <v>0</v>
      </c>
      <c r="AB45" s="291">
        <v>2358</v>
      </c>
      <c r="AC45" s="290">
        <v>0</v>
      </c>
      <c r="AD45" s="290">
        <v>0</v>
      </c>
      <c r="AE45" s="290">
        <v>0</v>
      </c>
      <c r="AF45" s="290">
        <v>0</v>
      </c>
      <c r="AG45" s="291">
        <v>0</v>
      </c>
    </row>
    <row r="46" spans="1:33" x14ac:dyDescent="0.25">
      <c r="A46" s="289" t="s">
        <v>91</v>
      </c>
      <c r="B46" s="289" t="s">
        <v>254</v>
      </c>
      <c r="C46" s="289" t="s">
        <v>177</v>
      </c>
      <c r="D46" s="290">
        <v>20161</v>
      </c>
      <c r="E46" s="290">
        <v>148</v>
      </c>
      <c r="F46" s="290">
        <v>582</v>
      </c>
      <c r="G46" s="290">
        <v>0</v>
      </c>
      <c r="H46" s="291">
        <v>86863</v>
      </c>
      <c r="I46" s="290">
        <v>10081</v>
      </c>
      <c r="J46" s="290">
        <v>0</v>
      </c>
      <c r="K46" s="290">
        <v>0</v>
      </c>
      <c r="L46" s="290">
        <v>0</v>
      </c>
      <c r="M46" s="291">
        <v>58034</v>
      </c>
      <c r="N46" s="290">
        <v>8285</v>
      </c>
      <c r="O46" s="290">
        <v>122</v>
      </c>
      <c r="P46" s="290">
        <v>236</v>
      </c>
      <c r="Q46" s="290">
        <v>0</v>
      </c>
      <c r="R46" s="291">
        <v>8964</v>
      </c>
      <c r="S46" s="290">
        <v>0</v>
      </c>
      <c r="T46" s="290">
        <v>0</v>
      </c>
      <c r="U46" s="290">
        <v>0</v>
      </c>
      <c r="V46" s="290">
        <v>0</v>
      </c>
      <c r="W46" s="291">
        <v>17698</v>
      </c>
      <c r="X46" s="290">
        <v>1795</v>
      </c>
      <c r="Y46" s="290">
        <v>26</v>
      </c>
      <c r="Z46" s="290">
        <v>346</v>
      </c>
      <c r="AA46" s="290">
        <v>0</v>
      </c>
      <c r="AB46" s="291">
        <v>2167</v>
      </c>
      <c r="AC46" s="290">
        <v>0</v>
      </c>
      <c r="AD46" s="290">
        <v>0</v>
      </c>
      <c r="AE46" s="290">
        <v>0</v>
      </c>
      <c r="AF46" s="290">
        <v>0</v>
      </c>
      <c r="AG46" s="291">
        <v>0</v>
      </c>
    </row>
    <row r="47" spans="1:33" x14ac:dyDescent="0.25">
      <c r="A47" s="289" t="s">
        <v>91</v>
      </c>
      <c r="B47" s="289" t="s">
        <v>255</v>
      </c>
      <c r="C47" s="289" t="s">
        <v>178</v>
      </c>
      <c r="D47" s="290">
        <v>17938</v>
      </c>
      <c r="E47" s="290">
        <v>131</v>
      </c>
      <c r="F47" s="290">
        <v>518</v>
      </c>
      <c r="G47" s="290">
        <v>0</v>
      </c>
      <c r="H47" s="291">
        <v>77284</v>
      </c>
      <c r="I47" s="290">
        <v>8969</v>
      </c>
      <c r="J47" s="290">
        <v>0</v>
      </c>
      <c r="K47" s="290">
        <v>0</v>
      </c>
      <c r="L47" s="290">
        <v>0</v>
      </c>
      <c r="M47" s="291">
        <v>51633</v>
      </c>
      <c r="N47" s="290">
        <v>7372</v>
      </c>
      <c r="O47" s="290">
        <v>108</v>
      </c>
      <c r="P47" s="290">
        <v>210</v>
      </c>
      <c r="Q47" s="290">
        <v>0</v>
      </c>
      <c r="R47" s="291">
        <v>7976</v>
      </c>
      <c r="S47" s="290">
        <v>0</v>
      </c>
      <c r="T47" s="290">
        <v>0</v>
      </c>
      <c r="U47" s="290">
        <v>0</v>
      </c>
      <c r="V47" s="290">
        <v>0</v>
      </c>
      <c r="W47" s="291">
        <v>15747</v>
      </c>
      <c r="X47" s="290">
        <v>1597</v>
      </c>
      <c r="Y47" s="290">
        <v>23</v>
      </c>
      <c r="Z47" s="290">
        <v>308</v>
      </c>
      <c r="AA47" s="290">
        <v>0</v>
      </c>
      <c r="AB47" s="291">
        <v>1928</v>
      </c>
      <c r="AC47" s="290">
        <v>0</v>
      </c>
      <c r="AD47" s="290">
        <v>0</v>
      </c>
      <c r="AE47" s="290">
        <v>0</v>
      </c>
      <c r="AF47" s="290">
        <v>0</v>
      </c>
      <c r="AG47" s="291">
        <v>0</v>
      </c>
    </row>
    <row r="48" spans="1:33" x14ac:dyDescent="0.25">
      <c r="A48" s="289" t="s">
        <v>91</v>
      </c>
      <c r="B48" s="289" t="s">
        <v>256</v>
      </c>
      <c r="C48" s="289" t="s">
        <v>160</v>
      </c>
      <c r="D48" s="290">
        <v>8538</v>
      </c>
      <c r="E48" s="290">
        <v>63</v>
      </c>
      <c r="F48" s="290">
        <v>246</v>
      </c>
      <c r="G48" s="290">
        <v>0</v>
      </c>
      <c r="H48" s="291">
        <v>36788</v>
      </c>
      <c r="I48" s="290">
        <v>4269</v>
      </c>
      <c r="J48" s="290">
        <v>0</v>
      </c>
      <c r="K48" s="290">
        <v>0</v>
      </c>
      <c r="L48" s="290">
        <v>0</v>
      </c>
      <c r="M48" s="291">
        <v>24578</v>
      </c>
      <c r="N48" s="290">
        <v>3509</v>
      </c>
      <c r="O48" s="290">
        <v>52</v>
      </c>
      <c r="P48" s="290">
        <v>100</v>
      </c>
      <c r="Q48" s="290">
        <v>0</v>
      </c>
      <c r="R48" s="291">
        <v>3797</v>
      </c>
      <c r="S48" s="290">
        <v>0</v>
      </c>
      <c r="T48" s="290">
        <v>0</v>
      </c>
      <c r="U48" s="290">
        <v>0</v>
      </c>
      <c r="V48" s="290">
        <v>0</v>
      </c>
      <c r="W48" s="291">
        <v>7496</v>
      </c>
      <c r="X48" s="290">
        <v>760</v>
      </c>
      <c r="Y48" s="290">
        <v>11</v>
      </c>
      <c r="Z48" s="290">
        <v>146</v>
      </c>
      <c r="AA48" s="290">
        <v>0</v>
      </c>
      <c r="AB48" s="291">
        <v>917</v>
      </c>
      <c r="AC48" s="290">
        <v>0</v>
      </c>
      <c r="AD48" s="290">
        <v>0</v>
      </c>
      <c r="AE48" s="290">
        <v>0</v>
      </c>
      <c r="AF48" s="290">
        <v>0</v>
      </c>
      <c r="AG48" s="291">
        <v>0</v>
      </c>
    </row>
    <row r="49" spans="1:33" x14ac:dyDescent="0.25">
      <c r="A49" s="289" t="s">
        <v>92</v>
      </c>
      <c r="B49" s="289" t="s">
        <v>254</v>
      </c>
      <c r="C49" s="289" t="s">
        <v>177</v>
      </c>
      <c r="D49" s="290">
        <v>35532</v>
      </c>
      <c r="E49" s="290">
        <v>260</v>
      </c>
      <c r="F49" s="290">
        <v>1026</v>
      </c>
      <c r="G49" s="290">
        <v>0</v>
      </c>
      <c r="H49" s="291">
        <v>153091</v>
      </c>
      <c r="I49" s="290">
        <v>17766</v>
      </c>
      <c r="J49" s="290">
        <v>0</v>
      </c>
      <c r="K49" s="290">
        <v>0</v>
      </c>
      <c r="L49" s="290">
        <v>0</v>
      </c>
      <c r="M49" s="291">
        <v>102280</v>
      </c>
      <c r="N49" s="290">
        <v>14602</v>
      </c>
      <c r="O49" s="290">
        <v>214</v>
      </c>
      <c r="P49" s="290">
        <v>417</v>
      </c>
      <c r="Q49" s="290">
        <v>0</v>
      </c>
      <c r="R49" s="291">
        <v>15800</v>
      </c>
      <c r="S49" s="290">
        <v>0</v>
      </c>
      <c r="T49" s="290">
        <v>0</v>
      </c>
      <c r="U49" s="290">
        <v>0</v>
      </c>
      <c r="V49" s="290">
        <v>0</v>
      </c>
      <c r="W49" s="291">
        <v>31192</v>
      </c>
      <c r="X49" s="290">
        <v>3164</v>
      </c>
      <c r="Y49" s="290">
        <v>46</v>
      </c>
      <c r="Z49" s="290">
        <v>609</v>
      </c>
      <c r="AA49" s="290">
        <v>0</v>
      </c>
      <c r="AB49" s="291">
        <v>3819</v>
      </c>
      <c r="AC49" s="290">
        <v>0</v>
      </c>
      <c r="AD49" s="290">
        <v>0</v>
      </c>
      <c r="AE49" s="290">
        <v>0</v>
      </c>
      <c r="AF49" s="290">
        <v>0</v>
      </c>
      <c r="AG49" s="291">
        <v>0</v>
      </c>
    </row>
    <row r="50" spans="1:33" x14ac:dyDescent="0.25">
      <c r="A50" s="289" t="s">
        <v>92</v>
      </c>
      <c r="B50" s="289" t="s">
        <v>255</v>
      </c>
      <c r="C50" s="289" t="s">
        <v>177</v>
      </c>
      <c r="D50" s="290">
        <v>15391</v>
      </c>
      <c r="E50" s="290">
        <v>113</v>
      </c>
      <c r="F50" s="290">
        <v>444</v>
      </c>
      <c r="G50" s="290">
        <v>0</v>
      </c>
      <c r="H50" s="291">
        <v>66312</v>
      </c>
      <c r="I50" s="290">
        <v>7696</v>
      </c>
      <c r="J50" s="290">
        <v>0</v>
      </c>
      <c r="K50" s="290">
        <v>0</v>
      </c>
      <c r="L50" s="290">
        <v>0</v>
      </c>
      <c r="M50" s="291">
        <v>44303</v>
      </c>
      <c r="N50" s="290">
        <v>6325</v>
      </c>
      <c r="O50" s="290">
        <v>93</v>
      </c>
      <c r="P50" s="290">
        <v>180</v>
      </c>
      <c r="Q50" s="290">
        <v>0</v>
      </c>
      <c r="R50" s="291">
        <v>6843</v>
      </c>
      <c r="S50" s="290">
        <v>0</v>
      </c>
      <c r="T50" s="290">
        <v>0</v>
      </c>
      <c r="U50" s="290">
        <v>0</v>
      </c>
      <c r="V50" s="290">
        <v>0</v>
      </c>
      <c r="W50" s="291">
        <v>13512</v>
      </c>
      <c r="X50" s="290">
        <v>1370</v>
      </c>
      <c r="Y50" s="290">
        <v>20</v>
      </c>
      <c r="Z50" s="290">
        <v>264</v>
      </c>
      <c r="AA50" s="290">
        <v>0</v>
      </c>
      <c r="AB50" s="291">
        <v>1654</v>
      </c>
      <c r="AC50" s="290">
        <v>0</v>
      </c>
      <c r="AD50" s="290">
        <v>0</v>
      </c>
      <c r="AE50" s="290">
        <v>0</v>
      </c>
      <c r="AF50" s="290">
        <v>0</v>
      </c>
      <c r="AG50" s="291">
        <v>0</v>
      </c>
    </row>
    <row r="51" spans="1:33" x14ac:dyDescent="0.25">
      <c r="A51" s="289" t="s">
        <v>92</v>
      </c>
      <c r="B51" s="289" t="s">
        <v>255</v>
      </c>
      <c r="C51" s="289" t="s">
        <v>178</v>
      </c>
      <c r="D51" s="290">
        <v>65518</v>
      </c>
      <c r="E51" s="290">
        <v>480</v>
      </c>
      <c r="F51" s="290">
        <v>1891</v>
      </c>
      <c r="G51" s="290">
        <v>0</v>
      </c>
      <c r="H51" s="291">
        <v>282283</v>
      </c>
      <c r="I51" s="290">
        <v>32759</v>
      </c>
      <c r="J51" s="290">
        <v>0</v>
      </c>
      <c r="K51" s="290">
        <v>0</v>
      </c>
      <c r="L51" s="290">
        <v>0</v>
      </c>
      <c r="M51" s="291">
        <v>188593</v>
      </c>
      <c r="N51" s="290">
        <v>26924</v>
      </c>
      <c r="O51" s="290">
        <v>395</v>
      </c>
      <c r="P51" s="290">
        <v>768</v>
      </c>
      <c r="Q51" s="290">
        <v>0</v>
      </c>
      <c r="R51" s="291">
        <v>29132</v>
      </c>
      <c r="S51" s="290">
        <v>0</v>
      </c>
      <c r="T51" s="290">
        <v>0</v>
      </c>
      <c r="U51" s="290">
        <v>0</v>
      </c>
      <c r="V51" s="290">
        <v>0</v>
      </c>
      <c r="W51" s="291">
        <v>57515</v>
      </c>
      <c r="X51" s="290">
        <v>5835</v>
      </c>
      <c r="Y51" s="290">
        <v>85</v>
      </c>
      <c r="Z51" s="290">
        <v>1123</v>
      </c>
      <c r="AA51" s="290">
        <v>0</v>
      </c>
      <c r="AB51" s="291">
        <v>7043</v>
      </c>
      <c r="AC51" s="290">
        <v>0</v>
      </c>
      <c r="AD51" s="290">
        <v>0</v>
      </c>
      <c r="AE51" s="290">
        <v>0</v>
      </c>
      <c r="AF51" s="290">
        <v>0</v>
      </c>
      <c r="AG51" s="291">
        <v>0</v>
      </c>
    </row>
    <row r="52" spans="1:33" x14ac:dyDescent="0.25">
      <c r="A52" s="289" t="s">
        <v>92</v>
      </c>
      <c r="B52" s="289" t="s">
        <v>256</v>
      </c>
      <c r="C52" s="289" t="s">
        <v>177</v>
      </c>
      <c r="D52" s="290">
        <v>-15391</v>
      </c>
      <c r="E52" s="290">
        <v>-113</v>
      </c>
      <c r="F52" s="290">
        <v>-444</v>
      </c>
      <c r="G52" s="290">
        <v>0</v>
      </c>
      <c r="H52" s="291">
        <v>-66312</v>
      </c>
      <c r="I52" s="290">
        <v>-7696</v>
      </c>
      <c r="J52" s="290">
        <v>0</v>
      </c>
      <c r="K52" s="290">
        <v>0</v>
      </c>
      <c r="L52" s="290">
        <v>0</v>
      </c>
      <c r="M52" s="291">
        <v>-44303</v>
      </c>
      <c r="N52" s="290">
        <v>-6325</v>
      </c>
      <c r="O52" s="290">
        <v>-93</v>
      </c>
      <c r="P52" s="290">
        <v>-180</v>
      </c>
      <c r="Q52" s="290">
        <v>0</v>
      </c>
      <c r="R52" s="291">
        <v>-6843</v>
      </c>
      <c r="S52" s="290">
        <v>0</v>
      </c>
      <c r="T52" s="290">
        <v>0</v>
      </c>
      <c r="U52" s="290">
        <v>0</v>
      </c>
      <c r="V52" s="290">
        <v>0</v>
      </c>
      <c r="W52" s="291">
        <v>-13512</v>
      </c>
      <c r="X52" s="290">
        <v>-1370</v>
      </c>
      <c r="Y52" s="290">
        <v>-20</v>
      </c>
      <c r="Z52" s="290">
        <v>-264</v>
      </c>
      <c r="AA52" s="290">
        <v>0</v>
      </c>
      <c r="AB52" s="291">
        <v>-1654</v>
      </c>
      <c r="AC52" s="290">
        <v>0</v>
      </c>
      <c r="AD52" s="290">
        <v>0</v>
      </c>
      <c r="AE52" s="290">
        <v>0</v>
      </c>
      <c r="AF52" s="290">
        <v>0</v>
      </c>
      <c r="AG52" s="291">
        <v>0</v>
      </c>
    </row>
    <row r="53" spans="1:33" x14ac:dyDescent="0.25">
      <c r="A53" s="289" t="s">
        <v>92</v>
      </c>
      <c r="B53" s="289" t="s">
        <v>256</v>
      </c>
      <c r="C53" s="289" t="s">
        <v>178</v>
      </c>
      <c r="D53" s="290">
        <v>-65518</v>
      </c>
      <c r="E53" s="290">
        <v>-480</v>
      </c>
      <c r="F53" s="290">
        <v>-1891</v>
      </c>
      <c r="G53" s="290">
        <v>0</v>
      </c>
      <c r="H53" s="291">
        <v>-282283</v>
      </c>
      <c r="I53" s="290">
        <v>-32759</v>
      </c>
      <c r="J53" s="290">
        <v>0</v>
      </c>
      <c r="K53" s="290">
        <v>0</v>
      </c>
      <c r="L53" s="290">
        <v>0</v>
      </c>
      <c r="M53" s="291">
        <v>-188593</v>
      </c>
      <c r="N53" s="290">
        <v>-26924</v>
      </c>
      <c r="O53" s="290">
        <v>-395</v>
      </c>
      <c r="P53" s="290">
        <v>-768</v>
      </c>
      <c r="Q53" s="290">
        <v>0</v>
      </c>
      <c r="R53" s="291">
        <v>-29132</v>
      </c>
      <c r="S53" s="290">
        <v>0</v>
      </c>
      <c r="T53" s="290">
        <v>0</v>
      </c>
      <c r="U53" s="290">
        <v>0</v>
      </c>
      <c r="V53" s="290">
        <v>0</v>
      </c>
      <c r="W53" s="291">
        <v>-57515</v>
      </c>
      <c r="X53" s="290">
        <v>-5835</v>
      </c>
      <c r="Y53" s="290">
        <v>-85</v>
      </c>
      <c r="Z53" s="290">
        <v>-1123</v>
      </c>
      <c r="AA53" s="290">
        <v>0</v>
      </c>
      <c r="AB53" s="291">
        <v>-7043</v>
      </c>
      <c r="AC53" s="290">
        <v>0</v>
      </c>
      <c r="AD53" s="290">
        <v>0</v>
      </c>
      <c r="AE53" s="290">
        <v>0</v>
      </c>
      <c r="AF53" s="290">
        <v>0</v>
      </c>
      <c r="AG53" s="291">
        <v>0</v>
      </c>
    </row>
    <row r="54" spans="1:33" x14ac:dyDescent="0.25">
      <c r="A54" s="289" t="s">
        <v>92</v>
      </c>
      <c r="B54" s="289" t="s">
        <v>256</v>
      </c>
      <c r="C54" s="289" t="s">
        <v>160</v>
      </c>
      <c r="D54" s="290">
        <v>44414</v>
      </c>
      <c r="E54" s="290">
        <v>325</v>
      </c>
      <c r="F54" s="290">
        <v>1282</v>
      </c>
      <c r="G54" s="290">
        <v>0</v>
      </c>
      <c r="H54" s="291">
        <v>191356</v>
      </c>
      <c r="I54" s="290">
        <v>22207</v>
      </c>
      <c r="J54" s="290">
        <v>0</v>
      </c>
      <c r="K54" s="290">
        <v>0</v>
      </c>
      <c r="L54" s="290">
        <v>0</v>
      </c>
      <c r="M54" s="291">
        <v>127845</v>
      </c>
      <c r="N54" s="290">
        <v>18253</v>
      </c>
      <c r="O54" s="290">
        <v>267</v>
      </c>
      <c r="P54" s="290">
        <v>521</v>
      </c>
      <c r="Q54" s="290">
        <v>0</v>
      </c>
      <c r="R54" s="291">
        <v>19749</v>
      </c>
      <c r="S54" s="290">
        <v>0</v>
      </c>
      <c r="T54" s="290">
        <v>0</v>
      </c>
      <c r="U54" s="290">
        <v>0</v>
      </c>
      <c r="V54" s="290">
        <v>0</v>
      </c>
      <c r="W54" s="291">
        <v>38989</v>
      </c>
      <c r="X54" s="290">
        <v>3954</v>
      </c>
      <c r="Y54" s="290">
        <v>58</v>
      </c>
      <c r="Z54" s="290">
        <v>761</v>
      </c>
      <c r="AA54" s="290">
        <v>0</v>
      </c>
      <c r="AB54" s="291">
        <v>4773</v>
      </c>
      <c r="AC54" s="290">
        <v>0</v>
      </c>
      <c r="AD54" s="290">
        <v>0</v>
      </c>
      <c r="AE54" s="290">
        <v>0</v>
      </c>
      <c r="AF54" s="290">
        <v>0</v>
      </c>
      <c r="AG54" s="291">
        <v>0</v>
      </c>
    </row>
    <row r="55" spans="1:33" x14ac:dyDescent="0.25">
      <c r="A55" s="289" t="s">
        <v>93</v>
      </c>
      <c r="B55" s="289" t="s">
        <v>254</v>
      </c>
      <c r="C55" s="289" t="s">
        <v>177</v>
      </c>
      <c r="D55" s="290">
        <v>20179</v>
      </c>
      <c r="E55" s="290">
        <v>148</v>
      </c>
      <c r="F55" s="290">
        <v>582</v>
      </c>
      <c r="G55" s="290">
        <v>0</v>
      </c>
      <c r="H55" s="291">
        <v>86939</v>
      </c>
      <c r="I55" s="290">
        <v>10090</v>
      </c>
      <c r="J55" s="290">
        <v>0</v>
      </c>
      <c r="K55" s="290">
        <v>0</v>
      </c>
      <c r="L55" s="290">
        <v>0</v>
      </c>
      <c r="M55" s="291">
        <v>58085</v>
      </c>
      <c r="N55" s="290">
        <v>8293</v>
      </c>
      <c r="O55" s="290">
        <v>122</v>
      </c>
      <c r="P55" s="290">
        <v>236</v>
      </c>
      <c r="Q55" s="290">
        <v>0</v>
      </c>
      <c r="R55" s="291">
        <v>8972</v>
      </c>
      <c r="S55" s="290">
        <v>0</v>
      </c>
      <c r="T55" s="290">
        <v>0</v>
      </c>
      <c r="U55" s="290">
        <v>0</v>
      </c>
      <c r="V55" s="290">
        <v>0</v>
      </c>
      <c r="W55" s="291">
        <v>17714</v>
      </c>
      <c r="X55" s="290">
        <v>1796</v>
      </c>
      <c r="Y55" s="290">
        <v>26</v>
      </c>
      <c r="Z55" s="290">
        <v>346</v>
      </c>
      <c r="AA55" s="290">
        <v>0</v>
      </c>
      <c r="AB55" s="291">
        <v>2168</v>
      </c>
      <c r="AC55" s="290">
        <v>0</v>
      </c>
      <c r="AD55" s="290">
        <v>0</v>
      </c>
      <c r="AE55" s="290">
        <v>0</v>
      </c>
      <c r="AF55" s="290">
        <v>0</v>
      </c>
      <c r="AG55" s="291">
        <v>0</v>
      </c>
    </row>
    <row r="56" spans="1:33" x14ac:dyDescent="0.25">
      <c r="A56" s="289" t="s">
        <v>93</v>
      </c>
      <c r="B56" s="289" t="s">
        <v>255</v>
      </c>
      <c r="C56" s="289" t="s">
        <v>178</v>
      </c>
      <c r="D56" s="290">
        <v>17075</v>
      </c>
      <c r="E56" s="290">
        <v>125</v>
      </c>
      <c r="F56" s="290">
        <v>493</v>
      </c>
      <c r="G56" s="290">
        <v>0</v>
      </c>
      <c r="H56" s="291">
        <v>73567</v>
      </c>
      <c r="I56" s="290">
        <v>8538</v>
      </c>
      <c r="J56" s="290">
        <v>0</v>
      </c>
      <c r="K56" s="290">
        <v>0</v>
      </c>
      <c r="L56" s="290">
        <v>0</v>
      </c>
      <c r="M56" s="291">
        <v>49151</v>
      </c>
      <c r="N56" s="290">
        <v>7017</v>
      </c>
      <c r="O56" s="290">
        <v>103</v>
      </c>
      <c r="P56" s="290">
        <v>200</v>
      </c>
      <c r="Q56" s="290">
        <v>0</v>
      </c>
      <c r="R56" s="291">
        <v>7591</v>
      </c>
      <c r="S56" s="290">
        <v>0</v>
      </c>
      <c r="T56" s="290">
        <v>0</v>
      </c>
      <c r="U56" s="290">
        <v>0</v>
      </c>
      <c r="V56" s="290">
        <v>0</v>
      </c>
      <c r="W56" s="291">
        <v>14990</v>
      </c>
      <c r="X56" s="290">
        <v>1520</v>
      </c>
      <c r="Y56" s="290">
        <v>22</v>
      </c>
      <c r="Z56" s="290">
        <v>293</v>
      </c>
      <c r="AA56" s="290">
        <v>0</v>
      </c>
      <c r="AB56" s="291">
        <v>1835</v>
      </c>
      <c r="AC56" s="290">
        <v>0</v>
      </c>
      <c r="AD56" s="290">
        <v>0</v>
      </c>
      <c r="AE56" s="290">
        <v>0</v>
      </c>
      <c r="AF56" s="290">
        <v>0</v>
      </c>
      <c r="AG56" s="291">
        <v>0</v>
      </c>
    </row>
    <row r="57" spans="1:33" x14ac:dyDescent="0.25">
      <c r="A57" s="289" t="s">
        <v>93</v>
      </c>
      <c r="B57" s="289" t="s">
        <v>256</v>
      </c>
      <c r="C57" s="289" t="s">
        <v>177</v>
      </c>
      <c r="D57" s="290">
        <v>-3563</v>
      </c>
      <c r="E57" s="290">
        <v>-26</v>
      </c>
      <c r="F57" s="290">
        <v>-103</v>
      </c>
      <c r="G57" s="290">
        <v>0</v>
      </c>
      <c r="H57" s="291">
        <v>-15351</v>
      </c>
      <c r="I57" s="290">
        <v>-1782</v>
      </c>
      <c r="J57" s="290">
        <v>0</v>
      </c>
      <c r="K57" s="290">
        <v>0</v>
      </c>
      <c r="L57" s="290">
        <v>0</v>
      </c>
      <c r="M57" s="291">
        <v>-10256</v>
      </c>
      <c r="N57" s="290">
        <v>-1465</v>
      </c>
      <c r="O57" s="290">
        <v>-21</v>
      </c>
      <c r="P57" s="290">
        <v>-42</v>
      </c>
      <c r="Q57" s="290">
        <v>0</v>
      </c>
      <c r="R57" s="291">
        <v>-1585</v>
      </c>
      <c r="S57" s="290">
        <v>0</v>
      </c>
      <c r="T57" s="290">
        <v>0</v>
      </c>
      <c r="U57" s="290">
        <v>0</v>
      </c>
      <c r="V57" s="290">
        <v>0</v>
      </c>
      <c r="W57" s="291">
        <v>-3128</v>
      </c>
      <c r="X57" s="290">
        <v>-316</v>
      </c>
      <c r="Y57" s="290">
        <v>-5</v>
      </c>
      <c r="Z57" s="290">
        <v>-61</v>
      </c>
      <c r="AA57" s="290">
        <v>0</v>
      </c>
      <c r="AB57" s="291">
        <v>-382</v>
      </c>
      <c r="AC57" s="290">
        <v>0</v>
      </c>
      <c r="AD57" s="290">
        <v>0</v>
      </c>
      <c r="AE57" s="290">
        <v>0</v>
      </c>
      <c r="AF57" s="290">
        <v>0</v>
      </c>
      <c r="AG57" s="291">
        <v>0</v>
      </c>
    </row>
    <row r="58" spans="1:33" x14ac:dyDescent="0.25">
      <c r="A58" s="289" t="s">
        <v>93</v>
      </c>
      <c r="B58" s="289" t="s">
        <v>256</v>
      </c>
      <c r="C58" s="289" t="s">
        <v>160</v>
      </c>
      <c r="D58" s="290">
        <v>16193</v>
      </c>
      <c r="E58" s="290">
        <v>119</v>
      </c>
      <c r="F58" s="290">
        <v>467</v>
      </c>
      <c r="G58" s="290">
        <v>0</v>
      </c>
      <c r="H58" s="291">
        <v>69766</v>
      </c>
      <c r="I58" s="290">
        <v>8097</v>
      </c>
      <c r="J58" s="290">
        <v>0</v>
      </c>
      <c r="K58" s="290">
        <v>0</v>
      </c>
      <c r="L58" s="290">
        <v>0</v>
      </c>
      <c r="M58" s="291">
        <v>46610</v>
      </c>
      <c r="N58" s="290">
        <v>6654</v>
      </c>
      <c r="O58" s="290">
        <v>98</v>
      </c>
      <c r="P58" s="290">
        <v>190</v>
      </c>
      <c r="Q58" s="290">
        <v>0</v>
      </c>
      <c r="R58" s="291">
        <v>7201</v>
      </c>
      <c r="S58" s="290">
        <v>0</v>
      </c>
      <c r="T58" s="290">
        <v>0</v>
      </c>
      <c r="U58" s="290">
        <v>0</v>
      </c>
      <c r="V58" s="290">
        <v>0</v>
      </c>
      <c r="W58" s="291">
        <v>14215</v>
      </c>
      <c r="X58" s="290">
        <v>1442</v>
      </c>
      <c r="Y58" s="290">
        <v>21</v>
      </c>
      <c r="Z58" s="290">
        <v>277</v>
      </c>
      <c r="AA58" s="290">
        <v>0</v>
      </c>
      <c r="AB58" s="291">
        <v>1740</v>
      </c>
      <c r="AC58" s="290">
        <v>0</v>
      </c>
      <c r="AD58" s="290">
        <v>0</v>
      </c>
      <c r="AE58" s="290">
        <v>0</v>
      </c>
      <c r="AF58" s="290">
        <v>0</v>
      </c>
      <c r="AG58" s="291">
        <v>0</v>
      </c>
    </row>
    <row r="59" spans="1:33" x14ac:dyDescent="0.25">
      <c r="A59" s="289" t="s">
        <v>97</v>
      </c>
      <c r="B59" s="289" t="s">
        <v>254</v>
      </c>
      <c r="C59" s="289" t="s">
        <v>177</v>
      </c>
      <c r="D59" s="290">
        <v>12141</v>
      </c>
      <c r="E59" s="290">
        <v>89</v>
      </c>
      <c r="F59" s="290">
        <v>350</v>
      </c>
      <c r="G59" s="290">
        <v>0</v>
      </c>
      <c r="H59" s="291">
        <v>52308</v>
      </c>
      <c r="I59" s="290">
        <v>6071</v>
      </c>
      <c r="J59" s="290">
        <v>0</v>
      </c>
      <c r="K59" s="290">
        <v>0</v>
      </c>
      <c r="L59" s="290">
        <v>0</v>
      </c>
      <c r="M59" s="291">
        <v>34947</v>
      </c>
      <c r="N59" s="290">
        <v>4990</v>
      </c>
      <c r="O59" s="290">
        <v>73</v>
      </c>
      <c r="P59" s="290">
        <v>142</v>
      </c>
      <c r="Q59" s="290">
        <v>0</v>
      </c>
      <c r="R59" s="291">
        <v>5399</v>
      </c>
      <c r="S59" s="290">
        <v>0</v>
      </c>
      <c r="T59" s="290">
        <v>0</v>
      </c>
      <c r="U59" s="290">
        <v>0</v>
      </c>
      <c r="V59" s="290">
        <v>0</v>
      </c>
      <c r="W59" s="291">
        <v>10658</v>
      </c>
      <c r="X59" s="290">
        <v>1080</v>
      </c>
      <c r="Y59" s="290">
        <v>16</v>
      </c>
      <c r="Z59" s="290">
        <v>208</v>
      </c>
      <c r="AA59" s="290">
        <v>0</v>
      </c>
      <c r="AB59" s="291">
        <v>1304</v>
      </c>
      <c r="AC59" s="290">
        <v>0</v>
      </c>
      <c r="AD59" s="290">
        <v>0</v>
      </c>
      <c r="AE59" s="290">
        <v>0</v>
      </c>
      <c r="AF59" s="290">
        <v>0</v>
      </c>
      <c r="AG59" s="291">
        <v>0</v>
      </c>
    </row>
    <row r="60" spans="1:33" x14ac:dyDescent="0.25">
      <c r="A60" s="289" t="s">
        <v>97</v>
      </c>
      <c r="B60" s="289" t="s">
        <v>255</v>
      </c>
      <c r="C60" s="289" t="s">
        <v>178</v>
      </c>
      <c r="D60" s="290">
        <v>11334</v>
      </c>
      <c r="E60" s="290">
        <v>83</v>
      </c>
      <c r="F60" s="290">
        <v>327</v>
      </c>
      <c r="G60" s="290">
        <v>0</v>
      </c>
      <c r="H60" s="291">
        <v>48831</v>
      </c>
      <c r="I60" s="290">
        <v>5667</v>
      </c>
      <c r="J60" s="290">
        <v>0</v>
      </c>
      <c r="K60" s="290">
        <v>0</v>
      </c>
      <c r="L60" s="290">
        <v>0</v>
      </c>
      <c r="M60" s="291">
        <v>32623</v>
      </c>
      <c r="N60" s="290">
        <v>4658</v>
      </c>
      <c r="O60" s="290">
        <v>68</v>
      </c>
      <c r="P60" s="290">
        <v>133</v>
      </c>
      <c r="Q60" s="290">
        <v>0</v>
      </c>
      <c r="R60" s="291">
        <v>5040</v>
      </c>
      <c r="S60" s="290">
        <v>0</v>
      </c>
      <c r="T60" s="290">
        <v>0</v>
      </c>
      <c r="U60" s="290">
        <v>0</v>
      </c>
      <c r="V60" s="290">
        <v>0</v>
      </c>
      <c r="W60" s="291">
        <v>9950</v>
      </c>
      <c r="X60" s="290">
        <v>1009</v>
      </c>
      <c r="Y60" s="290">
        <v>15</v>
      </c>
      <c r="Z60" s="290">
        <v>194</v>
      </c>
      <c r="AA60" s="290">
        <v>0</v>
      </c>
      <c r="AB60" s="291">
        <v>1218</v>
      </c>
      <c r="AC60" s="290">
        <v>0</v>
      </c>
      <c r="AD60" s="290">
        <v>0</v>
      </c>
      <c r="AE60" s="290">
        <v>0</v>
      </c>
      <c r="AF60" s="290">
        <v>0</v>
      </c>
      <c r="AG60" s="291">
        <v>0</v>
      </c>
    </row>
    <row r="61" spans="1:33" x14ac:dyDescent="0.25">
      <c r="A61" s="289" t="s">
        <v>97</v>
      </c>
      <c r="B61" s="289" t="s">
        <v>256</v>
      </c>
      <c r="C61" s="289" t="s">
        <v>160</v>
      </c>
      <c r="D61" s="290">
        <v>11390</v>
      </c>
      <c r="E61" s="290">
        <v>83</v>
      </c>
      <c r="F61" s="290">
        <v>329</v>
      </c>
      <c r="G61" s="290">
        <v>0</v>
      </c>
      <c r="H61" s="291">
        <v>49073</v>
      </c>
      <c r="I61" s="290">
        <v>5695</v>
      </c>
      <c r="J61" s="290">
        <v>0</v>
      </c>
      <c r="K61" s="290">
        <v>0</v>
      </c>
      <c r="L61" s="290">
        <v>0</v>
      </c>
      <c r="M61" s="291">
        <v>32786</v>
      </c>
      <c r="N61" s="290">
        <v>4681</v>
      </c>
      <c r="O61" s="290">
        <v>68</v>
      </c>
      <c r="P61" s="290">
        <v>134</v>
      </c>
      <c r="Q61" s="290">
        <v>0</v>
      </c>
      <c r="R61" s="291">
        <v>5064</v>
      </c>
      <c r="S61" s="290">
        <v>0</v>
      </c>
      <c r="T61" s="290">
        <v>0</v>
      </c>
      <c r="U61" s="290">
        <v>0</v>
      </c>
      <c r="V61" s="290">
        <v>0</v>
      </c>
      <c r="W61" s="291">
        <v>9999</v>
      </c>
      <c r="X61" s="290">
        <v>1014</v>
      </c>
      <c r="Y61" s="290">
        <v>15</v>
      </c>
      <c r="Z61" s="290">
        <v>195</v>
      </c>
      <c r="AA61" s="290">
        <v>0</v>
      </c>
      <c r="AB61" s="291">
        <v>1224</v>
      </c>
      <c r="AC61" s="290">
        <v>0</v>
      </c>
      <c r="AD61" s="290">
        <v>0</v>
      </c>
      <c r="AE61" s="290">
        <v>0</v>
      </c>
      <c r="AF61" s="290">
        <v>0</v>
      </c>
      <c r="AG61" s="291">
        <v>0</v>
      </c>
    </row>
    <row r="62" spans="1:33" x14ac:dyDescent="0.25">
      <c r="A62" s="289" t="s">
        <v>98</v>
      </c>
      <c r="B62" s="289" t="s">
        <v>256</v>
      </c>
      <c r="C62" s="289" t="s">
        <v>160</v>
      </c>
      <c r="D62" s="290">
        <v>22090</v>
      </c>
      <c r="E62" s="290">
        <v>162</v>
      </c>
      <c r="F62" s="290">
        <v>638</v>
      </c>
      <c r="G62" s="290">
        <v>0</v>
      </c>
      <c r="H62" s="291">
        <v>95175</v>
      </c>
      <c r="I62" s="290">
        <v>11045</v>
      </c>
      <c r="J62" s="290">
        <v>0</v>
      </c>
      <c r="K62" s="290">
        <v>0</v>
      </c>
      <c r="L62" s="290">
        <v>0</v>
      </c>
      <c r="M62" s="291">
        <v>63586</v>
      </c>
      <c r="N62" s="290">
        <v>9079</v>
      </c>
      <c r="O62" s="290">
        <v>133</v>
      </c>
      <c r="P62" s="290">
        <v>259</v>
      </c>
      <c r="Q62" s="290">
        <v>0</v>
      </c>
      <c r="R62" s="291">
        <v>9823</v>
      </c>
      <c r="S62" s="290">
        <v>0</v>
      </c>
      <c r="T62" s="290">
        <v>0</v>
      </c>
      <c r="U62" s="290">
        <v>0</v>
      </c>
      <c r="V62" s="290">
        <v>0</v>
      </c>
      <c r="W62" s="291">
        <v>19392</v>
      </c>
      <c r="X62" s="290">
        <v>1966</v>
      </c>
      <c r="Y62" s="290">
        <v>29</v>
      </c>
      <c r="Z62" s="290">
        <v>379</v>
      </c>
      <c r="AA62" s="290">
        <v>0</v>
      </c>
      <c r="AB62" s="291">
        <v>2374</v>
      </c>
      <c r="AC62" s="290">
        <v>0</v>
      </c>
      <c r="AD62" s="290">
        <v>0</v>
      </c>
      <c r="AE62" s="290">
        <v>0</v>
      </c>
      <c r="AF62" s="290">
        <v>0</v>
      </c>
      <c r="AG62" s="291">
        <v>0</v>
      </c>
    </row>
    <row r="63" spans="1:33" x14ac:dyDescent="0.25">
      <c r="A63" s="289" t="s">
        <v>99</v>
      </c>
      <c r="B63" s="289" t="s">
        <v>254</v>
      </c>
      <c r="C63" s="289" t="s">
        <v>177</v>
      </c>
      <c r="D63" s="290">
        <v>10101</v>
      </c>
      <c r="E63" s="290">
        <v>74</v>
      </c>
      <c r="F63" s="290">
        <v>292</v>
      </c>
      <c r="G63" s="290">
        <v>0</v>
      </c>
      <c r="H63" s="291">
        <v>43522</v>
      </c>
      <c r="I63" s="290">
        <v>5051</v>
      </c>
      <c r="J63" s="290">
        <v>0</v>
      </c>
      <c r="K63" s="290">
        <v>0</v>
      </c>
      <c r="L63" s="290">
        <v>0</v>
      </c>
      <c r="M63" s="291">
        <v>29078</v>
      </c>
      <c r="N63" s="290">
        <v>4151</v>
      </c>
      <c r="O63" s="290">
        <v>61</v>
      </c>
      <c r="P63" s="290">
        <v>119</v>
      </c>
      <c r="Q63" s="290">
        <v>0</v>
      </c>
      <c r="R63" s="291">
        <v>4491</v>
      </c>
      <c r="S63" s="290">
        <v>0</v>
      </c>
      <c r="T63" s="290">
        <v>0</v>
      </c>
      <c r="U63" s="290">
        <v>0</v>
      </c>
      <c r="V63" s="290">
        <v>0</v>
      </c>
      <c r="W63" s="291">
        <v>8868</v>
      </c>
      <c r="X63" s="290">
        <v>899</v>
      </c>
      <c r="Y63" s="290">
        <v>13</v>
      </c>
      <c r="Z63" s="290">
        <v>173</v>
      </c>
      <c r="AA63" s="290">
        <v>0</v>
      </c>
      <c r="AB63" s="291">
        <v>1085</v>
      </c>
      <c r="AC63" s="290">
        <v>0</v>
      </c>
      <c r="AD63" s="290">
        <v>0</v>
      </c>
      <c r="AE63" s="290">
        <v>0</v>
      </c>
      <c r="AF63" s="290">
        <v>0</v>
      </c>
      <c r="AG63" s="291">
        <v>0</v>
      </c>
    </row>
    <row r="64" spans="1:33" x14ac:dyDescent="0.25">
      <c r="A64" s="289" t="s">
        <v>99</v>
      </c>
      <c r="B64" s="289" t="s">
        <v>255</v>
      </c>
      <c r="C64" s="289" t="s">
        <v>178</v>
      </c>
      <c r="D64" s="290">
        <v>10065</v>
      </c>
      <c r="E64" s="290">
        <v>74</v>
      </c>
      <c r="F64" s="290">
        <v>291</v>
      </c>
      <c r="G64" s="290">
        <v>0</v>
      </c>
      <c r="H64" s="291">
        <v>43364</v>
      </c>
      <c r="I64" s="290">
        <v>5033</v>
      </c>
      <c r="J64" s="290">
        <v>0</v>
      </c>
      <c r="K64" s="290">
        <v>0</v>
      </c>
      <c r="L64" s="290">
        <v>0</v>
      </c>
      <c r="M64" s="291">
        <v>28971</v>
      </c>
      <c r="N64" s="290">
        <v>4137</v>
      </c>
      <c r="O64" s="290">
        <v>61</v>
      </c>
      <c r="P64" s="290">
        <v>118</v>
      </c>
      <c r="Q64" s="290">
        <v>0</v>
      </c>
      <c r="R64" s="291">
        <v>4476</v>
      </c>
      <c r="S64" s="290">
        <v>0</v>
      </c>
      <c r="T64" s="290">
        <v>0</v>
      </c>
      <c r="U64" s="290">
        <v>0</v>
      </c>
      <c r="V64" s="290">
        <v>0</v>
      </c>
      <c r="W64" s="291">
        <v>8836</v>
      </c>
      <c r="X64" s="290">
        <v>895</v>
      </c>
      <c r="Y64" s="290">
        <v>13</v>
      </c>
      <c r="Z64" s="290">
        <v>173</v>
      </c>
      <c r="AA64" s="290">
        <v>0</v>
      </c>
      <c r="AB64" s="291">
        <v>1081</v>
      </c>
      <c r="AC64" s="290">
        <v>0</v>
      </c>
      <c r="AD64" s="290">
        <v>0</v>
      </c>
      <c r="AE64" s="290">
        <v>0</v>
      </c>
      <c r="AF64" s="290">
        <v>0</v>
      </c>
      <c r="AG64" s="291">
        <v>0</v>
      </c>
    </row>
    <row r="65" spans="1:33" x14ac:dyDescent="0.25">
      <c r="A65" s="289" t="s">
        <v>99</v>
      </c>
      <c r="B65" s="289" t="s">
        <v>256</v>
      </c>
      <c r="C65" s="289" t="s">
        <v>160</v>
      </c>
      <c r="D65" s="290">
        <v>10791</v>
      </c>
      <c r="E65" s="290">
        <v>79</v>
      </c>
      <c r="F65" s="290">
        <v>311</v>
      </c>
      <c r="G65" s="290">
        <v>0</v>
      </c>
      <c r="H65" s="291">
        <v>46491</v>
      </c>
      <c r="I65" s="290">
        <v>5396</v>
      </c>
      <c r="J65" s="290">
        <v>0</v>
      </c>
      <c r="K65" s="290">
        <v>0</v>
      </c>
      <c r="L65" s="290">
        <v>0</v>
      </c>
      <c r="M65" s="291">
        <v>31060</v>
      </c>
      <c r="N65" s="290">
        <v>4435</v>
      </c>
      <c r="O65" s="290">
        <v>65</v>
      </c>
      <c r="P65" s="290">
        <v>126</v>
      </c>
      <c r="Q65" s="290">
        <v>0</v>
      </c>
      <c r="R65" s="291">
        <v>4799</v>
      </c>
      <c r="S65" s="290">
        <v>0</v>
      </c>
      <c r="T65" s="290">
        <v>0</v>
      </c>
      <c r="U65" s="290">
        <v>0</v>
      </c>
      <c r="V65" s="290">
        <v>0</v>
      </c>
      <c r="W65" s="291">
        <v>9473</v>
      </c>
      <c r="X65" s="290">
        <v>960</v>
      </c>
      <c r="Y65" s="290">
        <v>14</v>
      </c>
      <c r="Z65" s="290">
        <v>185</v>
      </c>
      <c r="AA65" s="290">
        <v>0</v>
      </c>
      <c r="AB65" s="291">
        <v>1159</v>
      </c>
      <c r="AC65" s="290">
        <v>0</v>
      </c>
      <c r="AD65" s="290">
        <v>0</v>
      </c>
      <c r="AE65" s="290">
        <v>0</v>
      </c>
      <c r="AF65" s="290">
        <v>0</v>
      </c>
      <c r="AG65" s="291">
        <v>0</v>
      </c>
    </row>
    <row r="66" spans="1:33" x14ac:dyDescent="0.25">
      <c r="A66" s="289" t="s">
        <v>103</v>
      </c>
      <c r="B66" s="289" t="s">
        <v>254</v>
      </c>
      <c r="C66" s="289" t="s">
        <v>177</v>
      </c>
      <c r="D66" s="290">
        <v>18472</v>
      </c>
      <c r="E66" s="290">
        <v>135</v>
      </c>
      <c r="F66" s="290">
        <v>533</v>
      </c>
      <c r="G66" s="290">
        <v>0</v>
      </c>
      <c r="H66" s="291">
        <v>79587</v>
      </c>
      <c r="I66" s="290">
        <v>9236</v>
      </c>
      <c r="J66" s="290">
        <v>0</v>
      </c>
      <c r="K66" s="290">
        <v>0</v>
      </c>
      <c r="L66" s="290">
        <v>0</v>
      </c>
      <c r="M66" s="291">
        <v>53172</v>
      </c>
      <c r="N66" s="290">
        <v>7591</v>
      </c>
      <c r="O66" s="290">
        <v>111</v>
      </c>
      <c r="P66" s="290">
        <v>217</v>
      </c>
      <c r="Q66" s="290">
        <v>0</v>
      </c>
      <c r="R66" s="291">
        <v>8214</v>
      </c>
      <c r="S66" s="290">
        <v>0</v>
      </c>
      <c r="T66" s="290">
        <v>0</v>
      </c>
      <c r="U66" s="290">
        <v>0</v>
      </c>
      <c r="V66" s="290">
        <v>0</v>
      </c>
      <c r="W66" s="291">
        <v>16216</v>
      </c>
      <c r="X66" s="290">
        <v>1645</v>
      </c>
      <c r="Y66" s="290">
        <v>24</v>
      </c>
      <c r="Z66" s="290">
        <v>316</v>
      </c>
      <c r="AA66" s="290">
        <v>0</v>
      </c>
      <c r="AB66" s="291">
        <v>1985</v>
      </c>
      <c r="AC66" s="290">
        <v>0</v>
      </c>
      <c r="AD66" s="290">
        <v>0</v>
      </c>
      <c r="AE66" s="290">
        <v>0</v>
      </c>
      <c r="AF66" s="290">
        <v>0</v>
      </c>
      <c r="AG66" s="291">
        <v>0</v>
      </c>
    </row>
    <row r="67" spans="1:33" x14ac:dyDescent="0.25">
      <c r="A67" s="289" t="s">
        <v>103</v>
      </c>
      <c r="B67" s="289" t="s">
        <v>255</v>
      </c>
      <c r="C67" s="289" t="s">
        <v>178</v>
      </c>
      <c r="D67" s="290">
        <v>20037</v>
      </c>
      <c r="E67" s="290">
        <v>147</v>
      </c>
      <c r="F67" s="290">
        <v>578</v>
      </c>
      <c r="G67" s="290">
        <v>0</v>
      </c>
      <c r="H67" s="291">
        <v>86330</v>
      </c>
      <c r="I67" s="290">
        <v>10019</v>
      </c>
      <c r="J67" s="290">
        <v>0</v>
      </c>
      <c r="K67" s="290">
        <v>0</v>
      </c>
      <c r="L67" s="290">
        <v>0</v>
      </c>
      <c r="M67" s="291">
        <v>57678</v>
      </c>
      <c r="N67" s="290">
        <v>8234</v>
      </c>
      <c r="O67" s="290">
        <v>121</v>
      </c>
      <c r="P67" s="290">
        <v>235</v>
      </c>
      <c r="Q67" s="290">
        <v>0</v>
      </c>
      <c r="R67" s="291">
        <v>8909</v>
      </c>
      <c r="S67" s="290">
        <v>0</v>
      </c>
      <c r="T67" s="290">
        <v>0</v>
      </c>
      <c r="U67" s="290">
        <v>0</v>
      </c>
      <c r="V67" s="290">
        <v>0</v>
      </c>
      <c r="W67" s="291">
        <v>17590</v>
      </c>
      <c r="X67" s="290">
        <v>1784</v>
      </c>
      <c r="Y67" s="290">
        <v>26</v>
      </c>
      <c r="Z67" s="290">
        <v>343</v>
      </c>
      <c r="AA67" s="290">
        <v>0</v>
      </c>
      <c r="AB67" s="291">
        <v>2153</v>
      </c>
      <c r="AC67" s="290">
        <v>0</v>
      </c>
      <c r="AD67" s="290">
        <v>0</v>
      </c>
      <c r="AE67" s="290">
        <v>0</v>
      </c>
      <c r="AF67" s="290">
        <v>0</v>
      </c>
      <c r="AG67" s="291">
        <v>0</v>
      </c>
    </row>
    <row r="68" spans="1:33" x14ac:dyDescent="0.25">
      <c r="A68" s="289" t="s">
        <v>103</v>
      </c>
      <c r="B68" s="289" t="s">
        <v>256</v>
      </c>
      <c r="C68" s="289" t="s">
        <v>177</v>
      </c>
      <c r="D68" s="290">
        <v>743</v>
      </c>
      <c r="E68" s="290">
        <v>5</v>
      </c>
      <c r="F68" s="290">
        <v>21</v>
      </c>
      <c r="G68" s="290">
        <v>0</v>
      </c>
      <c r="H68" s="291">
        <v>3202</v>
      </c>
      <c r="I68" s="290">
        <v>372</v>
      </c>
      <c r="J68" s="290">
        <v>0</v>
      </c>
      <c r="K68" s="290">
        <v>0</v>
      </c>
      <c r="L68" s="290">
        <v>0</v>
      </c>
      <c r="M68" s="291">
        <v>2140</v>
      </c>
      <c r="N68" s="290">
        <v>306</v>
      </c>
      <c r="O68" s="290">
        <v>4</v>
      </c>
      <c r="P68" s="290">
        <v>9</v>
      </c>
      <c r="Q68" s="290">
        <v>0</v>
      </c>
      <c r="R68" s="291">
        <v>331</v>
      </c>
      <c r="S68" s="290">
        <v>0</v>
      </c>
      <c r="T68" s="290">
        <v>0</v>
      </c>
      <c r="U68" s="290">
        <v>0</v>
      </c>
      <c r="V68" s="290">
        <v>0</v>
      </c>
      <c r="W68" s="291">
        <v>653</v>
      </c>
      <c r="X68" s="290">
        <v>65</v>
      </c>
      <c r="Y68" s="290">
        <v>1</v>
      </c>
      <c r="Z68" s="290">
        <v>12</v>
      </c>
      <c r="AA68" s="290">
        <v>0</v>
      </c>
      <c r="AB68" s="291">
        <v>78</v>
      </c>
      <c r="AC68" s="290">
        <v>0</v>
      </c>
      <c r="AD68" s="290">
        <v>0</v>
      </c>
      <c r="AE68" s="290">
        <v>0</v>
      </c>
      <c r="AF68" s="290">
        <v>0</v>
      </c>
      <c r="AG68" s="291">
        <v>0</v>
      </c>
    </row>
    <row r="69" spans="1:33" x14ac:dyDescent="0.25">
      <c r="A69" s="289" t="s">
        <v>103</v>
      </c>
      <c r="B69" s="289" t="s">
        <v>256</v>
      </c>
      <c r="C69" s="289" t="s">
        <v>160</v>
      </c>
      <c r="D69" s="290">
        <v>20235</v>
      </c>
      <c r="E69" s="290">
        <v>148</v>
      </c>
      <c r="F69" s="290">
        <v>584</v>
      </c>
      <c r="G69" s="290">
        <v>0</v>
      </c>
      <c r="H69" s="291">
        <v>87182</v>
      </c>
      <c r="I69" s="290">
        <v>10118</v>
      </c>
      <c r="J69" s="290">
        <v>0</v>
      </c>
      <c r="K69" s="290">
        <v>0</v>
      </c>
      <c r="L69" s="290">
        <v>0</v>
      </c>
      <c r="M69" s="291">
        <v>58247</v>
      </c>
      <c r="N69" s="290">
        <v>8316</v>
      </c>
      <c r="O69" s="290">
        <v>122</v>
      </c>
      <c r="P69" s="290">
        <v>237</v>
      </c>
      <c r="Q69" s="290">
        <v>0</v>
      </c>
      <c r="R69" s="291">
        <v>8998</v>
      </c>
      <c r="S69" s="290">
        <v>0</v>
      </c>
      <c r="T69" s="290">
        <v>0</v>
      </c>
      <c r="U69" s="290">
        <v>0</v>
      </c>
      <c r="V69" s="290">
        <v>0</v>
      </c>
      <c r="W69" s="291">
        <v>17763</v>
      </c>
      <c r="X69" s="290">
        <v>1801</v>
      </c>
      <c r="Y69" s="290">
        <v>26</v>
      </c>
      <c r="Z69" s="290">
        <v>347</v>
      </c>
      <c r="AA69" s="290">
        <v>0</v>
      </c>
      <c r="AB69" s="291">
        <v>2174</v>
      </c>
      <c r="AC69" s="290">
        <v>0</v>
      </c>
      <c r="AD69" s="290">
        <v>0</v>
      </c>
      <c r="AE69" s="290">
        <v>0</v>
      </c>
      <c r="AF69" s="290">
        <v>0</v>
      </c>
      <c r="AG69" s="291">
        <v>0</v>
      </c>
    </row>
    <row r="70" spans="1:33" x14ac:dyDescent="0.25">
      <c r="A70" s="289" t="s">
        <v>105</v>
      </c>
      <c r="B70" s="289" t="s">
        <v>255</v>
      </c>
      <c r="C70" s="289" t="s">
        <v>178</v>
      </c>
      <c r="D70" s="290">
        <v>40960</v>
      </c>
      <c r="E70" s="290">
        <v>300</v>
      </c>
      <c r="F70" s="290">
        <v>1182</v>
      </c>
      <c r="G70" s="290">
        <v>0</v>
      </c>
      <c r="H70" s="291">
        <v>176476</v>
      </c>
      <c r="I70" s="290">
        <v>20480</v>
      </c>
      <c r="J70" s="290">
        <v>0</v>
      </c>
      <c r="K70" s="290">
        <v>0</v>
      </c>
      <c r="L70" s="290">
        <v>0</v>
      </c>
      <c r="M70" s="291">
        <v>117903</v>
      </c>
      <c r="N70" s="290">
        <v>16833</v>
      </c>
      <c r="O70" s="290">
        <v>247</v>
      </c>
      <c r="P70" s="290">
        <v>480</v>
      </c>
      <c r="Q70" s="290">
        <v>0</v>
      </c>
      <c r="R70" s="291">
        <v>18214</v>
      </c>
      <c r="S70" s="290">
        <v>0</v>
      </c>
      <c r="T70" s="290">
        <v>0</v>
      </c>
      <c r="U70" s="290">
        <v>0</v>
      </c>
      <c r="V70" s="290">
        <v>0</v>
      </c>
      <c r="W70" s="291">
        <v>35957</v>
      </c>
      <c r="X70" s="290">
        <v>3647</v>
      </c>
      <c r="Y70" s="290">
        <v>53</v>
      </c>
      <c r="Z70" s="290">
        <v>702</v>
      </c>
      <c r="AA70" s="290">
        <v>0</v>
      </c>
      <c r="AB70" s="291">
        <v>4402</v>
      </c>
      <c r="AC70" s="290">
        <v>0</v>
      </c>
      <c r="AD70" s="290">
        <v>0</v>
      </c>
      <c r="AE70" s="290">
        <v>0</v>
      </c>
      <c r="AF70" s="290">
        <v>0</v>
      </c>
      <c r="AG70" s="291">
        <v>0</v>
      </c>
    </row>
    <row r="71" spans="1:33" x14ac:dyDescent="0.25">
      <c r="A71" s="289" t="s">
        <v>105</v>
      </c>
      <c r="B71" s="289" t="s">
        <v>256</v>
      </c>
      <c r="C71" s="289" t="s">
        <v>178</v>
      </c>
      <c r="D71" s="290">
        <v>-11552</v>
      </c>
      <c r="E71" s="290">
        <v>-85</v>
      </c>
      <c r="F71" s="290">
        <v>-333</v>
      </c>
      <c r="G71" s="290">
        <v>0</v>
      </c>
      <c r="H71" s="291">
        <v>-49772</v>
      </c>
      <c r="I71" s="290">
        <v>-5776</v>
      </c>
      <c r="J71" s="290">
        <v>0</v>
      </c>
      <c r="K71" s="290">
        <v>0</v>
      </c>
      <c r="L71" s="290">
        <v>0</v>
      </c>
      <c r="M71" s="291">
        <v>-33252</v>
      </c>
      <c r="N71" s="290">
        <v>-4748</v>
      </c>
      <c r="O71" s="290">
        <v>-70</v>
      </c>
      <c r="P71" s="290">
        <v>-135</v>
      </c>
      <c r="Q71" s="290">
        <v>0</v>
      </c>
      <c r="R71" s="291">
        <v>-5138</v>
      </c>
      <c r="S71" s="290">
        <v>0</v>
      </c>
      <c r="T71" s="290">
        <v>0</v>
      </c>
      <c r="U71" s="290">
        <v>0</v>
      </c>
      <c r="V71" s="290">
        <v>0</v>
      </c>
      <c r="W71" s="291">
        <v>-10141</v>
      </c>
      <c r="X71" s="290">
        <v>-1028</v>
      </c>
      <c r="Y71" s="290">
        <v>-15</v>
      </c>
      <c r="Z71" s="290">
        <v>-198</v>
      </c>
      <c r="AA71" s="290">
        <v>0</v>
      </c>
      <c r="AB71" s="291">
        <v>-1241</v>
      </c>
      <c r="AC71" s="290">
        <v>0</v>
      </c>
      <c r="AD71" s="290">
        <v>0</v>
      </c>
      <c r="AE71" s="290">
        <v>0</v>
      </c>
      <c r="AF71" s="290">
        <v>0</v>
      </c>
      <c r="AG71" s="291">
        <v>0</v>
      </c>
    </row>
    <row r="72" spans="1:33" x14ac:dyDescent="0.25">
      <c r="A72" s="289" t="s">
        <v>105</v>
      </c>
      <c r="B72" s="289" t="s">
        <v>256</v>
      </c>
      <c r="C72" s="289" t="s">
        <v>160</v>
      </c>
      <c r="D72" s="290">
        <v>14704</v>
      </c>
      <c r="E72" s="290">
        <v>108</v>
      </c>
      <c r="F72" s="290">
        <v>424</v>
      </c>
      <c r="G72" s="290">
        <v>0</v>
      </c>
      <c r="H72" s="291">
        <v>63352</v>
      </c>
      <c r="I72" s="290">
        <v>7352</v>
      </c>
      <c r="J72" s="290">
        <v>0</v>
      </c>
      <c r="K72" s="290">
        <v>0</v>
      </c>
      <c r="L72" s="290">
        <v>0</v>
      </c>
      <c r="M72" s="291">
        <v>42325</v>
      </c>
      <c r="N72" s="290">
        <v>6043</v>
      </c>
      <c r="O72" s="290">
        <v>89</v>
      </c>
      <c r="P72" s="290">
        <v>172</v>
      </c>
      <c r="Q72" s="290">
        <v>0</v>
      </c>
      <c r="R72" s="291">
        <v>6538</v>
      </c>
      <c r="S72" s="290">
        <v>0</v>
      </c>
      <c r="T72" s="290">
        <v>0</v>
      </c>
      <c r="U72" s="290">
        <v>0</v>
      </c>
      <c r="V72" s="290">
        <v>0</v>
      </c>
      <c r="W72" s="291">
        <v>12909</v>
      </c>
      <c r="X72" s="290">
        <v>1309</v>
      </c>
      <c r="Y72" s="290">
        <v>19</v>
      </c>
      <c r="Z72" s="290">
        <v>252</v>
      </c>
      <c r="AA72" s="290">
        <v>0</v>
      </c>
      <c r="AB72" s="291">
        <v>1580</v>
      </c>
      <c r="AC72" s="290">
        <v>0</v>
      </c>
      <c r="AD72" s="290">
        <v>0</v>
      </c>
      <c r="AE72" s="290">
        <v>0</v>
      </c>
      <c r="AF72" s="290">
        <v>0</v>
      </c>
      <c r="AG72" s="291">
        <v>0</v>
      </c>
    </row>
    <row r="73" spans="1:33" x14ac:dyDescent="0.25">
      <c r="A73" s="289" t="s">
        <v>106</v>
      </c>
      <c r="B73" s="289" t="s">
        <v>254</v>
      </c>
      <c r="C73" s="289" t="s">
        <v>177</v>
      </c>
      <c r="D73" s="290">
        <v>7478</v>
      </c>
      <c r="E73" s="290">
        <v>55</v>
      </c>
      <c r="F73" s="290">
        <v>216</v>
      </c>
      <c r="G73" s="290">
        <v>0</v>
      </c>
      <c r="H73" s="291">
        <v>32221</v>
      </c>
      <c r="I73" s="290">
        <v>3739</v>
      </c>
      <c r="J73" s="290">
        <v>0</v>
      </c>
      <c r="K73" s="290">
        <v>0</v>
      </c>
      <c r="L73" s="290">
        <v>0</v>
      </c>
      <c r="M73" s="291">
        <v>21525</v>
      </c>
      <c r="N73" s="290">
        <v>3073</v>
      </c>
      <c r="O73" s="290">
        <v>46</v>
      </c>
      <c r="P73" s="290">
        <v>88</v>
      </c>
      <c r="Q73" s="290">
        <v>0</v>
      </c>
      <c r="R73" s="291">
        <v>3327</v>
      </c>
      <c r="S73" s="290">
        <v>0</v>
      </c>
      <c r="T73" s="290">
        <v>0</v>
      </c>
      <c r="U73" s="290">
        <v>0</v>
      </c>
      <c r="V73" s="290">
        <v>0</v>
      </c>
      <c r="W73" s="291">
        <v>6566</v>
      </c>
      <c r="X73" s="290">
        <v>666</v>
      </c>
      <c r="Y73" s="290">
        <v>9</v>
      </c>
      <c r="Z73" s="290">
        <v>128</v>
      </c>
      <c r="AA73" s="290">
        <v>0</v>
      </c>
      <c r="AB73" s="291">
        <v>803</v>
      </c>
      <c r="AC73" s="290">
        <v>0</v>
      </c>
      <c r="AD73" s="290">
        <v>0</v>
      </c>
      <c r="AE73" s="290">
        <v>0</v>
      </c>
      <c r="AF73" s="290">
        <v>0</v>
      </c>
      <c r="AG73" s="291">
        <v>0</v>
      </c>
    </row>
    <row r="74" spans="1:33" x14ac:dyDescent="0.25">
      <c r="A74" s="289" t="s">
        <v>106</v>
      </c>
      <c r="B74" s="289" t="s">
        <v>255</v>
      </c>
      <c r="C74" s="289" t="s">
        <v>178</v>
      </c>
      <c r="D74" s="290">
        <v>8033</v>
      </c>
      <c r="E74" s="290">
        <v>59</v>
      </c>
      <c r="F74" s="290">
        <v>232</v>
      </c>
      <c r="G74" s="290">
        <v>0</v>
      </c>
      <c r="H74" s="291">
        <v>34612</v>
      </c>
      <c r="I74" s="290">
        <v>4017</v>
      </c>
      <c r="J74" s="290">
        <v>0</v>
      </c>
      <c r="K74" s="290">
        <v>0</v>
      </c>
      <c r="L74" s="290">
        <v>0</v>
      </c>
      <c r="M74" s="291">
        <v>23124</v>
      </c>
      <c r="N74" s="290">
        <v>3302</v>
      </c>
      <c r="O74" s="290">
        <v>48</v>
      </c>
      <c r="P74" s="290">
        <v>94</v>
      </c>
      <c r="Q74" s="290">
        <v>0</v>
      </c>
      <c r="R74" s="291">
        <v>3572</v>
      </c>
      <c r="S74" s="290">
        <v>0</v>
      </c>
      <c r="T74" s="290">
        <v>0</v>
      </c>
      <c r="U74" s="290">
        <v>0</v>
      </c>
      <c r="V74" s="290">
        <v>0</v>
      </c>
      <c r="W74" s="291">
        <v>7053</v>
      </c>
      <c r="X74" s="290">
        <v>714</v>
      </c>
      <c r="Y74" s="290">
        <v>11</v>
      </c>
      <c r="Z74" s="290">
        <v>138</v>
      </c>
      <c r="AA74" s="290">
        <v>0</v>
      </c>
      <c r="AB74" s="291">
        <v>863</v>
      </c>
      <c r="AC74" s="290">
        <v>0</v>
      </c>
      <c r="AD74" s="290">
        <v>0</v>
      </c>
      <c r="AE74" s="290">
        <v>0</v>
      </c>
      <c r="AF74" s="290">
        <v>0</v>
      </c>
      <c r="AG74" s="291">
        <v>0</v>
      </c>
    </row>
    <row r="75" spans="1:33" x14ac:dyDescent="0.25">
      <c r="A75" s="289" t="s">
        <v>106</v>
      </c>
      <c r="B75" s="289" t="s">
        <v>256</v>
      </c>
      <c r="C75" s="289" t="s">
        <v>160</v>
      </c>
      <c r="D75" s="290">
        <v>10941</v>
      </c>
      <c r="E75" s="290">
        <v>80</v>
      </c>
      <c r="F75" s="290">
        <v>316</v>
      </c>
      <c r="G75" s="290">
        <v>0</v>
      </c>
      <c r="H75" s="291">
        <v>47141</v>
      </c>
      <c r="I75" s="290">
        <v>5471</v>
      </c>
      <c r="J75" s="290">
        <v>0</v>
      </c>
      <c r="K75" s="290">
        <v>0</v>
      </c>
      <c r="L75" s="290">
        <v>0</v>
      </c>
      <c r="M75" s="291">
        <v>31495</v>
      </c>
      <c r="N75" s="290">
        <v>4496</v>
      </c>
      <c r="O75" s="290">
        <v>66</v>
      </c>
      <c r="P75" s="290">
        <v>128</v>
      </c>
      <c r="Q75" s="290">
        <v>0</v>
      </c>
      <c r="R75" s="291">
        <v>4865</v>
      </c>
      <c r="S75" s="290">
        <v>0</v>
      </c>
      <c r="T75" s="290">
        <v>0</v>
      </c>
      <c r="U75" s="290">
        <v>0</v>
      </c>
      <c r="V75" s="290">
        <v>0</v>
      </c>
      <c r="W75" s="291">
        <v>9605</v>
      </c>
      <c r="X75" s="290">
        <v>974</v>
      </c>
      <c r="Y75" s="290">
        <v>14</v>
      </c>
      <c r="Z75" s="290">
        <v>188</v>
      </c>
      <c r="AA75" s="290">
        <v>0</v>
      </c>
      <c r="AB75" s="291">
        <v>1176</v>
      </c>
      <c r="AC75" s="290">
        <v>0</v>
      </c>
      <c r="AD75" s="290">
        <v>0</v>
      </c>
      <c r="AE75" s="290">
        <v>0</v>
      </c>
      <c r="AF75" s="290">
        <v>0</v>
      </c>
      <c r="AG75" s="291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0CC51-7A91-4DE4-B193-77D920D70FAC}">
  <sheetPr>
    <tabColor rgb="FFC6E0B4"/>
  </sheetPr>
  <dimension ref="A1:AG21"/>
  <sheetViews>
    <sheetView zoomScaleNormal="10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ColWidth="12.5703125" defaultRowHeight="15.95" customHeight="1" x14ac:dyDescent="0.25"/>
  <cols>
    <col min="1" max="3" width="16.7109375" customWidth="1"/>
    <col min="4" max="33" width="13.7109375" customWidth="1"/>
  </cols>
  <sheetData>
    <row r="1" spans="1:33" ht="15.95" customHeight="1" x14ac:dyDescent="0.25">
      <c r="A1" s="184" t="s">
        <v>141</v>
      </c>
      <c r="B1" s="184" t="s">
        <v>174</v>
      </c>
    </row>
    <row r="2" spans="1:33" ht="15" x14ac:dyDescent="0.25">
      <c r="A2" s="236" t="s">
        <v>162</v>
      </c>
      <c r="B2" s="237" t="s">
        <v>162</v>
      </c>
      <c r="C2" s="238" t="s">
        <v>162</v>
      </c>
      <c r="D2" s="1" t="s">
        <v>144</v>
      </c>
      <c r="E2" s="1" t="s">
        <v>144</v>
      </c>
      <c r="F2" s="1" t="s">
        <v>144</v>
      </c>
      <c r="G2" s="1" t="s">
        <v>144</v>
      </c>
      <c r="H2" s="1" t="s">
        <v>144</v>
      </c>
      <c r="I2" s="1" t="s">
        <v>145</v>
      </c>
      <c r="J2" s="1" t="s">
        <v>145</v>
      </c>
      <c r="K2" s="1" t="s">
        <v>145</v>
      </c>
      <c r="L2" s="1" t="s">
        <v>145</v>
      </c>
      <c r="M2" s="1" t="s">
        <v>145</v>
      </c>
      <c r="N2" s="1" t="s">
        <v>146</v>
      </c>
      <c r="O2" s="1" t="s">
        <v>146</v>
      </c>
      <c r="P2" s="1" t="s">
        <v>146</v>
      </c>
      <c r="Q2" s="1" t="s">
        <v>146</v>
      </c>
      <c r="R2" s="1" t="s">
        <v>146</v>
      </c>
      <c r="S2" s="1" t="s">
        <v>147</v>
      </c>
      <c r="T2" s="1" t="s">
        <v>147</v>
      </c>
      <c r="U2" s="1" t="s">
        <v>147</v>
      </c>
      <c r="V2" s="1" t="s">
        <v>147</v>
      </c>
      <c r="W2" s="1" t="s">
        <v>147</v>
      </c>
      <c r="X2" s="1" t="s">
        <v>148</v>
      </c>
      <c r="Y2" s="1" t="s">
        <v>148</v>
      </c>
      <c r="Z2" s="1" t="s">
        <v>148</v>
      </c>
      <c r="AA2" s="1" t="s">
        <v>148</v>
      </c>
      <c r="AB2" s="1" t="s">
        <v>148</v>
      </c>
      <c r="AC2" s="1" t="s">
        <v>149</v>
      </c>
      <c r="AD2" s="1" t="s">
        <v>149</v>
      </c>
      <c r="AE2" s="1" t="s">
        <v>149</v>
      </c>
      <c r="AF2" s="1" t="s">
        <v>149</v>
      </c>
      <c r="AG2" s="1" t="s">
        <v>149</v>
      </c>
    </row>
    <row r="3" spans="1:33" ht="15" x14ac:dyDescent="0.25">
      <c r="A3" s="239" t="s">
        <v>150</v>
      </c>
      <c r="B3" s="240" t="s">
        <v>151</v>
      </c>
      <c r="C3" s="241" t="s">
        <v>152</v>
      </c>
      <c r="D3" s="1" t="s">
        <v>45</v>
      </c>
      <c r="E3" s="1" t="s">
        <v>46</v>
      </c>
      <c r="F3" s="1" t="s">
        <v>118</v>
      </c>
      <c r="G3" s="1" t="s">
        <v>159</v>
      </c>
      <c r="H3" s="2" t="s">
        <v>163</v>
      </c>
      <c r="I3" s="1" t="s">
        <v>45</v>
      </c>
      <c r="J3" s="1" t="s">
        <v>46</v>
      </c>
      <c r="K3" s="1" t="s">
        <v>118</v>
      </c>
      <c r="L3" s="1" t="s">
        <v>159</v>
      </c>
      <c r="M3" s="2" t="s">
        <v>163</v>
      </c>
      <c r="N3" s="1" t="s">
        <v>45</v>
      </c>
      <c r="O3" s="1" t="s">
        <v>46</v>
      </c>
      <c r="P3" s="1" t="s">
        <v>118</v>
      </c>
      <c r="Q3" s="1" t="s">
        <v>159</v>
      </c>
      <c r="R3" s="2" t="s">
        <v>163</v>
      </c>
      <c r="S3" s="1" t="s">
        <v>45</v>
      </c>
      <c r="T3" s="1" t="s">
        <v>46</v>
      </c>
      <c r="U3" s="1" t="s">
        <v>118</v>
      </c>
      <c r="V3" s="1" t="s">
        <v>159</v>
      </c>
      <c r="W3" s="2" t="s">
        <v>163</v>
      </c>
      <c r="X3" s="1" t="s">
        <v>45</v>
      </c>
      <c r="Y3" s="1" t="s">
        <v>46</v>
      </c>
      <c r="Z3" s="1" t="s">
        <v>118</v>
      </c>
      <c r="AA3" s="1" t="s">
        <v>159</v>
      </c>
      <c r="AB3" s="2" t="s">
        <v>163</v>
      </c>
      <c r="AC3" s="1" t="s">
        <v>45</v>
      </c>
      <c r="AD3" s="1" t="s">
        <v>46</v>
      </c>
      <c r="AE3" s="1" t="s">
        <v>118</v>
      </c>
      <c r="AF3" s="1" t="s">
        <v>159</v>
      </c>
      <c r="AG3" s="2" t="s">
        <v>163</v>
      </c>
    </row>
    <row r="4" spans="1:33" ht="15" x14ac:dyDescent="0.25">
      <c r="A4" s="3" t="s">
        <v>49</v>
      </c>
      <c r="B4" s="3" t="s">
        <v>255</v>
      </c>
      <c r="C4" s="3" t="s">
        <v>165</v>
      </c>
      <c r="D4" s="224">
        <v>17971</v>
      </c>
      <c r="E4" s="224">
        <v>1784</v>
      </c>
      <c r="F4" s="224">
        <v>285</v>
      </c>
      <c r="G4" s="224">
        <v>0</v>
      </c>
      <c r="H4" s="225">
        <v>42475</v>
      </c>
      <c r="I4" s="224">
        <v>8985</v>
      </c>
      <c r="J4" s="224">
        <v>0</v>
      </c>
      <c r="K4" s="224">
        <v>0</v>
      </c>
      <c r="L4" s="224">
        <v>0</v>
      </c>
      <c r="M4" s="225">
        <v>28240</v>
      </c>
      <c r="N4" s="224">
        <v>8986</v>
      </c>
      <c r="O4" s="224">
        <v>1784</v>
      </c>
      <c r="P4" s="224">
        <v>0</v>
      </c>
      <c r="Q4" s="224">
        <v>0</v>
      </c>
      <c r="R4" s="225">
        <v>10931</v>
      </c>
      <c r="S4" s="224">
        <v>0</v>
      </c>
      <c r="T4" s="224">
        <v>0</v>
      </c>
      <c r="U4" s="224">
        <v>0</v>
      </c>
      <c r="V4" s="224">
        <v>0</v>
      </c>
      <c r="W4" s="225">
        <v>3019</v>
      </c>
      <c r="X4" s="224">
        <v>0</v>
      </c>
      <c r="Y4" s="224">
        <v>0</v>
      </c>
      <c r="Z4" s="224">
        <v>285</v>
      </c>
      <c r="AA4" s="224">
        <v>0</v>
      </c>
      <c r="AB4" s="225">
        <v>285</v>
      </c>
      <c r="AC4" s="224">
        <v>0</v>
      </c>
      <c r="AD4" s="224">
        <v>0</v>
      </c>
      <c r="AE4" s="224">
        <v>0</v>
      </c>
      <c r="AF4" s="224">
        <v>0</v>
      </c>
      <c r="AG4" s="225">
        <v>0</v>
      </c>
    </row>
    <row r="5" spans="1:33" ht="15" x14ac:dyDescent="0.25">
      <c r="A5" s="3" t="s">
        <v>59</v>
      </c>
      <c r="B5" s="3" t="s">
        <v>255</v>
      </c>
      <c r="C5" s="3" t="s">
        <v>165</v>
      </c>
      <c r="D5" s="224">
        <v>165028</v>
      </c>
      <c r="E5" s="224">
        <v>16382</v>
      </c>
      <c r="F5" s="224">
        <v>2613</v>
      </c>
      <c r="G5" s="224">
        <v>0</v>
      </c>
      <c r="H5" s="225">
        <v>390046</v>
      </c>
      <c r="I5" s="224">
        <v>82514</v>
      </c>
      <c r="J5" s="224">
        <v>0</v>
      </c>
      <c r="K5" s="224">
        <v>0</v>
      </c>
      <c r="L5" s="224">
        <v>0</v>
      </c>
      <c r="M5" s="225">
        <v>259338</v>
      </c>
      <c r="N5" s="224">
        <v>82514</v>
      </c>
      <c r="O5" s="224">
        <v>16382</v>
      </c>
      <c r="P5" s="224">
        <v>0</v>
      </c>
      <c r="Q5" s="224">
        <v>0</v>
      </c>
      <c r="R5" s="225">
        <v>100378</v>
      </c>
      <c r="S5" s="224">
        <v>0</v>
      </c>
      <c r="T5" s="224">
        <v>0</v>
      </c>
      <c r="U5" s="224">
        <v>0</v>
      </c>
      <c r="V5" s="224">
        <v>0</v>
      </c>
      <c r="W5" s="225">
        <v>27717</v>
      </c>
      <c r="X5" s="224">
        <v>0</v>
      </c>
      <c r="Y5" s="224">
        <v>0</v>
      </c>
      <c r="Z5" s="224">
        <v>2613</v>
      </c>
      <c r="AA5" s="224">
        <v>0</v>
      </c>
      <c r="AB5" s="225">
        <v>2613</v>
      </c>
      <c r="AC5" s="224">
        <v>0</v>
      </c>
      <c r="AD5" s="224">
        <v>0</v>
      </c>
      <c r="AE5" s="224">
        <v>0</v>
      </c>
      <c r="AF5" s="224">
        <v>0</v>
      </c>
      <c r="AG5" s="225">
        <v>0</v>
      </c>
    </row>
    <row r="6" spans="1:33" ht="15" x14ac:dyDescent="0.25">
      <c r="A6" s="3" t="s">
        <v>59</v>
      </c>
      <c r="B6" s="3" t="s">
        <v>255</v>
      </c>
      <c r="C6" s="3" t="s">
        <v>166</v>
      </c>
      <c r="D6" s="224">
        <v>120541</v>
      </c>
      <c r="E6" s="224">
        <v>11966</v>
      </c>
      <c r="F6" s="224">
        <v>1909</v>
      </c>
      <c r="G6" s="224">
        <v>0</v>
      </c>
      <c r="H6" s="225">
        <v>284899</v>
      </c>
      <c r="I6" s="224">
        <v>60270</v>
      </c>
      <c r="J6" s="224">
        <v>0</v>
      </c>
      <c r="K6" s="224">
        <v>0</v>
      </c>
      <c r="L6" s="224">
        <v>0</v>
      </c>
      <c r="M6" s="225">
        <v>189425</v>
      </c>
      <c r="N6" s="224">
        <v>60271</v>
      </c>
      <c r="O6" s="224">
        <v>11966</v>
      </c>
      <c r="P6" s="224">
        <v>0</v>
      </c>
      <c r="Q6" s="224">
        <v>0</v>
      </c>
      <c r="R6" s="225">
        <v>73320</v>
      </c>
      <c r="S6" s="224">
        <v>0</v>
      </c>
      <c r="T6" s="224">
        <v>0</v>
      </c>
      <c r="U6" s="224">
        <v>0</v>
      </c>
      <c r="V6" s="224">
        <v>0</v>
      </c>
      <c r="W6" s="225">
        <v>20245</v>
      </c>
      <c r="X6" s="224">
        <v>0</v>
      </c>
      <c r="Y6" s="224">
        <v>0</v>
      </c>
      <c r="Z6" s="224">
        <v>1909</v>
      </c>
      <c r="AA6" s="224">
        <v>0</v>
      </c>
      <c r="AB6" s="225">
        <v>1909</v>
      </c>
      <c r="AC6" s="224">
        <v>0</v>
      </c>
      <c r="AD6" s="224">
        <v>0</v>
      </c>
      <c r="AE6" s="224">
        <v>0</v>
      </c>
      <c r="AF6" s="224">
        <v>0</v>
      </c>
      <c r="AG6" s="225">
        <v>0</v>
      </c>
    </row>
    <row r="7" spans="1:33" ht="15" x14ac:dyDescent="0.25">
      <c r="A7" s="3" t="s">
        <v>83</v>
      </c>
      <c r="B7" s="3" t="s">
        <v>256</v>
      </c>
      <c r="C7" s="3" t="s">
        <v>166</v>
      </c>
      <c r="D7" s="224">
        <v>6460</v>
      </c>
      <c r="E7" s="224">
        <v>641</v>
      </c>
      <c r="F7" s="224">
        <v>102</v>
      </c>
      <c r="G7" s="224">
        <v>0</v>
      </c>
      <c r="H7" s="225">
        <v>15269</v>
      </c>
      <c r="I7" s="224">
        <v>3230</v>
      </c>
      <c r="J7" s="224">
        <v>0</v>
      </c>
      <c r="K7" s="224">
        <v>0</v>
      </c>
      <c r="L7" s="224">
        <v>0</v>
      </c>
      <c r="M7" s="225">
        <v>10153</v>
      </c>
      <c r="N7" s="224">
        <v>3230</v>
      </c>
      <c r="O7" s="224">
        <v>641</v>
      </c>
      <c r="P7" s="224">
        <v>0</v>
      </c>
      <c r="Q7" s="224">
        <v>0</v>
      </c>
      <c r="R7" s="225">
        <v>3928</v>
      </c>
      <c r="S7" s="224">
        <v>0</v>
      </c>
      <c r="T7" s="224">
        <v>0</v>
      </c>
      <c r="U7" s="224">
        <v>0</v>
      </c>
      <c r="V7" s="224">
        <v>0</v>
      </c>
      <c r="W7" s="225">
        <v>1086</v>
      </c>
      <c r="X7" s="224">
        <v>0</v>
      </c>
      <c r="Y7" s="224">
        <v>0</v>
      </c>
      <c r="Z7" s="224">
        <v>102</v>
      </c>
      <c r="AA7" s="224">
        <v>0</v>
      </c>
      <c r="AB7" s="225">
        <v>102</v>
      </c>
      <c r="AC7" s="224">
        <v>0</v>
      </c>
      <c r="AD7" s="224">
        <v>0</v>
      </c>
      <c r="AE7" s="224">
        <v>0</v>
      </c>
      <c r="AF7" s="224">
        <v>0</v>
      </c>
      <c r="AG7" s="225">
        <v>0</v>
      </c>
    </row>
    <row r="8" spans="1:33" ht="15" x14ac:dyDescent="0.25">
      <c r="A8" s="3" t="s">
        <v>85</v>
      </c>
      <c r="B8" s="3" t="s">
        <v>254</v>
      </c>
      <c r="C8" s="3" t="s">
        <v>166</v>
      </c>
      <c r="D8" s="224">
        <v>1387</v>
      </c>
      <c r="E8" s="224">
        <v>296</v>
      </c>
      <c r="F8" s="224">
        <v>-1</v>
      </c>
      <c r="G8" s="224">
        <v>0</v>
      </c>
      <c r="H8" s="225">
        <v>0</v>
      </c>
      <c r="I8" s="224">
        <v>693</v>
      </c>
      <c r="J8" s="224">
        <v>0</v>
      </c>
      <c r="K8" s="224">
        <v>0</v>
      </c>
      <c r="L8" s="224">
        <v>0</v>
      </c>
      <c r="M8" s="225">
        <v>1265</v>
      </c>
      <c r="N8" s="224">
        <v>849</v>
      </c>
      <c r="O8" s="224">
        <v>298</v>
      </c>
      <c r="P8" s="224">
        <v>-21</v>
      </c>
      <c r="Q8" s="224">
        <v>0</v>
      </c>
      <c r="R8" s="225">
        <v>1126</v>
      </c>
      <c r="S8" s="224">
        <v>0</v>
      </c>
      <c r="T8" s="224">
        <v>0</v>
      </c>
      <c r="U8" s="224">
        <v>0</v>
      </c>
      <c r="V8" s="224">
        <v>0</v>
      </c>
      <c r="W8" s="225">
        <v>-2254</v>
      </c>
      <c r="X8" s="224">
        <v>-155</v>
      </c>
      <c r="Y8" s="224">
        <v>-2</v>
      </c>
      <c r="Z8" s="224">
        <v>20</v>
      </c>
      <c r="AA8" s="224">
        <v>0</v>
      </c>
      <c r="AB8" s="225">
        <v>-137</v>
      </c>
      <c r="AC8" s="224">
        <v>0</v>
      </c>
      <c r="AD8" s="224">
        <v>0</v>
      </c>
      <c r="AE8" s="224">
        <v>0</v>
      </c>
      <c r="AF8" s="224">
        <v>0</v>
      </c>
      <c r="AG8" s="225">
        <v>0</v>
      </c>
    </row>
    <row r="9" spans="1:33" ht="15" x14ac:dyDescent="0.25">
      <c r="A9" s="3" t="s">
        <v>85</v>
      </c>
      <c r="B9" s="3" t="s">
        <v>256</v>
      </c>
      <c r="C9" s="3" t="s">
        <v>166</v>
      </c>
      <c r="D9" s="224">
        <v>2663</v>
      </c>
      <c r="E9" s="224">
        <v>569</v>
      </c>
      <c r="F9" s="224">
        <v>-3</v>
      </c>
      <c r="G9" s="224">
        <v>0</v>
      </c>
      <c r="H9" s="225">
        <v>0</v>
      </c>
      <c r="I9" s="224">
        <v>1331</v>
      </c>
      <c r="J9" s="224">
        <v>0</v>
      </c>
      <c r="K9" s="224">
        <v>0</v>
      </c>
      <c r="L9" s="224">
        <v>0</v>
      </c>
      <c r="M9" s="225">
        <v>2429</v>
      </c>
      <c r="N9" s="224">
        <v>1629</v>
      </c>
      <c r="O9" s="224">
        <v>574</v>
      </c>
      <c r="P9" s="224">
        <v>-40</v>
      </c>
      <c r="Q9" s="224">
        <v>0</v>
      </c>
      <c r="R9" s="225">
        <v>2163</v>
      </c>
      <c r="S9" s="224">
        <v>0</v>
      </c>
      <c r="T9" s="224">
        <v>0</v>
      </c>
      <c r="U9" s="224">
        <v>0</v>
      </c>
      <c r="V9" s="224">
        <v>0</v>
      </c>
      <c r="W9" s="225">
        <v>-4327</v>
      </c>
      <c r="X9" s="224">
        <v>-297</v>
      </c>
      <c r="Y9" s="224">
        <v>-5</v>
      </c>
      <c r="Z9" s="224">
        <v>37</v>
      </c>
      <c r="AA9" s="224">
        <v>0</v>
      </c>
      <c r="AB9" s="225">
        <v>-265</v>
      </c>
      <c r="AC9" s="224">
        <v>0</v>
      </c>
      <c r="AD9" s="224">
        <v>0</v>
      </c>
      <c r="AE9" s="224">
        <v>0</v>
      </c>
      <c r="AF9" s="224">
        <v>0</v>
      </c>
      <c r="AG9" s="225">
        <v>0</v>
      </c>
    </row>
    <row r="10" spans="1:33" ht="15" x14ac:dyDescent="0.25">
      <c r="A10" s="3" t="s">
        <v>86</v>
      </c>
      <c r="B10" s="3" t="s">
        <v>255</v>
      </c>
      <c r="C10" s="3" t="s">
        <v>166</v>
      </c>
      <c r="D10" s="224">
        <v>57758</v>
      </c>
      <c r="E10" s="224">
        <v>5734</v>
      </c>
      <c r="F10" s="224">
        <v>915</v>
      </c>
      <c r="G10" s="224">
        <v>0</v>
      </c>
      <c r="H10" s="225">
        <v>136512</v>
      </c>
      <c r="I10" s="224">
        <v>28879</v>
      </c>
      <c r="J10" s="224">
        <v>0</v>
      </c>
      <c r="K10" s="224">
        <v>0</v>
      </c>
      <c r="L10" s="224">
        <v>0</v>
      </c>
      <c r="M10" s="225">
        <v>90764</v>
      </c>
      <c r="N10" s="224">
        <v>28879</v>
      </c>
      <c r="O10" s="224">
        <v>5734</v>
      </c>
      <c r="P10" s="224">
        <v>0</v>
      </c>
      <c r="Q10" s="224">
        <v>0</v>
      </c>
      <c r="R10" s="225">
        <v>35132</v>
      </c>
      <c r="S10" s="224">
        <v>0</v>
      </c>
      <c r="T10" s="224">
        <v>0</v>
      </c>
      <c r="U10" s="224">
        <v>0</v>
      </c>
      <c r="V10" s="224">
        <v>0</v>
      </c>
      <c r="W10" s="225">
        <v>9701</v>
      </c>
      <c r="X10" s="224">
        <v>0</v>
      </c>
      <c r="Y10" s="224">
        <v>0</v>
      </c>
      <c r="Z10" s="224">
        <v>915</v>
      </c>
      <c r="AA10" s="224">
        <v>0</v>
      </c>
      <c r="AB10" s="225">
        <v>915</v>
      </c>
      <c r="AC10" s="224">
        <v>0</v>
      </c>
      <c r="AD10" s="224">
        <v>0</v>
      </c>
      <c r="AE10" s="224">
        <v>0</v>
      </c>
      <c r="AF10" s="224">
        <v>0</v>
      </c>
      <c r="AG10" s="225">
        <v>0</v>
      </c>
    </row>
    <row r="11" spans="1:33" ht="15" x14ac:dyDescent="0.25">
      <c r="A11" s="3" t="s">
        <v>87</v>
      </c>
      <c r="B11" s="3" t="s">
        <v>256</v>
      </c>
      <c r="C11" s="3" t="s">
        <v>170</v>
      </c>
      <c r="D11" s="224">
        <v>31821</v>
      </c>
      <c r="E11" s="224">
        <v>3159</v>
      </c>
      <c r="F11" s="224">
        <v>504</v>
      </c>
      <c r="G11" s="224">
        <v>0</v>
      </c>
      <c r="H11" s="225">
        <v>75210</v>
      </c>
      <c r="I11" s="224">
        <v>15910</v>
      </c>
      <c r="J11" s="224">
        <v>0</v>
      </c>
      <c r="K11" s="224">
        <v>0</v>
      </c>
      <c r="L11" s="224">
        <v>0</v>
      </c>
      <c r="M11" s="225">
        <v>50006</v>
      </c>
      <c r="N11" s="224">
        <v>15911</v>
      </c>
      <c r="O11" s="224">
        <v>3159</v>
      </c>
      <c r="P11" s="224">
        <v>0</v>
      </c>
      <c r="Q11" s="224">
        <v>0</v>
      </c>
      <c r="R11" s="225">
        <v>19355</v>
      </c>
      <c r="S11" s="224">
        <v>0</v>
      </c>
      <c r="T11" s="224">
        <v>0</v>
      </c>
      <c r="U11" s="224">
        <v>0</v>
      </c>
      <c r="V11" s="224">
        <v>0</v>
      </c>
      <c r="W11" s="225">
        <v>5345</v>
      </c>
      <c r="X11" s="224">
        <v>0</v>
      </c>
      <c r="Y11" s="224">
        <v>0</v>
      </c>
      <c r="Z11" s="224">
        <v>504</v>
      </c>
      <c r="AA11" s="224">
        <v>0</v>
      </c>
      <c r="AB11" s="225">
        <v>504</v>
      </c>
      <c r="AC11" s="224">
        <v>0</v>
      </c>
      <c r="AD11" s="224">
        <v>0</v>
      </c>
      <c r="AE11" s="224">
        <v>0</v>
      </c>
      <c r="AF11" s="224">
        <v>0</v>
      </c>
      <c r="AG11" s="225">
        <v>0</v>
      </c>
    </row>
    <row r="12" spans="1:33" ht="15" x14ac:dyDescent="0.25">
      <c r="A12" s="3" t="s">
        <v>87</v>
      </c>
      <c r="B12" s="3" t="s">
        <v>256</v>
      </c>
      <c r="C12" s="3" t="s">
        <v>171</v>
      </c>
      <c r="D12" s="224">
        <v>21913</v>
      </c>
      <c r="E12" s="224">
        <v>2175</v>
      </c>
      <c r="F12" s="224">
        <v>347</v>
      </c>
      <c r="G12" s="224">
        <v>0</v>
      </c>
      <c r="H12" s="225">
        <v>51791</v>
      </c>
      <c r="I12" s="224">
        <v>10956</v>
      </c>
      <c r="J12" s="224">
        <v>0</v>
      </c>
      <c r="K12" s="224">
        <v>0</v>
      </c>
      <c r="L12" s="224">
        <v>0</v>
      </c>
      <c r="M12" s="225">
        <v>34436</v>
      </c>
      <c r="N12" s="224">
        <v>10957</v>
      </c>
      <c r="O12" s="224">
        <v>2175</v>
      </c>
      <c r="P12" s="224">
        <v>0</v>
      </c>
      <c r="Q12" s="224">
        <v>0</v>
      </c>
      <c r="R12" s="225">
        <v>13328</v>
      </c>
      <c r="S12" s="224">
        <v>0</v>
      </c>
      <c r="T12" s="224">
        <v>0</v>
      </c>
      <c r="U12" s="224">
        <v>0</v>
      </c>
      <c r="V12" s="224">
        <v>0</v>
      </c>
      <c r="W12" s="225">
        <v>3680</v>
      </c>
      <c r="X12" s="224">
        <v>0</v>
      </c>
      <c r="Y12" s="224">
        <v>0</v>
      </c>
      <c r="Z12" s="224">
        <v>347</v>
      </c>
      <c r="AA12" s="224">
        <v>0</v>
      </c>
      <c r="AB12" s="225">
        <v>347</v>
      </c>
      <c r="AC12" s="224">
        <v>0</v>
      </c>
      <c r="AD12" s="224">
        <v>0</v>
      </c>
      <c r="AE12" s="224">
        <v>0</v>
      </c>
      <c r="AF12" s="224">
        <v>0</v>
      </c>
      <c r="AG12" s="225">
        <v>0</v>
      </c>
    </row>
    <row r="13" spans="1:33" ht="15" x14ac:dyDescent="0.25">
      <c r="A13" s="3" t="s">
        <v>87</v>
      </c>
      <c r="B13" s="3" t="s">
        <v>256</v>
      </c>
      <c r="C13" s="3" t="s">
        <v>172</v>
      </c>
      <c r="D13" s="224">
        <v>21867</v>
      </c>
      <c r="E13" s="224">
        <v>2171</v>
      </c>
      <c r="F13" s="224">
        <v>346</v>
      </c>
      <c r="G13" s="224">
        <v>0</v>
      </c>
      <c r="H13" s="225">
        <v>51682</v>
      </c>
      <c r="I13" s="224">
        <v>10933</v>
      </c>
      <c r="J13" s="224">
        <v>0</v>
      </c>
      <c r="K13" s="224">
        <v>0</v>
      </c>
      <c r="L13" s="224">
        <v>0</v>
      </c>
      <c r="M13" s="225">
        <v>34362</v>
      </c>
      <c r="N13" s="224">
        <v>10934</v>
      </c>
      <c r="O13" s="224">
        <v>2171</v>
      </c>
      <c r="P13" s="224">
        <v>0</v>
      </c>
      <c r="Q13" s="224">
        <v>0</v>
      </c>
      <c r="R13" s="225">
        <v>13301</v>
      </c>
      <c r="S13" s="224">
        <v>0</v>
      </c>
      <c r="T13" s="224">
        <v>0</v>
      </c>
      <c r="U13" s="224">
        <v>0</v>
      </c>
      <c r="V13" s="224">
        <v>0</v>
      </c>
      <c r="W13" s="225">
        <v>3673</v>
      </c>
      <c r="X13" s="224">
        <v>0</v>
      </c>
      <c r="Y13" s="224">
        <v>0</v>
      </c>
      <c r="Z13" s="224">
        <v>346</v>
      </c>
      <c r="AA13" s="224">
        <v>0</v>
      </c>
      <c r="AB13" s="225">
        <v>346</v>
      </c>
      <c r="AC13" s="224">
        <v>0</v>
      </c>
      <c r="AD13" s="224">
        <v>0</v>
      </c>
      <c r="AE13" s="224">
        <v>0</v>
      </c>
      <c r="AF13" s="224">
        <v>0</v>
      </c>
      <c r="AG13" s="225">
        <v>0</v>
      </c>
    </row>
    <row r="14" spans="1:33" ht="15" x14ac:dyDescent="0.25">
      <c r="A14" s="3" t="s">
        <v>87</v>
      </c>
      <c r="B14" s="3" t="s">
        <v>256</v>
      </c>
      <c r="C14" s="3" t="s">
        <v>164</v>
      </c>
      <c r="D14" s="224">
        <v>12688</v>
      </c>
      <c r="E14" s="224">
        <v>1260</v>
      </c>
      <c r="F14" s="224">
        <v>201</v>
      </c>
      <c r="G14" s="224">
        <v>0</v>
      </c>
      <c r="H14" s="225">
        <v>29989</v>
      </c>
      <c r="I14" s="224">
        <v>6344</v>
      </c>
      <c r="J14" s="224">
        <v>0</v>
      </c>
      <c r="K14" s="224">
        <v>0</v>
      </c>
      <c r="L14" s="224">
        <v>0</v>
      </c>
      <c r="M14" s="225">
        <v>19938</v>
      </c>
      <c r="N14" s="224">
        <v>6344</v>
      </c>
      <c r="O14" s="224">
        <v>1260</v>
      </c>
      <c r="P14" s="224">
        <v>0</v>
      </c>
      <c r="Q14" s="224">
        <v>0</v>
      </c>
      <c r="R14" s="225">
        <v>7718</v>
      </c>
      <c r="S14" s="224">
        <v>0</v>
      </c>
      <c r="T14" s="224">
        <v>0</v>
      </c>
      <c r="U14" s="224">
        <v>0</v>
      </c>
      <c r="V14" s="224">
        <v>0</v>
      </c>
      <c r="W14" s="225">
        <v>2132</v>
      </c>
      <c r="X14" s="224">
        <v>0</v>
      </c>
      <c r="Y14" s="224">
        <v>0</v>
      </c>
      <c r="Z14" s="224">
        <v>201</v>
      </c>
      <c r="AA14" s="224">
        <v>0</v>
      </c>
      <c r="AB14" s="225">
        <v>201</v>
      </c>
      <c r="AC14" s="224">
        <v>0</v>
      </c>
      <c r="AD14" s="224">
        <v>0</v>
      </c>
      <c r="AE14" s="224">
        <v>0</v>
      </c>
      <c r="AF14" s="224">
        <v>0</v>
      </c>
      <c r="AG14" s="225">
        <v>0</v>
      </c>
    </row>
    <row r="15" spans="1:33" ht="15" x14ac:dyDescent="0.25">
      <c r="A15" s="3" t="s">
        <v>87</v>
      </c>
      <c r="B15" s="3" t="s">
        <v>256</v>
      </c>
      <c r="C15" s="3" t="s">
        <v>165</v>
      </c>
      <c r="D15" s="224">
        <v>12697</v>
      </c>
      <c r="E15" s="224">
        <v>1260</v>
      </c>
      <c r="F15" s="224">
        <v>201</v>
      </c>
      <c r="G15" s="224">
        <v>0</v>
      </c>
      <c r="H15" s="225">
        <v>30010</v>
      </c>
      <c r="I15" s="224">
        <v>6348</v>
      </c>
      <c r="J15" s="224">
        <v>0</v>
      </c>
      <c r="K15" s="224">
        <v>0</v>
      </c>
      <c r="L15" s="224">
        <v>0</v>
      </c>
      <c r="M15" s="225">
        <v>19953</v>
      </c>
      <c r="N15" s="224">
        <v>6349</v>
      </c>
      <c r="O15" s="224">
        <v>1260</v>
      </c>
      <c r="P15" s="224">
        <v>0</v>
      </c>
      <c r="Q15" s="224">
        <v>0</v>
      </c>
      <c r="R15" s="225">
        <v>7723</v>
      </c>
      <c r="S15" s="224">
        <v>0</v>
      </c>
      <c r="T15" s="224">
        <v>0</v>
      </c>
      <c r="U15" s="224">
        <v>0</v>
      </c>
      <c r="V15" s="224">
        <v>0</v>
      </c>
      <c r="W15" s="225">
        <v>2133</v>
      </c>
      <c r="X15" s="224">
        <v>0</v>
      </c>
      <c r="Y15" s="224">
        <v>0</v>
      </c>
      <c r="Z15" s="224">
        <v>201</v>
      </c>
      <c r="AA15" s="224">
        <v>0</v>
      </c>
      <c r="AB15" s="225">
        <v>201</v>
      </c>
      <c r="AC15" s="224">
        <v>0</v>
      </c>
      <c r="AD15" s="224">
        <v>0</v>
      </c>
      <c r="AE15" s="224">
        <v>0</v>
      </c>
      <c r="AF15" s="224">
        <v>0</v>
      </c>
      <c r="AG15" s="225">
        <v>0</v>
      </c>
    </row>
    <row r="16" spans="1:33" ht="15" x14ac:dyDescent="0.25">
      <c r="A16" s="3" t="s">
        <v>89</v>
      </c>
      <c r="B16" s="3" t="s">
        <v>254</v>
      </c>
      <c r="C16" s="3" t="s">
        <v>166</v>
      </c>
      <c r="D16" s="224">
        <v>14529</v>
      </c>
      <c r="E16" s="224">
        <v>1442</v>
      </c>
      <c r="F16" s="224">
        <v>230</v>
      </c>
      <c r="G16" s="224">
        <v>0</v>
      </c>
      <c r="H16" s="225">
        <v>34340</v>
      </c>
      <c r="I16" s="224">
        <v>7264</v>
      </c>
      <c r="J16" s="224">
        <v>0</v>
      </c>
      <c r="K16" s="224">
        <v>0</v>
      </c>
      <c r="L16" s="224">
        <v>0</v>
      </c>
      <c r="M16" s="225">
        <v>22832</v>
      </c>
      <c r="N16" s="224">
        <v>7265</v>
      </c>
      <c r="O16" s="224">
        <v>1442</v>
      </c>
      <c r="P16" s="224">
        <v>0</v>
      </c>
      <c r="Q16" s="224">
        <v>0</v>
      </c>
      <c r="R16" s="225">
        <v>8837</v>
      </c>
      <c r="S16" s="224">
        <v>0</v>
      </c>
      <c r="T16" s="224">
        <v>0</v>
      </c>
      <c r="U16" s="224">
        <v>0</v>
      </c>
      <c r="V16" s="224">
        <v>0</v>
      </c>
      <c r="W16" s="225">
        <v>2441</v>
      </c>
      <c r="X16" s="224">
        <v>0</v>
      </c>
      <c r="Y16" s="224">
        <v>0</v>
      </c>
      <c r="Z16" s="224">
        <v>230</v>
      </c>
      <c r="AA16" s="224">
        <v>0</v>
      </c>
      <c r="AB16" s="225">
        <v>230</v>
      </c>
      <c r="AC16" s="224">
        <v>0</v>
      </c>
      <c r="AD16" s="224">
        <v>0</v>
      </c>
      <c r="AE16" s="224">
        <v>0</v>
      </c>
      <c r="AF16" s="224">
        <v>0</v>
      </c>
      <c r="AG16" s="225">
        <v>0</v>
      </c>
    </row>
    <row r="17" spans="1:33" ht="15" x14ac:dyDescent="0.25">
      <c r="A17" s="3" t="s">
        <v>92</v>
      </c>
      <c r="B17" s="3" t="s">
        <v>254</v>
      </c>
      <c r="C17" s="3" t="s">
        <v>166</v>
      </c>
      <c r="D17" s="224">
        <v>6551</v>
      </c>
      <c r="E17" s="224">
        <v>53</v>
      </c>
      <c r="F17" s="224">
        <v>192</v>
      </c>
      <c r="G17" s="224">
        <v>0</v>
      </c>
      <c r="H17" s="225">
        <v>27840</v>
      </c>
      <c r="I17" s="224">
        <v>3276</v>
      </c>
      <c r="J17" s="224">
        <v>0</v>
      </c>
      <c r="K17" s="224">
        <v>0</v>
      </c>
      <c r="L17" s="224">
        <v>0</v>
      </c>
      <c r="M17" s="225">
        <v>13741</v>
      </c>
      <c r="N17" s="224">
        <v>2692</v>
      </c>
      <c r="O17" s="224">
        <v>43</v>
      </c>
      <c r="P17" s="224">
        <v>78</v>
      </c>
      <c r="Q17" s="224">
        <v>0</v>
      </c>
      <c r="R17" s="225">
        <v>2918</v>
      </c>
      <c r="S17" s="224">
        <v>0</v>
      </c>
      <c r="T17" s="224">
        <v>0</v>
      </c>
      <c r="U17" s="224">
        <v>0</v>
      </c>
      <c r="V17" s="224">
        <v>0</v>
      </c>
      <c r="W17" s="225">
        <v>10474</v>
      </c>
      <c r="X17" s="224">
        <v>583</v>
      </c>
      <c r="Y17" s="224">
        <v>10</v>
      </c>
      <c r="Z17" s="224">
        <v>114</v>
      </c>
      <c r="AA17" s="224">
        <v>0</v>
      </c>
      <c r="AB17" s="225">
        <v>707</v>
      </c>
      <c r="AC17" s="224">
        <v>0</v>
      </c>
      <c r="AD17" s="224">
        <v>0</v>
      </c>
      <c r="AE17" s="224">
        <v>0</v>
      </c>
      <c r="AF17" s="224">
        <v>0</v>
      </c>
      <c r="AG17" s="225">
        <v>0</v>
      </c>
    </row>
    <row r="18" spans="1:33" ht="15" x14ac:dyDescent="0.25">
      <c r="A18" s="3" t="s">
        <v>93</v>
      </c>
      <c r="B18" s="3" t="s">
        <v>254</v>
      </c>
      <c r="C18" s="3" t="s">
        <v>166</v>
      </c>
      <c r="D18" s="224">
        <v>22731</v>
      </c>
      <c r="E18" s="224">
        <v>1941</v>
      </c>
      <c r="F18" s="224">
        <v>406</v>
      </c>
      <c r="G18" s="224">
        <v>0</v>
      </c>
      <c r="H18" s="225">
        <v>60251</v>
      </c>
      <c r="I18" s="224">
        <v>11365</v>
      </c>
      <c r="J18" s="224">
        <v>0</v>
      </c>
      <c r="K18" s="224">
        <v>0</v>
      </c>
      <c r="L18" s="224">
        <v>0</v>
      </c>
      <c r="M18" s="225">
        <v>37540</v>
      </c>
      <c r="N18" s="224">
        <v>11058</v>
      </c>
      <c r="O18" s="224">
        <v>1936</v>
      </c>
      <c r="P18" s="224">
        <v>41</v>
      </c>
      <c r="Q18" s="224">
        <v>0</v>
      </c>
      <c r="R18" s="225">
        <v>13264</v>
      </c>
      <c r="S18" s="224">
        <v>0</v>
      </c>
      <c r="T18" s="224">
        <v>0</v>
      </c>
      <c r="U18" s="224">
        <v>0</v>
      </c>
      <c r="V18" s="224">
        <v>0</v>
      </c>
      <c r="W18" s="225">
        <v>8769</v>
      </c>
      <c r="X18" s="224">
        <v>308</v>
      </c>
      <c r="Y18" s="224">
        <v>5</v>
      </c>
      <c r="Z18" s="224">
        <v>365</v>
      </c>
      <c r="AA18" s="224">
        <v>0</v>
      </c>
      <c r="AB18" s="225">
        <v>678</v>
      </c>
      <c r="AC18" s="224">
        <v>0</v>
      </c>
      <c r="AD18" s="224">
        <v>0</v>
      </c>
      <c r="AE18" s="224">
        <v>0</v>
      </c>
      <c r="AF18" s="224">
        <v>0</v>
      </c>
      <c r="AG18" s="225">
        <v>0</v>
      </c>
    </row>
    <row r="19" spans="1:33" ht="15" x14ac:dyDescent="0.25">
      <c r="A19" s="3" t="s">
        <v>106</v>
      </c>
      <c r="B19" s="3" t="s">
        <v>254</v>
      </c>
      <c r="C19" s="3" t="s">
        <v>166</v>
      </c>
      <c r="D19" s="224">
        <v>5</v>
      </c>
      <c r="E19" s="224">
        <v>1</v>
      </c>
      <c r="F19" s="224">
        <v>0</v>
      </c>
      <c r="G19" s="224">
        <v>0</v>
      </c>
      <c r="H19" s="225">
        <v>0</v>
      </c>
      <c r="I19" s="224">
        <v>2</v>
      </c>
      <c r="J19" s="224">
        <v>0</v>
      </c>
      <c r="K19" s="224">
        <v>0</v>
      </c>
      <c r="L19" s="224">
        <v>0</v>
      </c>
      <c r="M19" s="225">
        <v>2</v>
      </c>
      <c r="N19" s="224">
        <v>3</v>
      </c>
      <c r="O19" s="224">
        <v>1</v>
      </c>
      <c r="P19" s="224">
        <v>0</v>
      </c>
      <c r="Q19" s="224">
        <v>0</v>
      </c>
      <c r="R19" s="225">
        <v>4</v>
      </c>
      <c r="S19" s="224">
        <v>0</v>
      </c>
      <c r="T19" s="224">
        <v>0</v>
      </c>
      <c r="U19" s="224">
        <v>0</v>
      </c>
      <c r="V19" s="224">
        <v>0</v>
      </c>
      <c r="W19" s="225">
        <v>-6</v>
      </c>
      <c r="X19" s="224">
        <v>0</v>
      </c>
      <c r="Y19" s="224">
        <v>0</v>
      </c>
      <c r="Z19" s="224">
        <v>0</v>
      </c>
      <c r="AA19" s="224">
        <v>0</v>
      </c>
      <c r="AB19" s="225">
        <v>0</v>
      </c>
      <c r="AC19" s="224">
        <v>0</v>
      </c>
      <c r="AD19" s="224">
        <v>0</v>
      </c>
      <c r="AE19" s="224">
        <v>0</v>
      </c>
      <c r="AF19" s="224">
        <v>0</v>
      </c>
      <c r="AG19" s="225">
        <v>0</v>
      </c>
    </row>
    <row r="20" spans="1:33" ht="15" x14ac:dyDescent="0.25">
      <c r="E20" s="227"/>
      <c r="L20" s="227"/>
    </row>
    <row r="21" spans="1:33" ht="15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0868-B2B8-4C1C-A03E-FB17599C21C8}">
  <sheetPr>
    <tabColor theme="9" tint="0.59999389629810485"/>
  </sheetPr>
  <dimension ref="A1:AG8"/>
  <sheetViews>
    <sheetView zoomScaleNormal="100" workbookViewId="0">
      <pane xSplit="3" ySplit="1" topLeftCell="S2" activePane="bottomRight" state="frozen"/>
      <selection pane="topRight" activeCell="E38" sqref="E38"/>
      <selection pane="bottomLeft" activeCell="E38" sqref="E38"/>
      <selection pane="bottomRight"/>
    </sheetView>
  </sheetViews>
  <sheetFormatPr defaultColWidth="12.5703125" defaultRowHeight="15" x14ac:dyDescent="0.25"/>
  <cols>
    <col min="1" max="1" width="15.85546875" bestFit="1" customWidth="1"/>
    <col min="2" max="2" width="14.5703125" customWidth="1"/>
    <col min="3" max="3" width="15.140625" bestFit="1" customWidth="1"/>
  </cols>
  <sheetData>
    <row r="1" spans="1:33" x14ac:dyDescent="0.25">
      <c r="A1" s="184" t="s">
        <v>141</v>
      </c>
      <c r="B1" s="184" t="s">
        <v>175</v>
      </c>
    </row>
    <row r="2" spans="1:33" x14ac:dyDescent="0.25">
      <c r="A2" s="236" t="s">
        <v>162</v>
      </c>
      <c r="B2" s="237" t="s">
        <v>162</v>
      </c>
      <c r="C2" s="238" t="s">
        <v>162</v>
      </c>
      <c r="D2" s="1" t="s">
        <v>144</v>
      </c>
      <c r="E2" s="1" t="s">
        <v>144</v>
      </c>
      <c r="F2" s="1" t="s">
        <v>144</v>
      </c>
      <c r="G2" s="1" t="s">
        <v>144</v>
      </c>
      <c r="H2" s="1" t="s">
        <v>144</v>
      </c>
      <c r="I2" s="1" t="s">
        <v>145</v>
      </c>
      <c r="J2" s="1" t="s">
        <v>145</v>
      </c>
      <c r="K2" s="1" t="s">
        <v>145</v>
      </c>
      <c r="L2" s="1" t="s">
        <v>145</v>
      </c>
      <c r="M2" s="1" t="s">
        <v>145</v>
      </c>
      <c r="N2" s="1" t="s">
        <v>146</v>
      </c>
      <c r="O2" s="1" t="s">
        <v>146</v>
      </c>
      <c r="P2" s="1" t="s">
        <v>146</v>
      </c>
      <c r="Q2" s="1" t="s">
        <v>146</v>
      </c>
      <c r="R2" s="1" t="s">
        <v>146</v>
      </c>
      <c r="S2" s="1" t="s">
        <v>147</v>
      </c>
      <c r="T2" s="1" t="s">
        <v>147</v>
      </c>
      <c r="U2" s="1" t="s">
        <v>147</v>
      </c>
      <c r="V2" s="1" t="s">
        <v>147</v>
      </c>
      <c r="W2" s="1" t="s">
        <v>147</v>
      </c>
      <c r="X2" s="1" t="s">
        <v>148</v>
      </c>
      <c r="Y2" s="1" t="s">
        <v>148</v>
      </c>
      <c r="Z2" s="1" t="s">
        <v>148</v>
      </c>
      <c r="AA2" s="1" t="s">
        <v>148</v>
      </c>
      <c r="AB2" s="1" t="s">
        <v>148</v>
      </c>
      <c r="AC2" s="1" t="s">
        <v>149</v>
      </c>
      <c r="AD2" s="1" t="s">
        <v>149</v>
      </c>
      <c r="AE2" s="1" t="s">
        <v>149</v>
      </c>
      <c r="AF2" s="1" t="s">
        <v>149</v>
      </c>
      <c r="AG2" s="1" t="s">
        <v>149</v>
      </c>
    </row>
    <row r="3" spans="1:33" x14ac:dyDescent="0.25">
      <c r="A3" s="239" t="s">
        <v>150</v>
      </c>
      <c r="B3" s="240" t="s">
        <v>151</v>
      </c>
      <c r="C3" s="241" t="s">
        <v>152</v>
      </c>
      <c r="D3" s="1" t="s">
        <v>45</v>
      </c>
      <c r="E3" s="1" t="s">
        <v>46</v>
      </c>
      <c r="F3" s="1" t="s">
        <v>118</v>
      </c>
      <c r="G3" s="1" t="s">
        <v>159</v>
      </c>
      <c r="H3" s="2" t="s">
        <v>163</v>
      </c>
      <c r="I3" s="1" t="s">
        <v>45</v>
      </c>
      <c r="J3" s="1" t="s">
        <v>46</v>
      </c>
      <c r="K3" s="1" t="s">
        <v>118</v>
      </c>
      <c r="L3" s="1" t="s">
        <v>159</v>
      </c>
      <c r="M3" s="2" t="s">
        <v>163</v>
      </c>
      <c r="N3" s="1" t="s">
        <v>45</v>
      </c>
      <c r="O3" s="1" t="s">
        <v>46</v>
      </c>
      <c r="P3" s="1" t="s">
        <v>118</v>
      </c>
      <c r="Q3" s="1" t="s">
        <v>159</v>
      </c>
      <c r="R3" s="2" t="s">
        <v>163</v>
      </c>
      <c r="S3" s="1" t="s">
        <v>45</v>
      </c>
      <c r="T3" s="1" t="s">
        <v>46</v>
      </c>
      <c r="U3" s="1" t="s">
        <v>118</v>
      </c>
      <c r="V3" s="1" t="s">
        <v>159</v>
      </c>
      <c r="W3" s="2" t="s">
        <v>163</v>
      </c>
      <c r="X3" s="1" t="s">
        <v>45</v>
      </c>
      <c r="Y3" s="1" t="s">
        <v>46</v>
      </c>
      <c r="Z3" s="1" t="s">
        <v>118</v>
      </c>
      <c r="AA3" s="1" t="s">
        <v>159</v>
      </c>
      <c r="AB3" s="2" t="s">
        <v>163</v>
      </c>
      <c r="AC3" s="1" t="s">
        <v>45</v>
      </c>
      <c r="AD3" s="1" t="s">
        <v>46</v>
      </c>
      <c r="AE3" s="1" t="s">
        <v>118</v>
      </c>
      <c r="AF3" s="1" t="s">
        <v>159</v>
      </c>
      <c r="AG3" s="2" t="s">
        <v>163</v>
      </c>
    </row>
    <row r="4" spans="1:33" x14ac:dyDescent="0.25">
      <c r="A4" s="3" t="s">
        <v>85</v>
      </c>
      <c r="B4" s="3" t="s">
        <v>254</v>
      </c>
      <c r="C4" s="3" t="s">
        <v>166</v>
      </c>
      <c r="D4" s="224">
        <v>-1739</v>
      </c>
      <c r="E4" s="224">
        <v>-14</v>
      </c>
      <c r="F4" s="224">
        <v>-51</v>
      </c>
      <c r="G4" s="224">
        <v>0</v>
      </c>
      <c r="H4" s="225">
        <v>-7389</v>
      </c>
      <c r="I4" s="224">
        <v>-870</v>
      </c>
      <c r="J4" s="224">
        <v>0</v>
      </c>
      <c r="K4" s="224">
        <v>0</v>
      </c>
      <c r="L4" s="224">
        <v>0</v>
      </c>
      <c r="M4" s="225">
        <v>-3647</v>
      </c>
      <c r="N4" s="224">
        <v>-714</v>
      </c>
      <c r="O4" s="224">
        <v>-12</v>
      </c>
      <c r="P4" s="224">
        <v>-21</v>
      </c>
      <c r="Q4" s="224">
        <v>0</v>
      </c>
      <c r="R4" s="225">
        <v>-775</v>
      </c>
      <c r="S4" s="224">
        <v>0</v>
      </c>
      <c r="T4" s="224">
        <v>0</v>
      </c>
      <c r="U4" s="224">
        <v>0</v>
      </c>
      <c r="V4" s="224">
        <v>0</v>
      </c>
      <c r="W4" s="225">
        <v>-2780</v>
      </c>
      <c r="X4" s="224">
        <v>-155</v>
      </c>
      <c r="Y4" s="224">
        <v>-2</v>
      </c>
      <c r="Z4" s="224">
        <v>-30</v>
      </c>
      <c r="AA4" s="224">
        <v>0</v>
      </c>
      <c r="AB4" s="225">
        <v>-187</v>
      </c>
      <c r="AC4" s="224">
        <v>0</v>
      </c>
      <c r="AD4" s="224">
        <v>0</v>
      </c>
      <c r="AE4" s="224">
        <v>0</v>
      </c>
      <c r="AF4" s="224">
        <v>0</v>
      </c>
      <c r="AG4" s="225">
        <v>0</v>
      </c>
    </row>
    <row r="5" spans="1:33" x14ac:dyDescent="0.25">
      <c r="A5" s="3" t="s">
        <v>85</v>
      </c>
      <c r="B5" s="3" t="s">
        <v>256</v>
      </c>
      <c r="C5" s="3" t="s">
        <v>166</v>
      </c>
      <c r="D5" s="224">
        <v>-3337</v>
      </c>
      <c r="E5" s="224">
        <v>-27</v>
      </c>
      <c r="F5" s="224">
        <v>-98</v>
      </c>
      <c r="G5" s="224">
        <v>0</v>
      </c>
      <c r="H5" s="225">
        <v>-14180</v>
      </c>
      <c r="I5" s="224">
        <v>-1669</v>
      </c>
      <c r="J5" s="224">
        <v>0</v>
      </c>
      <c r="K5" s="224">
        <v>0</v>
      </c>
      <c r="L5" s="224">
        <v>0</v>
      </c>
      <c r="M5" s="225">
        <v>-6998</v>
      </c>
      <c r="N5" s="224">
        <v>-1371</v>
      </c>
      <c r="O5" s="224">
        <v>-22</v>
      </c>
      <c r="P5" s="224">
        <v>-40</v>
      </c>
      <c r="Q5" s="224">
        <v>0</v>
      </c>
      <c r="R5" s="225">
        <v>-1487</v>
      </c>
      <c r="S5" s="224">
        <v>0</v>
      </c>
      <c r="T5" s="224">
        <v>0</v>
      </c>
      <c r="U5" s="224">
        <v>0</v>
      </c>
      <c r="V5" s="224">
        <v>0</v>
      </c>
      <c r="W5" s="225">
        <v>-5335</v>
      </c>
      <c r="X5" s="224">
        <v>-297</v>
      </c>
      <c r="Y5" s="224">
        <v>-5</v>
      </c>
      <c r="Z5" s="224">
        <v>-58</v>
      </c>
      <c r="AA5" s="224">
        <v>0</v>
      </c>
      <c r="AB5" s="225">
        <v>-360</v>
      </c>
      <c r="AC5" s="224">
        <v>0</v>
      </c>
      <c r="AD5" s="224">
        <v>0</v>
      </c>
      <c r="AE5" s="224">
        <v>0</v>
      </c>
      <c r="AF5" s="224">
        <v>0</v>
      </c>
      <c r="AG5" s="225">
        <v>0</v>
      </c>
    </row>
    <row r="6" spans="1:33" x14ac:dyDescent="0.25">
      <c r="A6" s="3" t="s">
        <v>92</v>
      </c>
      <c r="B6" s="3" t="s">
        <v>254</v>
      </c>
      <c r="C6" s="3" t="s">
        <v>166</v>
      </c>
      <c r="D6" s="224">
        <v>6551</v>
      </c>
      <c r="E6" s="224">
        <v>53</v>
      </c>
      <c r="F6" s="224">
        <v>192</v>
      </c>
      <c r="G6" s="224">
        <v>0</v>
      </c>
      <c r="H6" s="225">
        <v>27840</v>
      </c>
      <c r="I6" s="224">
        <v>3276</v>
      </c>
      <c r="J6" s="224">
        <v>0</v>
      </c>
      <c r="K6" s="224">
        <v>0</v>
      </c>
      <c r="L6" s="224">
        <v>0</v>
      </c>
      <c r="M6" s="225">
        <v>13741</v>
      </c>
      <c r="N6" s="224">
        <v>2692</v>
      </c>
      <c r="O6" s="224">
        <v>43</v>
      </c>
      <c r="P6" s="224">
        <v>78</v>
      </c>
      <c r="Q6" s="224">
        <v>0</v>
      </c>
      <c r="R6" s="225">
        <v>2918</v>
      </c>
      <c r="S6" s="224">
        <v>0</v>
      </c>
      <c r="T6" s="224">
        <v>0</v>
      </c>
      <c r="U6" s="224">
        <v>0</v>
      </c>
      <c r="V6" s="224">
        <v>0</v>
      </c>
      <c r="W6" s="225">
        <v>10474</v>
      </c>
      <c r="X6" s="224">
        <v>583</v>
      </c>
      <c r="Y6" s="224">
        <v>10</v>
      </c>
      <c r="Z6" s="224">
        <v>114</v>
      </c>
      <c r="AA6" s="224">
        <v>0</v>
      </c>
      <c r="AB6" s="225">
        <v>707</v>
      </c>
      <c r="AC6" s="224">
        <v>0</v>
      </c>
      <c r="AD6" s="224">
        <v>0</v>
      </c>
      <c r="AE6" s="224">
        <v>0</v>
      </c>
      <c r="AF6" s="224">
        <v>0</v>
      </c>
      <c r="AG6" s="225">
        <v>0</v>
      </c>
    </row>
    <row r="7" spans="1:33" x14ac:dyDescent="0.25">
      <c r="A7" s="3" t="s">
        <v>93</v>
      </c>
      <c r="B7" s="3" t="s">
        <v>254</v>
      </c>
      <c r="C7" s="3" t="s">
        <v>166</v>
      </c>
      <c r="D7" s="224">
        <v>3460</v>
      </c>
      <c r="E7" s="224">
        <v>28</v>
      </c>
      <c r="F7" s="224">
        <v>101</v>
      </c>
      <c r="G7" s="224">
        <v>0</v>
      </c>
      <c r="H7" s="225">
        <v>14703</v>
      </c>
      <c r="I7" s="224">
        <v>1730</v>
      </c>
      <c r="J7" s="224">
        <v>0</v>
      </c>
      <c r="K7" s="224">
        <v>0</v>
      </c>
      <c r="L7" s="224">
        <v>0</v>
      </c>
      <c r="M7" s="225">
        <v>7256</v>
      </c>
      <c r="N7" s="224">
        <v>1422</v>
      </c>
      <c r="O7" s="224">
        <v>23</v>
      </c>
      <c r="P7" s="224">
        <v>41</v>
      </c>
      <c r="Q7" s="224">
        <v>0</v>
      </c>
      <c r="R7" s="225">
        <v>1542</v>
      </c>
      <c r="S7" s="224">
        <v>0</v>
      </c>
      <c r="T7" s="224">
        <v>0</v>
      </c>
      <c r="U7" s="224">
        <v>0</v>
      </c>
      <c r="V7" s="224">
        <v>0</v>
      </c>
      <c r="W7" s="225">
        <v>5532</v>
      </c>
      <c r="X7" s="224">
        <v>308</v>
      </c>
      <c r="Y7" s="224">
        <v>5</v>
      </c>
      <c r="Z7" s="224">
        <v>60</v>
      </c>
      <c r="AA7" s="224">
        <v>0</v>
      </c>
      <c r="AB7" s="225">
        <v>373</v>
      </c>
      <c r="AC7" s="224">
        <v>0</v>
      </c>
      <c r="AD7" s="224">
        <v>0</v>
      </c>
      <c r="AE7" s="224">
        <v>0</v>
      </c>
      <c r="AF7" s="224">
        <v>0</v>
      </c>
      <c r="AG7" s="225">
        <v>0</v>
      </c>
    </row>
    <row r="8" spans="1:33" x14ac:dyDescent="0.25">
      <c r="A8" s="3" t="s">
        <v>106</v>
      </c>
      <c r="B8" s="3" t="s">
        <v>254</v>
      </c>
      <c r="C8" s="3" t="s">
        <v>166</v>
      </c>
      <c r="D8" s="224">
        <v>-6</v>
      </c>
      <c r="E8" s="224">
        <v>0</v>
      </c>
      <c r="F8" s="224">
        <v>0</v>
      </c>
      <c r="G8" s="224">
        <v>0</v>
      </c>
      <c r="H8" s="225">
        <v>-25</v>
      </c>
      <c r="I8" s="224">
        <v>-3</v>
      </c>
      <c r="J8" s="224">
        <v>0</v>
      </c>
      <c r="K8" s="224">
        <v>0</v>
      </c>
      <c r="L8" s="224">
        <v>0</v>
      </c>
      <c r="M8" s="225">
        <v>-12</v>
      </c>
      <c r="N8" s="224">
        <v>-3</v>
      </c>
      <c r="O8" s="224">
        <v>0</v>
      </c>
      <c r="P8" s="224">
        <v>0</v>
      </c>
      <c r="Q8" s="224">
        <v>0</v>
      </c>
      <c r="R8" s="225">
        <v>-3</v>
      </c>
      <c r="S8" s="224">
        <v>0</v>
      </c>
      <c r="T8" s="224">
        <v>0</v>
      </c>
      <c r="U8" s="224">
        <v>0</v>
      </c>
      <c r="V8" s="224">
        <v>0</v>
      </c>
      <c r="W8" s="225">
        <v>-10</v>
      </c>
      <c r="X8" s="224">
        <v>0</v>
      </c>
      <c r="Y8" s="224">
        <v>0</v>
      </c>
      <c r="Z8" s="224">
        <v>0</v>
      </c>
      <c r="AA8" s="224">
        <v>0</v>
      </c>
      <c r="AB8" s="225">
        <v>0</v>
      </c>
      <c r="AC8" s="224">
        <v>0</v>
      </c>
      <c r="AD8" s="224">
        <v>0</v>
      </c>
      <c r="AE8" s="224">
        <v>0</v>
      </c>
      <c r="AF8" s="224">
        <v>0</v>
      </c>
      <c r="AG8" s="225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AE8DA73ACF47887ABF5766F764C4" ma:contentTypeVersion="32" ma:contentTypeDescription="Create a new document." ma:contentTypeScope="" ma:versionID="e7ed0f418b4ffd9c81584811547568f1">
  <xsd:schema xmlns:xsd="http://www.w3.org/2001/XMLSchema" xmlns:xs="http://www.w3.org/2001/XMLSchema" xmlns:p="http://schemas.microsoft.com/office/2006/metadata/properties" xmlns:ns2="57eac799-efcb-4d1c-ba4e-d87d91411bd9" xmlns:ns3="9061d379-cc22-46b7-8309-c6a5eeeea005" xmlns:ns4="d9d10933-f818-419e-96d6-3ad31ec1fc94" targetNamespace="http://schemas.microsoft.com/office/2006/metadata/properties" ma:root="true" ma:fieldsID="c6866f15df6c628822ac19cea1627120" ns2:_="" ns3:_="" ns4:_="">
    <xsd:import namespace="57eac799-efcb-4d1c-ba4e-d87d91411bd9"/>
    <xsd:import namespace="9061d379-cc22-46b7-8309-c6a5eeeea005"/>
    <xsd:import namespace="d9d10933-f818-419e-96d6-3ad31ec1fc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c799-efcb-4d1c-ba4e-d87d91411b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1d379-cc22-46b7-8309-c6a5eeeea005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10933-f818-419e-96d6-3ad31ec1fc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b35fa5-ecd2-47ff-96b7-7e8c41270559}" ma:internalName="TaxCatchAll" ma:showField="CatchAllData" ma:web="d9d10933-f818-419e-96d6-3ad31ec1f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10933-f818-419e-96d6-3ad31ec1fc94" xsi:nil="true"/>
    <lcf76f155ced4ddcb4097134ff3c332f xmlns="9061d379-cc22-46b7-8309-c6a5eeeea0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55FEA7-1A20-480E-B025-9A8F25B7A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05E93-650C-45D3-B776-34C4A465D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c799-efcb-4d1c-ba4e-d87d91411bd9"/>
    <ds:schemaRef ds:uri="9061d379-cc22-46b7-8309-c6a5eeeea005"/>
    <ds:schemaRef ds:uri="d9d10933-f818-419e-96d6-3ad31ec1f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3DE468-249E-4370-8F1B-32C291DFA024}">
  <ds:schemaRefs>
    <ds:schemaRef ds:uri="http://purl.org/dc/dcmitype/"/>
    <ds:schemaRef ds:uri="http://schemas.microsoft.com/office/infopath/2007/PartnerControls"/>
    <ds:schemaRef ds:uri="9061d379-cc22-46b7-8309-c6a5eeeea005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d9d10933-f818-419e-96d6-3ad31ec1fc94"/>
    <ds:schemaRef ds:uri="57eac799-efcb-4d1c-ba4e-d87d91411b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TOC</vt:lpstr>
      <vt:lpstr>SFY 23-24 Q1 Share Summary</vt:lpstr>
      <vt:lpstr>SFY 23-24 Q1 Share by Project</vt:lpstr>
      <vt:lpstr>SFY 23-24 Q1 Share Calculations</vt:lpstr>
      <vt:lpstr>1a SFY 23-24 Q1 ABAWD</vt:lpstr>
      <vt:lpstr>2a SFY 23-24 Q1 CalSAWS </vt:lpstr>
      <vt:lpstr>2b SFY 23-24 Q1 CalSAWS MO</vt:lpstr>
      <vt:lpstr>2c SFY 2223 Q1 Adj-Late CalSAWS</vt:lpstr>
      <vt:lpstr>2d SFY 22-23 Q1 Adj-Late MO</vt:lpstr>
      <vt:lpstr>3a SFY 23-24 Q1 CalWIN MO</vt:lpstr>
      <vt:lpstr>3b SFY 22-23 Q1 Adj-Late MO</vt:lpstr>
      <vt:lpstr>4a 58C 20-21 Persons Count</vt:lpstr>
      <vt:lpstr>4b 58C 21-22 Persons Count</vt:lpstr>
      <vt:lpstr>5a SFY 2223 CalWIN MO Share Tbl</vt:lpstr>
      <vt:lpstr>5b SFY 2324 CalWIN MO Share Tbl</vt:lpstr>
      <vt:lpstr>'5a SFY 2223 CalWIN MO Share Tbl'!Print_Area</vt:lpstr>
      <vt:lpstr>'5b SFY 2324 CalWIN MO Share Tbl'!Print_Area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Britt Carlsen</cp:lastModifiedBy>
  <cp:revision/>
  <dcterms:created xsi:type="dcterms:W3CDTF">2022-05-09T23:31:01Z</dcterms:created>
  <dcterms:modified xsi:type="dcterms:W3CDTF">2023-11-09T23:18:20Z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0x010100AEFAAE8DA73ACF47887ABF5766F764C4</vt:lpwstr>
  </property>
  <property fmtid="{D5CDD505-2E9C-101B-9397-08002B2CF9AE}" pid="3" name="MediaServiceImageTags">
    <vt:lpwstr/>
  </property>
</Properties>
</file>