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8_{6A45FEDC-CD55-4A40-B685-4C80C7415CDE}" xr6:coauthVersionLast="47" xr6:coauthVersionMax="47" xr10:uidLastSave="{00000000-0000-0000-0000-000000000000}"/>
  <bookViews>
    <workbookView xWindow="-110" yWindow="-110" windowWidth="19420" windowHeight="12300" tabRatio="840" activeTab="2" xr2:uid="{00000000-000D-0000-FFFF-FFFF00000000}"/>
  </bookViews>
  <sheets>
    <sheet name=" Master" sheetId="8" r:id="rId1"/>
    <sheet name="Summary Total" sheetId="1" r:id="rId2"/>
    <sheet name="Overall Proposal Scores" sheetId="11" r:id="rId3"/>
    <sheet name="Price Score" sheetId="2" r:id="rId4"/>
    <sheet name="Price Summary" sheetId="22" r:id="rId5"/>
    <sheet name="Price Details" sheetId="27" r:id="rId6"/>
    <sheet name="Business Score" sheetId="3" r:id="rId7"/>
    <sheet name="Firm References" sheetId="26" r:id="rId8"/>
    <sheet name="Staff Quals &amp; Experience" sheetId="25" r:id="rId9"/>
    <sheet name="KSIs and Orals" sheetId="24" r:id="rId10"/>
    <sheet name="Understanding &amp; Approach" sheetId="18" r:id="rId11"/>
    <sheet name="U&amp;A Requirement Detail" sheetId="23" r:id="rId12"/>
    <sheet name="Requirements Summary" sheetId="1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6" l="1"/>
  <c r="E15" i="25"/>
  <c r="D15" i="25"/>
  <c r="C15" i="25"/>
  <c r="D6" i="26" l="1"/>
  <c r="B6" i="26"/>
  <c r="D18" i="24" l="1"/>
  <c r="C18" i="24"/>
  <c r="B18" i="24"/>
  <c r="D17" i="27"/>
  <c r="D15" i="27"/>
  <c r="D13" i="27"/>
  <c r="D11" i="27"/>
  <c r="D4" i="27"/>
  <c r="D5" i="27"/>
  <c r="D6" i="27"/>
  <c r="D7" i="27"/>
  <c r="D3" i="27"/>
  <c r="C17" i="27" l="1"/>
  <c r="C15" i="27"/>
  <c r="C13" i="27"/>
  <c r="C11" i="27"/>
  <c r="C4" i="27"/>
  <c r="C5" i="27"/>
  <c r="C6" i="27"/>
  <c r="C7" i="27"/>
  <c r="C3" i="27"/>
  <c r="B17" i="27" l="1"/>
  <c r="B15" i="27"/>
  <c r="B13" i="27"/>
  <c r="B11" i="27"/>
  <c r="B7" i="27"/>
  <c r="B6" i="27"/>
  <c r="B5" i="27"/>
  <c r="B4" i="27"/>
  <c r="B3" i="27"/>
  <c r="D19" i="24" l="1"/>
  <c r="D11" i="24"/>
  <c r="D10" i="24"/>
  <c r="D9" i="24"/>
  <c r="D8" i="24"/>
  <c r="D7" i="24"/>
  <c r="D6" i="24"/>
  <c r="D5" i="24"/>
  <c r="D4" i="24"/>
  <c r="D3" i="24"/>
  <c r="D13" i="24" s="1"/>
  <c r="C19" i="24"/>
  <c r="C11" i="24"/>
  <c r="C10" i="24"/>
  <c r="C9" i="24"/>
  <c r="C8" i="24"/>
  <c r="C7" i="24"/>
  <c r="C6" i="24"/>
  <c r="C5" i="24"/>
  <c r="C4" i="24"/>
  <c r="C3" i="24"/>
  <c r="D17" i="24"/>
  <c r="B19" i="24"/>
  <c r="B20" i="24" s="1"/>
  <c r="D4" i="3" s="1"/>
  <c r="B6" i="24"/>
  <c r="B5" i="24"/>
  <c r="B4" i="24"/>
  <c r="B3" i="24"/>
  <c r="B8" i="24"/>
  <c r="B9" i="24"/>
  <c r="B10" i="24"/>
  <c r="B11" i="24"/>
  <c r="B7" i="24"/>
  <c r="E11" i="25"/>
  <c r="E10" i="25"/>
  <c r="E9" i="25"/>
  <c r="E8" i="25"/>
  <c r="E7" i="25"/>
  <c r="E6" i="25"/>
  <c r="E5" i="25"/>
  <c r="E4" i="25"/>
  <c r="E3" i="25"/>
  <c r="D11" i="25"/>
  <c r="D10" i="25"/>
  <c r="D9" i="25"/>
  <c r="D8" i="25"/>
  <c r="D7" i="25"/>
  <c r="D6" i="25"/>
  <c r="D5" i="25"/>
  <c r="D4" i="25"/>
  <c r="D3" i="25"/>
  <c r="C11" i="25"/>
  <c r="C10" i="25"/>
  <c r="C9" i="25"/>
  <c r="C8" i="25"/>
  <c r="C7" i="25"/>
  <c r="C6" i="25"/>
  <c r="C5" i="25"/>
  <c r="C4" i="25"/>
  <c r="C3" i="25"/>
  <c r="C13" i="25" s="1"/>
  <c r="C17" i="25" s="1"/>
  <c r="C19" i="25" s="1"/>
  <c r="N5" i="23"/>
  <c r="M5" i="23"/>
  <c r="L5" i="23"/>
  <c r="O5" i="23" s="1"/>
  <c r="J5" i="23"/>
  <c r="I5" i="23"/>
  <c r="H5" i="23"/>
  <c r="K5" i="23" s="1"/>
  <c r="F5" i="23"/>
  <c r="E5" i="23"/>
  <c r="G5" i="23" s="1"/>
  <c r="C5" i="23"/>
  <c r="B5" i="23"/>
  <c r="N4" i="23"/>
  <c r="M4" i="23"/>
  <c r="L4" i="23"/>
  <c r="O4" i="23" s="1"/>
  <c r="J4" i="23"/>
  <c r="I4" i="23"/>
  <c r="H4" i="23"/>
  <c r="F4" i="23"/>
  <c r="E4" i="23"/>
  <c r="G4" i="23" s="1"/>
  <c r="C4" i="23"/>
  <c r="B4" i="23"/>
  <c r="D4" i="23" s="1"/>
  <c r="N3" i="23"/>
  <c r="M3" i="23"/>
  <c r="L3" i="23"/>
  <c r="J3" i="23"/>
  <c r="I3" i="23"/>
  <c r="H3" i="23"/>
  <c r="F3" i="23"/>
  <c r="E3" i="23"/>
  <c r="C3" i="23"/>
  <c r="B3" i="23"/>
  <c r="D3" i="23" s="1"/>
  <c r="D4" i="26"/>
  <c r="D3" i="26"/>
  <c r="C5" i="26"/>
  <c r="C4" i="26"/>
  <c r="B4" i="26"/>
  <c r="C3" i="26"/>
  <c r="B3" i="26"/>
  <c r="D2" i="27"/>
  <c r="C2" i="27"/>
  <c r="B2" i="27"/>
  <c r="D9" i="27"/>
  <c r="C9" i="27"/>
  <c r="B9" i="27"/>
  <c r="C3" i="11"/>
  <c r="E13" i="25" l="1"/>
  <c r="E17" i="25" s="1"/>
  <c r="E19" i="25" s="1"/>
  <c r="C13" i="24"/>
  <c r="D5" i="23"/>
  <c r="P5" i="23" s="1"/>
  <c r="O3" i="23"/>
  <c r="G3" i="23"/>
  <c r="P3" i="23" s="1"/>
  <c r="K3" i="23"/>
  <c r="K4" i="23"/>
  <c r="B13" i="24"/>
  <c r="P4" i="23"/>
  <c r="D13" i="25"/>
  <c r="D17" i="25" s="1"/>
  <c r="D19" i="25" s="1"/>
  <c r="C3" i="22"/>
  <c r="E3" i="22" s="1"/>
  <c r="F3" i="22" s="1"/>
  <c r="C4" i="22"/>
  <c r="E4" i="22" s="1"/>
  <c r="F4" i="22" s="1"/>
  <c r="C5" i="22"/>
  <c r="E5" i="22" s="1"/>
  <c r="F5" i="22" s="1"/>
  <c r="D1" i="24"/>
  <c r="E1" i="25"/>
  <c r="D8" i="8"/>
  <c r="E2" i="25"/>
  <c r="D2" i="25"/>
  <c r="C2" i="25"/>
  <c r="E8" i="11" l="1"/>
  <c r="D2" i="24"/>
  <c r="C2" i="24"/>
  <c r="B2" i="24"/>
  <c r="A4" i="23"/>
  <c r="A5" i="23"/>
  <c r="A3" i="23"/>
  <c r="B4" i="22"/>
  <c r="B5" i="22"/>
  <c r="B3" i="22"/>
  <c r="D2" i="26"/>
  <c r="C2" i="26"/>
  <c r="B2" i="26"/>
  <c r="D8" i="26"/>
  <c r="B6" i="3" s="1"/>
  <c r="C8" i="26"/>
  <c r="B5" i="3" s="1"/>
  <c r="B8" i="26"/>
  <c r="B4" i="3" s="1"/>
  <c r="B2" i="3"/>
  <c r="C4" i="11"/>
  <c r="C5" i="11"/>
  <c r="C6" i="11"/>
  <c r="C7" i="11"/>
  <c r="B3" i="11"/>
  <c r="G3" i="11" l="1"/>
  <c r="I3" i="11"/>
  <c r="H3" i="11"/>
  <c r="D2" i="11"/>
  <c r="E3" i="19"/>
  <c r="D3" i="19"/>
  <c r="C3" i="19"/>
  <c r="C20" i="24"/>
  <c r="D5" i="3" s="1"/>
  <c r="D20" i="24"/>
  <c r="D6" i="3" s="1"/>
  <c r="D15" i="24"/>
  <c r="E6" i="3" s="1"/>
  <c r="C15" i="24"/>
  <c r="E5" i="3" s="1"/>
  <c r="B15" i="24"/>
  <c r="E4" i="3" s="1"/>
  <c r="I6" i="18" l="1"/>
  <c r="J6" i="18" s="1"/>
  <c r="E5" i="19"/>
  <c r="C6" i="18"/>
  <c r="D6" i="18" s="1"/>
  <c r="B5" i="19"/>
  <c r="C4" i="19"/>
  <c r="E5" i="18"/>
  <c r="F5" i="18" s="1"/>
  <c r="E6" i="18"/>
  <c r="F6" i="18" s="1"/>
  <c r="C5" i="19"/>
  <c r="E4" i="19"/>
  <c r="I5" i="18"/>
  <c r="J5" i="18" s="1"/>
  <c r="B4" i="19"/>
  <c r="C5" i="18"/>
  <c r="D5" i="18" s="1"/>
  <c r="G5" i="18"/>
  <c r="H5" i="18" s="1"/>
  <c r="D4" i="19"/>
  <c r="G6" i="18"/>
  <c r="H6" i="18" s="1"/>
  <c r="D5" i="19"/>
  <c r="C4" i="18"/>
  <c r="D4" i="18" s="1"/>
  <c r="B3" i="19"/>
  <c r="F3" i="19" s="1"/>
  <c r="I4" i="18"/>
  <c r="J4" i="18" s="1"/>
  <c r="E4" i="18"/>
  <c r="F4" i="18" s="1"/>
  <c r="G4" i="18"/>
  <c r="H4" i="18" s="1"/>
  <c r="C6" i="3"/>
  <c r="C5" i="3"/>
  <c r="C4" i="3"/>
  <c r="F5" i="19" l="1"/>
  <c r="F4" i="19"/>
  <c r="B5" i="2"/>
  <c r="B6" i="2"/>
  <c r="B4" i="2"/>
  <c r="C7" i="22" l="1"/>
  <c r="C8" i="22" s="1"/>
  <c r="I1" i="11"/>
  <c r="A5" i="2" l="1"/>
  <c r="A6" i="2"/>
  <c r="A4" i="2"/>
  <c r="A3" i="1"/>
  <c r="A4" i="1"/>
  <c r="A2" i="1"/>
  <c r="A4" i="19"/>
  <c r="A5" i="19"/>
  <c r="A3" i="19"/>
  <c r="F3" i="3" l="1"/>
  <c r="E3" i="3"/>
  <c r="D3" i="3"/>
  <c r="C3" i="3"/>
  <c r="B5" i="11"/>
  <c r="B6" i="11"/>
  <c r="B7" i="11"/>
  <c r="B4" i="11"/>
  <c r="A6" i="18"/>
  <c r="A6" i="3"/>
  <c r="K5" i="18" l="1"/>
  <c r="K4" i="18"/>
  <c r="K6" i="18"/>
  <c r="B4" i="18" l="1"/>
  <c r="F4" i="3"/>
  <c r="B6" i="18"/>
  <c r="F5" i="3"/>
  <c r="G5" i="3" s="1"/>
  <c r="B5" i="18"/>
  <c r="F6" i="3"/>
  <c r="G6" i="3" s="1"/>
  <c r="G4" i="3" l="1"/>
  <c r="B9" i="2" l="1"/>
  <c r="B8" i="2"/>
  <c r="D6" i="2" l="1"/>
  <c r="D5" i="2"/>
  <c r="D4" i="2"/>
  <c r="H1" i="11"/>
  <c r="G1" i="11"/>
  <c r="B1" i="18" l="1"/>
  <c r="I7" i="11" l="1"/>
  <c r="E14" i="11" l="1"/>
  <c r="D12" i="11"/>
  <c r="E10" i="11" l="1"/>
  <c r="D15" i="11"/>
  <c r="E15" i="11" l="1"/>
  <c r="F2" i="3" l="1"/>
  <c r="E2" i="3"/>
  <c r="D2" i="3"/>
  <c r="C2" i="3"/>
  <c r="D12" i="8"/>
  <c r="B11" i="2" l="1"/>
  <c r="B12" i="2" s="1"/>
  <c r="A5" i="18"/>
  <c r="A4" i="18"/>
  <c r="A5" i="3"/>
  <c r="A4" i="3"/>
  <c r="D19" i="27"/>
  <c r="C19" i="27"/>
  <c r="G7" i="11"/>
  <c r="C2" i="1" l="1"/>
  <c r="B19" i="27"/>
  <c r="I5" i="11"/>
  <c r="C3" i="1"/>
  <c r="H13" i="11"/>
  <c r="H14" i="11" s="1"/>
  <c r="C4" i="1"/>
  <c r="I13" i="11"/>
  <c r="I14" i="11" s="1"/>
  <c r="I6" i="11"/>
  <c r="G5" i="11"/>
  <c r="H5" i="11"/>
  <c r="H4" i="11"/>
  <c r="G4" i="11"/>
  <c r="G13" i="11"/>
  <c r="G14" i="11" s="1"/>
  <c r="H7" i="11"/>
  <c r="I4" i="11" l="1"/>
  <c r="I8" i="11" s="1"/>
  <c r="H6" i="11"/>
  <c r="H8" i="11" s="1"/>
  <c r="G6" i="11"/>
  <c r="G8" i="11" s="1"/>
  <c r="G9" i="3" l="1"/>
  <c r="G8" i="3"/>
  <c r="H6" i="3" l="1"/>
  <c r="H4" i="3"/>
  <c r="H5" i="3"/>
  <c r="J4" i="3" s="1"/>
  <c r="J6" i="3"/>
  <c r="B4" i="1"/>
  <c r="I10" i="11"/>
  <c r="I15" i="11" s="1"/>
  <c r="G10" i="11"/>
  <c r="G15" i="11" s="1"/>
  <c r="B3" i="1"/>
  <c r="B2" i="1"/>
  <c r="H10" i="11"/>
  <c r="H15" i="11" s="1"/>
  <c r="H11" i="3" l="1"/>
  <c r="H10" i="3"/>
  <c r="J5" i="3"/>
  <c r="H17" i="11"/>
  <c r="D4" i="1"/>
  <c r="D3" i="1"/>
  <c r="D2" i="1"/>
  <c r="E3" i="1" l="1"/>
  <c r="E2" i="1"/>
  <c r="E4" i="1"/>
</calcChain>
</file>

<file path=xl/sharedStrings.xml><?xml version="1.0" encoding="utf-8"?>
<sst xmlns="http://schemas.openxmlformats.org/spreadsheetml/2006/main" count="152" uniqueCount="123">
  <si>
    <t>Vendors</t>
  </si>
  <si>
    <t>Proposal Evaluation Weight Distribution</t>
  </si>
  <si>
    <t>Firm Qualifications</t>
  </si>
  <si>
    <t>Staff Qualifications and Experience</t>
  </si>
  <si>
    <t>Oral Presentations</t>
  </si>
  <si>
    <t>Key Staff Interviews</t>
  </si>
  <si>
    <t>Understanding and Approach</t>
  </si>
  <si>
    <t>Business Proposal Weight</t>
  </si>
  <si>
    <t>Price Proposal Weight</t>
  </si>
  <si>
    <t>Total</t>
  </si>
  <si>
    <t>Business Score: 70%</t>
  </si>
  <si>
    <t>Price Score: 
30%</t>
  </si>
  <si>
    <t>Total Score</t>
  </si>
  <si>
    <t>Rank</t>
  </si>
  <si>
    <t>Category/Subcategory</t>
  </si>
  <si>
    <t>Subcategory Weight</t>
  </si>
  <si>
    <t>Overall Weight</t>
  </si>
  <si>
    <t>Total Possible Points</t>
  </si>
  <si>
    <t>Business Proposal</t>
  </si>
  <si>
    <t>Business Proposal Raw Scores</t>
  </si>
  <si>
    <t>Business Proposal Normalized Scores</t>
  </si>
  <si>
    <t>Price Proposal</t>
  </si>
  <si>
    <t>Price Proposal Scores</t>
  </si>
  <si>
    <t>Business Proposal + Price Proposal Total</t>
  </si>
  <si>
    <t>Price Score</t>
  </si>
  <si>
    <t>Maximum Price Points</t>
  </si>
  <si>
    <t>Vendor</t>
  </si>
  <si>
    <t>Average Annual Price</t>
  </si>
  <si>
    <t>Lowest Price</t>
  </si>
  <si>
    <t>Highest Price</t>
  </si>
  <si>
    <t>Highest to Lowest</t>
  </si>
  <si>
    <t>% Highest to Lowest</t>
  </si>
  <si>
    <t>BenefitsCal Price Summary Comparison</t>
  </si>
  <si>
    <t>High to Low Difference</t>
  </si>
  <si>
    <t>High to Low Diff Annual</t>
  </si>
  <si>
    <t>Business Proposal Score</t>
  </si>
  <si>
    <t>Maximum Business Points</t>
  </si>
  <si>
    <t>Total Raw Business Score</t>
  </si>
  <si>
    <t>Total Normalized Business Score</t>
  </si>
  <si>
    <t>Maximum Raw Score</t>
  </si>
  <si>
    <t>Minimum Raw Score</t>
  </si>
  <si>
    <t xml:space="preserve">Firm References </t>
  </si>
  <si>
    <t>Weight</t>
  </si>
  <si>
    <t>Firm Reference #1</t>
  </si>
  <si>
    <t>Firm Reference #2</t>
  </si>
  <si>
    <t>Average Firm Reference Rating</t>
  </si>
  <si>
    <t>Firm Reference Weighted Score</t>
  </si>
  <si>
    <t>Project Manager</t>
  </si>
  <si>
    <t>PMO Lead</t>
  </si>
  <si>
    <t>Transition Lead</t>
  </si>
  <si>
    <t>Application Manager</t>
  </si>
  <si>
    <t>Product Manager</t>
  </si>
  <si>
    <t>User Centered Design Lead</t>
  </si>
  <si>
    <t>Testing Manager</t>
  </si>
  <si>
    <t>Public Communication Lead</t>
  </si>
  <si>
    <t>Security Manager</t>
  </si>
  <si>
    <t>Average Key Staff Reference Score</t>
  </si>
  <si>
    <t>Key Staff Position</t>
  </si>
  <si>
    <t>Staff Quals &amp; Experience Weighted Score</t>
  </si>
  <si>
    <t xml:space="preserve"> Rank</t>
  </si>
  <si>
    <t>Average Key Staff Interviews Rating</t>
  </si>
  <si>
    <t>Oral Presentation Weighted Score</t>
  </si>
  <si>
    <t>Understanding and Approach Scores</t>
  </si>
  <si>
    <t>U&amp;A-1</t>
  </si>
  <si>
    <t>U&amp;A-2</t>
  </si>
  <si>
    <t>U&amp;A-3</t>
  </si>
  <si>
    <t>U&amp;A-4</t>
  </si>
  <si>
    <t>U&amp;A-1
Business Points</t>
  </si>
  <si>
    <t>U&amp;A-2
Business Points</t>
  </si>
  <si>
    <t>U&amp;A-3
Business Points</t>
  </si>
  <si>
    <t>U&amp;A-4
Business Points</t>
  </si>
  <si>
    <t>U&amp;A Requirements Detail</t>
  </si>
  <si>
    <t>U&amp;A 2: Software Development</t>
  </si>
  <si>
    <t>U&amp;A 3: Application Evolution and Innovation</t>
  </si>
  <si>
    <t>U&amp;A 4: User Experience, Marketing and Public Communications</t>
  </si>
  <si>
    <t>UA1</t>
  </si>
  <si>
    <t>UA2</t>
  </si>
  <si>
    <t>UA3</t>
  </si>
  <si>
    <t>UA4</t>
  </si>
  <si>
    <t>UA5</t>
  </si>
  <si>
    <t>UA6</t>
  </si>
  <si>
    <t>UA7</t>
  </si>
  <si>
    <t>UA8</t>
  </si>
  <si>
    <t>UA9</t>
  </si>
  <si>
    <t>UA10</t>
  </si>
  <si>
    <t>Gainwell</t>
  </si>
  <si>
    <t>Accenture</t>
  </si>
  <si>
    <t>Deloitte</t>
  </si>
  <si>
    <t>U&amp;A Requirements Summary</t>
  </si>
  <si>
    <t>U&amp;A-1 Average</t>
  </si>
  <si>
    <t>U&amp;A-2 Average</t>
  </si>
  <si>
    <t>U&amp;A-3 Average</t>
  </si>
  <si>
    <t>U&amp;A-4 Average</t>
  </si>
  <si>
    <t>U&amp;A-1: Integrated Multi-Contractor Environment</t>
  </si>
  <si>
    <t>Base Period: Excluding Deliverables Paid During the Transition-In Period</t>
  </si>
  <si>
    <t>Total Weighted Price Score</t>
  </si>
  <si>
    <t>Base Period Contract Term Price Excluding Deliverables Paid During the Transition-In Period Subtotal: Evaluated Price</t>
  </si>
  <si>
    <t>BenefitsCal Base Period Contract Term Price Subtotal</t>
  </si>
  <si>
    <t>BenefitsCal Four 1-Year Optional Extensions Price Subtotal</t>
  </si>
  <si>
    <t>BenefitsCal Maximum Price Including Four 1-Year Optional Extensions</t>
  </si>
  <si>
    <t>BenefitsCal Price Score</t>
  </si>
  <si>
    <t>BenefitsCal Price Schedule Line Items</t>
  </si>
  <si>
    <t>BenefitsCal Transition-In Deliverables</t>
  </si>
  <si>
    <t>BenefitsCal Base Deliverables</t>
  </si>
  <si>
    <t>BenefitsCal Other Price</t>
  </si>
  <si>
    <t>BenefitsCal Services: March 2026 - July 2031</t>
  </si>
  <si>
    <t>BenefitsCal Software</t>
  </si>
  <si>
    <t>BenefitsCal 6-Month Transition-In + Base Period 5-Year &amp; 5-Month Contract Term Price Subtotal</t>
  </si>
  <si>
    <t>Average Monthly Price</t>
  </si>
  <si>
    <t>Base Contract Exluding Deliverables Paid During Transition-In</t>
  </si>
  <si>
    <t>Convert 5 Years + 5 Months</t>
  </si>
  <si>
    <t>Firm Reference #3</t>
  </si>
  <si>
    <t>Oral Presentation Score</t>
  </si>
  <si>
    <t>Key Staff Interviews Weighted Score</t>
  </si>
  <si>
    <t>Overall U&amp;A Average</t>
  </si>
  <si>
    <t>BenefitsCal M&amp;O Price Points</t>
  </si>
  <si>
    <t>Business Score Difference Between 1st and Last Place</t>
  </si>
  <si>
    <t>% Difference Between 1st and Last Place</t>
  </si>
  <si>
    <t>Oral Presentation</t>
  </si>
  <si>
    <t>Difference Between First and Second Place</t>
  </si>
  <si>
    <t>Total Score = Staff Quals &amp; Experience Score * Average Key Staff Reference Score</t>
  </si>
  <si>
    <t>Average Key Staff Qualifications &amp; Experience Score</t>
  </si>
  <si>
    <t>Total U&amp;A Business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</si>
</sst>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  <numFmt numFmtId="167" formatCode="_(* #,##0.0_);_(* \(#,##0.0\);_(* &quot;-&quot;?_);_(@_)"/>
    <numFmt numFmtId="168" formatCode="_(* #,##0.00_);_(* \(#,##0.00\);_(* &quot;-&quot;?_);_(@_)"/>
    <numFmt numFmtId="169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2"/>
    </font>
    <font>
      <sz val="11"/>
      <color rgb="FF0070C0"/>
      <name val="Century Gothic"/>
      <family val="2"/>
    </font>
    <font>
      <sz val="8"/>
      <name val="Calibri"/>
      <family val="2"/>
      <scheme val="minor"/>
    </font>
    <font>
      <strike/>
      <sz val="11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17A84"/>
        <bgColor indexed="64"/>
      </patternFill>
    </fill>
    <fill>
      <patternFill patternType="solid">
        <fgColor rgb="FFDEECEF"/>
        <bgColor indexed="64"/>
      </patternFill>
    </fill>
    <fill>
      <patternFill patternType="solid">
        <fgColor rgb="FF417B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2" fillId="2" borderId="1" xfId="0" applyFont="1" applyFill="1" applyBorder="1"/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wrapText="1"/>
    </xf>
    <xf numFmtId="44" fontId="3" fillId="0" borderId="0" xfId="0" applyNumberFormat="1" applyFont="1"/>
    <xf numFmtId="0" fontId="2" fillId="0" borderId="0" xfId="0" applyFont="1" applyAlignment="1">
      <alignment horizontal="center" wrapText="1"/>
    </xf>
    <xf numFmtId="165" fontId="3" fillId="0" borderId="0" xfId="1" applyNumberFormat="1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2" xfId="0" applyFont="1" applyBorder="1"/>
    <xf numFmtId="166" fontId="3" fillId="0" borderId="0" xfId="3" applyNumberFormat="1" applyFont="1"/>
    <xf numFmtId="10" fontId="3" fillId="0" borderId="0" xfId="3" applyNumberFormat="1" applyFont="1"/>
    <xf numFmtId="0" fontId="3" fillId="0" borderId="7" xfId="0" applyFont="1" applyBorder="1"/>
    <xf numFmtId="169" fontId="3" fillId="0" borderId="1" xfId="2" applyNumberFormat="1" applyFont="1" applyFill="1" applyBorder="1"/>
    <xf numFmtId="169" fontId="3" fillId="0" borderId="0" xfId="0" applyNumberFormat="1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2" xfId="0" applyFont="1" applyFill="1" applyBorder="1"/>
    <xf numFmtId="0" fontId="3" fillId="0" borderId="8" xfId="0" applyFont="1" applyBorder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 vertical="top" wrapText="1"/>
    </xf>
    <xf numFmtId="2" fontId="3" fillId="0" borderId="0" xfId="0" applyNumberFormat="1" applyFont="1"/>
    <xf numFmtId="43" fontId="3" fillId="0" borderId="0" xfId="0" applyNumberFormat="1" applyFont="1"/>
    <xf numFmtId="0" fontId="3" fillId="2" borderId="1" xfId="0" applyFont="1" applyFill="1" applyBorder="1" applyAlignment="1">
      <alignment wrapText="1"/>
    </xf>
    <xf numFmtId="0" fontId="6" fillId="0" borderId="0" xfId="0" applyFont="1" applyAlignment="1">
      <alignment horizontal="left" wrapText="1"/>
    </xf>
    <xf numFmtId="9" fontId="3" fillId="0" borderId="0" xfId="3" applyFont="1"/>
    <xf numFmtId="169" fontId="3" fillId="0" borderId="2" xfId="0" applyNumberFormat="1" applyFont="1" applyBorder="1"/>
    <xf numFmtId="0" fontId="3" fillId="0" borderId="3" xfId="0" applyFont="1" applyBorder="1"/>
    <xf numFmtId="0" fontId="3" fillId="0" borderId="1" xfId="0" applyFont="1" applyBorder="1" applyAlignment="1">
      <alignment vertical="top"/>
    </xf>
    <xf numFmtId="169" fontId="3" fillId="0" borderId="1" xfId="2" applyNumberFormat="1" applyFont="1" applyFill="1" applyBorder="1" applyAlignment="1">
      <alignment vertical="top"/>
    </xf>
    <xf numFmtId="0" fontId="3" fillId="0" borderId="9" xfId="0" applyFont="1" applyBorder="1"/>
    <xf numFmtId="0" fontId="3" fillId="2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42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0" fontId="3" fillId="0" borderId="0" xfId="3" applyNumberFormat="1" applyFont="1" applyFill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2" fontId="3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2" fontId="3" fillId="0" borderId="1" xfId="3" applyNumberFormat="1" applyFont="1" applyFill="1" applyBorder="1" applyAlignment="1">
      <alignment horizontal="center"/>
    </xf>
    <xf numFmtId="42" fontId="3" fillId="0" borderId="1" xfId="3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  <xf numFmtId="166" fontId="3" fillId="2" borderId="1" xfId="3" applyNumberFormat="1" applyFont="1" applyFill="1" applyBorder="1"/>
    <xf numFmtId="166" fontId="3" fillId="2" borderId="4" xfId="0" applyNumberFormat="1" applyFont="1" applyFill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3" fillId="0" borderId="1" xfId="3" applyNumberFormat="1" applyFont="1" applyBorder="1"/>
    <xf numFmtId="0" fontId="3" fillId="0" borderId="11" xfId="0" applyFont="1" applyBorder="1"/>
    <xf numFmtId="0" fontId="5" fillId="6" borderId="13" xfId="0" applyFont="1" applyFill="1" applyBorder="1" applyAlignment="1">
      <alignment horizontal="center" wrapText="1"/>
    </xf>
    <xf numFmtId="0" fontId="10" fillId="5" borderId="13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left" vertical="center" wrapText="1"/>
    </xf>
    <xf numFmtId="166" fontId="10" fillId="5" borderId="13" xfId="0" applyNumberFormat="1" applyFont="1" applyFill="1" applyBorder="1" applyAlignment="1">
      <alignment horizontal="left" vertical="center" wrapText="1"/>
    </xf>
    <xf numFmtId="166" fontId="11" fillId="5" borderId="13" xfId="0" applyNumberFormat="1" applyFont="1" applyFill="1" applyBorder="1" applyAlignment="1">
      <alignment horizontal="center" vertical="center" wrapText="1"/>
    </xf>
    <xf numFmtId="164" fontId="10" fillId="5" borderId="13" xfId="0" applyNumberFormat="1" applyFont="1" applyFill="1" applyBorder="1" applyAlignment="1">
      <alignment horizontal="center" vertical="center" wrapText="1"/>
    </xf>
    <xf numFmtId="166" fontId="10" fillId="3" borderId="13" xfId="0" applyNumberFormat="1" applyFont="1" applyFill="1" applyBorder="1" applyAlignment="1">
      <alignment horizontal="center" wrapText="1"/>
    </xf>
    <xf numFmtId="167" fontId="10" fillId="3" borderId="13" xfId="1" applyNumberFormat="1" applyFont="1" applyFill="1" applyBorder="1" applyAlignment="1">
      <alignment horizontal="center" wrapText="1"/>
    </xf>
    <xf numFmtId="168" fontId="10" fillId="3" borderId="13" xfId="1" applyNumberFormat="1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3" fillId="3" borderId="13" xfId="0" applyFont="1" applyFill="1" applyBorder="1" applyAlignment="1">
      <alignment horizontal="center"/>
    </xf>
    <xf numFmtId="0" fontId="3" fillId="3" borderId="13" xfId="0" applyFont="1" applyFill="1" applyBorder="1"/>
    <xf numFmtId="0" fontId="10" fillId="5" borderId="13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 wrapText="1"/>
    </xf>
    <xf numFmtId="0" fontId="6" fillId="3" borderId="13" xfId="0" applyFont="1" applyFill="1" applyBorder="1" applyAlignment="1">
      <alignment horizontal="center"/>
    </xf>
    <xf numFmtId="0" fontId="6" fillId="2" borderId="13" xfId="0" applyFont="1" applyFill="1" applyBorder="1"/>
    <xf numFmtId="0" fontId="11" fillId="5" borderId="13" xfId="0" applyFont="1" applyFill="1" applyBorder="1" applyAlignment="1">
      <alignment horizontal="center" wrapText="1"/>
    </xf>
    <xf numFmtId="0" fontId="6" fillId="3" borderId="13" xfId="0" applyFont="1" applyFill="1" applyBorder="1"/>
    <xf numFmtId="166" fontId="10" fillId="5" borderId="13" xfId="3" applyNumberFormat="1" applyFont="1" applyFill="1" applyBorder="1" applyAlignment="1">
      <alignment horizontal="center" wrapText="1"/>
    </xf>
    <xf numFmtId="2" fontId="10" fillId="3" borderId="13" xfId="0" applyNumberFormat="1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left" wrapText="1"/>
    </xf>
    <xf numFmtId="2" fontId="11" fillId="3" borderId="13" xfId="0" applyNumberFormat="1" applyFont="1" applyFill="1" applyBorder="1" applyAlignment="1">
      <alignment horizontal="center" wrapText="1"/>
    </xf>
    <xf numFmtId="166" fontId="5" fillId="6" borderId="13" xfId="3" applyNumberFormat="1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0" fontId="3" fillId="2" borderId="0" xfId="0" applyFont="1" applyFill="1"/>
    <xf numFmtId="0" fontId="10" fillId="3" borderId="13" xfId="0" applyFont="1" applyFill="1" applyBorder="1"/>
    <xf numFmtId="2" fontId="10" fillId="3" borderId="13" xfId="0" applyNumberFormat="1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wrapText="1"/>
    </xf>
    <xf numFmtId="9" fontId="10" fillId="3" borderId="13" xfId="3" applyFont="1" applyFill="1" applyBorder="1" applyAlignment="1">
      <alignment horizontal="left" wrapText="1"/>
    </xf>
    <xf numFmtId="166" fontId="10" fillId="3" borderId="13" xfId="3" applyNumberFormat="1" applyFont="1" applyFill="1" applyBorder="1" applyAlignment="1">
      <alignment horizontal="center" wrapText="1"/>
    </xf>
    <xf numFmtId="167" fontId="11" fillId="3" borderId="13" xfId="1" applyNumberFormat="1" applyFont="1" applyFill="1" applyBorder="1" applyAlignment="1">
      <alignment horizontal="center" wrapText="1"/>
    </xf>
    <xf numFmtId="168" fontId="11" fillId="3" borderId="13" xfId="1" applyNumberFormat="1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left" wrapText="1"/>
    </xf>
    <xf numFmtId="166" fontId="10" fillId="5" borderId="13" xfId="0" applyNumberFormat="1" applyFont="1" applyFill="1" applyBorder="1" applyAlignment="1">
      <alignment horizontal="left" wrapText="1"/>
    </xf>
    <xf numFmtId="166" fontId="11" fillId="5" borderId="13" xfId="0" applyNumberFormat="1" applyFont="1" applyFill="1" applyBorder="1" applyAlignment="1">
      <alignment horizontal="center" wrapText="1"/>
    </xf>
    <xf numFmtId="167" fontId="10" fillId="5" borderId="13" xfId="1" applyNumberFormat="1" applyFont="1" applyFill="1" applyBorder="1" applyAlignment="1">
      <alignment horizontal="center" wrapText="1"/>
    </xf>
    <xf numFmtId="167" fontId="11" fillId="5" borderId="13" xfId="1" applyNumberFormat="1" applyFont="1" applyFill="1" applyBorder="1" applyAlignment="1">
      <alignment horizontal="center" wrapText="1"/>
    </xf>
    <xf numFmtId="164" fontId="10" fillId="3" borderId="13" xfId="0" applyNumberFormat="1" applyFont="1" applyFill="1" applyBorder="1" applyAlignment="1">
      <alignment horizontal="center" wrapText="1"/>
    </xf>
    <xf numFmtId="2" fontId="3" fillId="3" borderId="13" xfId="0" applyNumberFormat="1" applyFont="1" applyFill="1" applyBorder="1" applyAlignment="1">
      <alignment horizontal="center"/>
    </xf>
    <xf numFmtId="9" fontId="5" fillId="6" borderId="13" xfId="3" applyFont="1" applyFill="1" applyBorder="1" applyAlignment="1">
      <alignment horizontal="center" wrapText="1"/>
    </xf>
    <xf numFmtId="164" fontId="5" fillId="6" borderId="13" xfId="3" applyNumberFormat="1" applyFont="1" applyFill="1" applyBorder="1" applyAlignment="1">
      <alignment horizontal="center" wrapText="1"/>
    </xf>
    <xf numFmtId="169" fontId="6" fillId="3" borderId="13" xfId="2" applyNumberFormat="1" applyFont="1" applyFill="1" applyBorder="1"/>
    <xf numFmtId="169" fontId="10" fillId="3" borderId="13" xfId="2" applyNumberFormat="1" applyFont="1" applyFill="1" applyBorder="1"/>
    <xf numFmtId="169" fontId="11" fillId="3" borderId="13" xfId="2" applyNumberFormat="1" applyFont="1" applyFill="1" applyBorder="1"/>
    <xf numFmtId="2" fontId="11" fillId="3" borderId="13" xfId="2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168" fontId="11" fillId="0" borderId="13" xfId="1" applyNumberFormat="1" applyFont="1" applyFill="1" applyBorder="1" applyAlignment="1">
      <alignment horizontal="center" wrapText="1"/>
    </xf>
    <xf numFmtId="0" fontId="6" fillId="2" borderId="0" xfId="0" applyFont="1" applyFill="1"/>
    <xf numFmtId="43" fontId="6" fillId="3" borderId="13" xfId="1" applyFont="1" applyFill="1" applyBorder="1"/>
    <xf numFmtId="2" fontId="6" fillId="0" borderId="0" xfId="0" applyNumberFormat="1" applyFont="1"/>
    <xf numFmtId="164" fontId="11" fillId="3" borderId="13" xfId="0" applyNumberFormat="1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43" fontId="10" fillId="3" borderId="13" xfId="1" applyFont="1" applyFill="1" applyBorder="1" applyAlignment="1">
      <alignment horizontal="center" wrapText="1"/>
    </xf>
    <xf numFmtId="2" fontId="4" fillId="3" borderId="11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6" fillId="3" borderId="13" xfId="1" applyNumberFormat="1" applyFont="1" applyFill="1" applyBorder="1" applyAlignment="1">
      <alignment horizontal="center"/>
    </xf>
    <xf numFmtId="43" fontId="11" fillId="5" borderId="13" xfId="1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166" fontId="5" fillId="4" borderId="13" xfId="3" applyNumberFormat="1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left" wrapText="1"/>
    </xf>
    <xf numFmtId="0" fontId="5" fillId="4" borderId="13" xfId="0" applyFont="1" applyFill="1" applyBorder="1" applyAlignment="1">
      <alignment horizontal="left" wrapText="1"/>
    </xf>
    <xf numFmtId="2" fontId="5" fillId="4" borderId="13" xfId="0" applyNumberFormat="1" applyFont="1" applyFill="1" applyBorder="1" applyAlignment="1">
      <alignment horizontal="center" wrapText="1"/>
    </xf>
    <xf numFmtId="10" fontId="6" fillId="0" borderId="0" xfId="3" applyNumberFormat="1" applyFont="1" applyFill="1" applyBorder="1"/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left" wrapText="1"/>
    </xf>
    <xf numFmtId="0" fontId="11" fillId="3" borderId="13" xfId="0" applyFont="1" applyFill="1" applyBorder="1" applyAlignment="1">
      <alignment horizontal="left" wrapText="1"/>
    </xf>
    <xf numFmtId="0" fontId="10" fillId="0" borderId="1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4" borderId="7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left" wrapText="1" indent="11"/>
    </xf>
    <xf numFmtId="0" fontId="5" fillId="4" borderId="4" xfId="0" applyFont="1" applyFill="1" applyBorder="1" applyAlignment="1">
      <alignment horizontal="left" wrapText="1" indent="11"/>
    </xf>
    <xf numFmtId="0" fontId="5" fillId="4" borderId="5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center" wrapText="1"/>
    </xf>
    <xf numFmtId="9" fontId="5" fillId="6" borderId="13" xfId="3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4" borderId="13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417B85"/>
      <color rgb="FFDEECEF"/>
      <color rgb="FF417A84"/>
      <color rgb="FF1A3292"/>
      <color rgb="FF548DD4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28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tty\Downloads\Vol%202%20BenefitsCal%20Price%20Proposal%20&#8211;%20Gainwell%20BAFO.xlsx" TargetMode="External"/><Relationship Id="rId1" Type="http://schemas.openxmlformats.org/officeDocument/2006/relationships/externalLinkPath" Target="file:///C:\Users\DrohanS\AppData\Local\Microsoft\Windows\INetCache\Content.Outlook\40KE3P30\Vol%202%20BenefitsCal%20Price%20Proposal%20&#8211;%20Gainwell%20BAF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tty\Downloads\Attachment%205%20-%20Price%20Proposal%20Schedules%2001132025_Accenture%20BAFO.xlsx" TargetMode="External"/><Relationship Id="rId1" Type="http://schemas.openxmlformats.org/officeDocument/2006/relationships/externalLinkPath" Target="file:///C:\Users\DrohanS\AppData\Local\Microsoft\Windows\INetCache\Content.Outlook\40KE3P30\Attachment%205%20-%20Price%20Proposal%20Schedules%2001132025_Accenture%20BAF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tty\Downloads\RFP%20Attachment%205%20-%20Price%20Proposal%20Schedules%2001132025_Deloitte.xlsx" TargetMode="External"/><Relationship Id="rId1" Type="http://schemas.openxmlformats.org/officeDocument/2006/relationships/externalLinkPath" Target="file:///C:\Users\DrohanS\AppData\Local\Microsoft\Windows\INetCache\Content.Outlook\40KE3P30\RFP%20Attachment%205%20-%20Price%20Proposal%20Schedules%2001132025_Deloitt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tty\Downloads\03-BenefitsCal%20Business%20Proposal%20Scoring%20Workbook%20-%20Gainwell.xlsx" TargetMode="External"/><Relationship Id="rId1" Type="http://schemas.openxmlformats.org/officeDocument/2006/relationships/externalLinkPath" Target="file:///C:\Users\DrohanS\AppData\Local\Microsoft\Windows\INetCache\Content.Outlook\40KE3P30\03-BenefitsCal%20Business%20Proposal%20Scoring%20Workbook%20-%20Gainwell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tty\Downloads\03-BenefitsCal%20Business%20Proposal%20Scoring%20Workbook%20-%20Accenture.xlsx" TargetMode="External"/><Relationship Id="rId1" Type="http://schemas.openxmlformats.org/officeDocument/2006/relationships/externalLinkPath" Target="file:///C:\Users\DrohanS\AppData\Local\Microsoft\Windows\INetCache\Content.Outlook\40KE3P30\03-BenefitsCal%20Business%20Proposal%20Scoring%20Workbook%20-%20Accenture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tty\Downloads\03-BenefitsCal%20Business%20Proposal%20Scoring%20Workbook%20-%20Deloitte.xlsx" TargetMode="External"/><Relationship Id="rId1" Type="http://schemas.openxmlformats.org/officeDocument/2006/relationships/externalLinkPath" Target="file:///C:\Users\DrohanS\AppData\Local\Microsoft\Windows\INetCache\Content.Outlook\40KE3P30\03-BenefitsCal%20Business%20Proposal%20Scoring%20Workbook%20-%20Deloit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SFY Summary"/>
      <sheetName val="2. Deliverables"/>
      <sheetName val="3. Transition-In Staff Loading"/>
      <sheetName val="4. Software"/>
      <sheetName val="5. Services"/>
      <sheetName val="6. Staff Loading"/>
      <sheetName val="6.1 Base Year 1 Staff Loading"/>
      <sheetName val="6.2 Base Year 2 Staff Loading"/>
      <sheetName val="6.3 Base Year 3 Staff Loading"/>
      <sheetName val="6.4 Base Year 4 Staff Loading"/>
      <sheetName val="6.5 Base Year 5 Staff Loading"/>
      <sheetName val="6.6 Base Year 6 Staff Loading"/>
      <sheetName val="7.1 Optional Extension Year 1"/>
      <sheetName val="7.2 Optional Extension Year 2"/>
      <sheetName val="7.3 Optional Extension Year 3"/>
      <sheetName val="7.4 Optional Extension Year 4"/>
      <sheetName val="8. Hourly Rate Card"/>
      <sheetName val="9. CO Hourly Rate Card"/>
      <sheetName val="10. AWS IaaS Resources"/>
      <sheetName val="11. Other"/>
    </sheetNames>
    <sheetDataSet>
      <sheetData sheetId="0">
        <row r="6">
          <cell r="N6">
            <v>1632151</v>
          </cell>
        </row>
        <row r="7">
          <cell r="N7">
            <v>3547140</v>
          </cell>
        </row>
        <row r="8">
          <cell r="N8">
            <v>2851447.3200000003</v>
          </cell>
        </row>
        <row r="9">
          <cell r="N9">
            <v>49916071.360639997</v>
          </cell>
        </row>
        <row r="10">
          <cell r="N10">
            <v>576000</v>
          </cell>
        </row>
        <row r="13">
          <cell r="N13">
            <v>53343518.680640005</v>
          </cell>
        </row>
        <row r="15">
          <cell r="N15">
            <v>56890658.680640005</v>
          </cell>
        </row>
        <row r="21">
          <cell r="N21">
            <v>43008764.733277656</v>
          </cell>
        </row>
        <row r="23">
          <cell r="N23">
            <v>101531574.41391766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SFY Summary"/>
      <sheetName val="2. Deliverables"/>
      <sheetName val="3. Transition-In Staff Loading"/>
      <sheetName val="4. Software"/>
      <sheetName val="5. Services"/>
      <sheetName val="6. Staff Loading"/>
      <sheetName val="6.1 Base Year 1 Staff Loading"/>
      <sheetName val="6.2 Base Year 2 Staff Loading"/>
      <sheetName val="6.3 Base Year 3 Staff Loading"/>
      <sheetName val="6.4 Base Year 4 Staff Loading"/>
      <sheetName val="6.5 Base Year 5 Staff Loading"/>
      <sheetName val="6.6 Base Year 6 Staff Loading"/>
      <sheetName val="7.1 Optional Extension Year 1"/>
      <sheetName val="7.2 Optional Extension Year 2"/>
      <sheetName val="7.3 Optional Extension Year 3"/>
      <sheetName val="7.4 Optional Extension Year 4"/>
      <sheetName val="8. Hourly Rate Card"/>
      <sheetName val="9. CO Hourly Rate Card"/>
      <sheetName val="10. AWS IaaS Resources"/>
      <sheetName val="11. Other"/>
    </sheetNames>
    <sheetDataSet>
      <sheetData sheetId="0">
        <row r="6">
          <cell r="N6">
            <v>1562475.7551954123</v>
          </cell>
        </row>
        <row r="7">
          <cell r="N7">
            <v>3643066.2938220464</v>
          </cell>
        </row>
        <row r="8">
          <cell r="N8">
            <v>1660080.6579288426</v>
          </cell>
        </row>
        <row r="9">
          <cell r="N9">
            <v>53456023.354891963</v>
          </cell>
        </row>
        <row r="10">
          <cell r="N10">
            <v>0</v>
          </cell>
        </row>
        <row r="13">
          <cell r="N13">
            <v>55116104.012820818</v>
          </cell>
        </row>
        <row r="15">
          <cell r="N15">
            <v>58759170.306642853</v>
          </cell>
        </row>
        <row r="21">
          <cell r="N21">
            <v>44960057.809086911</v>
          </cell>
        </row>
        <row r="23">
          <cell r="N23">
            <v>105281703.87092519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SFY Summary"/>
      <sheetName val="2. Deliverables"/>
      <sheetName val="3. Transition-In Staff Loading"/>
      <sheetName val="4. Software"/>
      <sheetName val="5. Services"/>
      <sheetName val="6. Staff Loading"/>
      <sheetName val="6.1 Base Year 1 Staff Loading"/>
      <sheetName val="6.2 Base Year 2 Staff Loading"/>
      <sheetName val="6.3 Base Year 3 Staff Loading"/>
      <sheetName val="6.4 Base Year 4 Staff Loading"/>
      <sheetName val="6.5 Base Year 5 Staff Loading"/>
      <sheetName val="6.6 Base Year 6 Staff Loading"/>
      <sheetName val="7.1 Optional Extension Year 1"/>
      <sheetName val="7.2 Optional Extension Year 2"/>
      <sheetName val="7.3 Optional Extension Year 3"/>
      <sheetName val="7.4 Optional Extension Year 4"/>
      <sheetName val="8. Hourly Rate Card"/>
      <sheetName val="9. CO Hourly Rate Card"/>
      <sheetName val="10. AWS IaaS Resources"/>
      <sheetName val="11. Other"/>
    </sheetNames>
    <sheetDataSet>
      <sheetData sheetId="0">
        <row r="6">
          <cell r="N6">
            <v>444242</v>
          </cell>
        </row>
        <row r="7">
          <cell r="N7">
            <v>3462388</v>
          </cell>
        </row>
        <row r="8">
          <cell r="N8">
            <v>932052.58545843989</v>
          </cell>
        </row>
        <row r="9">
          <cell r="N9">
            <v>40841640</v>
          </cell>
        </row>
        <row r="10">
          <cell r="N10">
            <v>209370</v>
          </cell>
        </row>
        <row r="13">
          <cell r="N13">
            <v>41983062.585458435</v>
          </cell>
        </row>
        <row r="15">
          <cell r="N15">
            <v>45445450.585458435</v>
          </cell>
        </row>
        <row r="21">
          <cell r="N21">
            <v>34089876.525326476</v>
          </cell>
        </row>
        <row r="23">
          <cell r="N23">
            <v>79979569.110784918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idder-Key Staff"/>
      <sheetName val="U&amp;A Summary"/>
      <sheetName val="U&amp;A-1 "/>
      <sheetName val="U&amp;A-2"/>
      <sheetName val="U&amp;A-3"/>
      <sheetName val="U&amp;A-4"/>
      <sheetName val="Firm References"/>
      <sheetName val="Staff Qualifications Summary"/>
      <sheetName val="Staff Minimum Qualifications"/>
      <sheetName val="Staff References"/>
      <sheetName val="Key Staff Interviews"/>
      <sheetName val="Oral Presentations"/>
      <sheetName val="Func moved to Facilities Tab"/>
      <sheetName val="Tech moved to Facilities Tab"/>
      <sheetName val="Lookup"/>
    </sheetNames>
    <sheetDataSet>
      <sheetData sheetId="0"/>
      <sheetData sheetId="1"/>
      <sheetData sheetId="2">
        <row r="4">
          <cell r="AS4">
            <v>3.2</v>
          </cell>
        </row>
        <row r="5">
          <cell r="AS5">
            <v>3.1</v>
          </cell>
        </row>
      </sheetData>
      <sheetData sheetId="3">
        <row r="4">
          <cell r="AS4">
            <v>3.2</v>
          </cell>
        </row>
        <row r="5">
          <cell r="AS5">
            <v>3</v>
          </cell>
        </row>
      </sheetData>
      <sheetData sheetId="4">
        <row r="4">
          <cell r="AS4">
            <v>2.9</v>
          </cell>
        </row>
        <row r="5">
          <cell r="AS5">
            <v>3.5</v>
          </cell>
        </row>
        <row r="6">
          <cell r="AS6">
            <v>3.2</v>
          </cell>
        </row>
      </sheetData>
      <sheetData sheetId="5">
        <row r="4">
          <cell r="AS4">
            <v>2.9</v>
          </cell>
        </row>
        <row r="5">
          <cell r="AS5">
            <v>3.2</v>
          </cell>
        </row>
        <row r="6">
          <cell r="AS6">
            <v>2.8</v>
          </cell>
        </row>
      </sheetData>
      <sheetData sheetId="6">
        <row r="3">
          <cell r="F3">
            <v>9</v>
          </cell>
        </row>
        <row r="4">
          <cell r="F4">
            <v>9</v>
          </cell>
        </row>
        <row r="5">
          <cell r="F5">
            <v>9</v>
          </cell>
        </row>
      </sheetData>
      <sheetData sheetId="7">
        <row r="10">
          <cell r="N10">
            <v>2.8</v>
          </cell>
        </row>
        <row r="16">
          <cell r="N16">
            <v>2.6666666666666665</v>
          </cell>
        </row>
        <row r="21">
          <cell r="N21">
            <v>2</v>
          </cell>
        </row>
        <row r="27">
          <cell r="N27">
            <v>3</v>
          </cell>
        </row>
        <row r="33">
          <cell r="N33">
            <v>2.3333333333333335</v>
          </cell>
        </row>
        <row r="41">
          <cell r="N41">
            <v>2.8</v>
          </cell>
        </row>
        <row r="48">
          <cell r="N48">
            <v>3</v>
          </cell>
        </row>
        <row r="54">
          <cell r="N54">
            <v>3</v>
          </cell>
        </row>
        <row r="63">
          <cell r="N63">
            <v>2.8333333333333335</v>
          </cell>
        </row>
      </sheetData>
      <sheetData sheetId="8"/>
      <sheetData sheetId="9">
        <row r="12">
          <cell r="J12">
            <v>9.7222222222222214</v>
          </cell>
        </row>
      </sheetData>
      <sheetData sheetId="10">
        <row r="3">
          <cell r="D3">
            <v>8.8000000000000007</v>
          </cell>
        </row>
        <row r="4">
          <cell r="D4">
            <v>7.5</v>
          </cell>
        </row>
        <row r="5">
          <cell r="D5">
            <v>5.2</v>
          </cell>
        </row>
        <row r="6">
          <cell r="D6">
            <v>7.8</v>
          </cell>
        </row>
        <row r="7">
          <cell r="D7">
            <v>7.8</v>
          </cell>
        </row>
        <row r="8">
          <cell r="D8">
            <v>6.9</v>
          </cell>
        </row>
        <row r="9">
          <cell r="D9">
            <v>8.6</v>
          </cell>
        </row>
        <row r="10">
          <cell r="D10">
            <v>9.6</v>
          </cell>
        </row>
        <row r="11">
          <cell r="D11">
            <v>9.1999999999999993</v>
          </cell>
        </row>
      </sheetData>
      <sheetData sheetId="11">
        <row r="2">
          <cell r="B2">
            <v>7.8</v>
          </cell>
        </row>
      </sheetData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idder-Key Staff"/>
      <sheetName val="U&amp;A Summary"/>
      <sheetName val="U&amp;A-1 "/>
      <sheetName val="U&amp;A-2"/>
      <sheetName val="U&amp;A-3"/>
      <sheetName val="U&amp;A-4"/>
      <sheetName val="Firm References"/>
      <sheetName val="Staff Qualifications Summary"/>
      <sheetName val="Staff Minimum Qualifications"/>
      <sheetName val="Staff References"/>
      <sheetName val="Key Staff Interviews"/>
      <sheetName val="Oral Presentations"/>
      <sheetName val="Func moved to Facilities Tab"/>
      <sheetName val="Tech moved to Facilities Tab"/>
      <sheetName val="Lookup"/>
      <sheetName val="Sheet2"/>
    </sheetNames>
    <sheetDataSet>
      <sheetData sheetId="0"/>
      <sheetData sheetId="1"/>
      <sheetData sheetId="2">
        <row r="4">
          <cell r="AS4">
            <v>3.6</v>
          </cell>
        </row>
        <row r="5">
          <cell r="AS5">
            <v>3.5</v>
          </cell>
        </row>
      </sheetData>
      <sheetData sheetId="3">
        <row r="4">
          <cell r="AS4">
            <v>3.6</v>
          </cell>
        </row>
        <row r="6">
          <cell r="AS6">
            <v>3.5</v>
          </cell>
        </row>
      </sheetData>
      <sheetData sheetId="4">
        <row r="4">
          <cell r="AS4">
            <v>3.2</v>
          </cell>
        </row>
        <row r="6">
          <cell r="AS6">
            <v>3.6</v>
          </cell>
        </row>
        <row r="7">
          <cell r="AS7">
            <v>3.3</v>
          </cell>
        </row>
      </sheetData>
      <sheetData sheetId="5">
        <row r="4">
          <cell r="AS4">
            <v>3</v>
          </cell>
        </row>
        <row r="5">
          <cell r="AS5">
            <v>3.4</v>
          </cell>
        </row>
        <row r="7">
          <cell r="AS7">
            <v>3.4</v>
          </cell>
        </row>
      </sheetData>
      <sheetData sheetId="6">
        <row r="3">
          <cell r="F3">
            <v>9</v>
          </cell>
        </row>
        <row r="4">
          <cell r="F4">
            <v>10</v>
          </cell>
        </row>
        <row r="5">
          <cell r="F5">
            <v>10</v>
          </cell>
        </row>
        <row r="7">
          <cell r="F7">
            <v>9.6999999999999993</v>
          </cell>
        </row>
      </sheetData>
      <sheetData sheetId="7">
        <row r="10">
          <cell r="N10">
            <v>2.8</v>
          </cell>
        </row>
        <row r="16">
          <cell r="N16">
            <v>2.6666666666666665</v>
          </cell>
        </row>
        <row r="21">
          <cell r="N21">
            <v>3</v>
          </cell>
        </row>
        <row r="27">
          <cell r="N27">
            <v>3</v>
          </cell>
        </row>
        <row r="33">
          <cell r="N33">
            <v>2.6666666666666665</v>
          </cell>
        </row>
        <row r="41">
          <cell r="N41">
            <v>2.8</v>
          </cell>
        </row>
        <row r="48">
          <cell r="N48">
            <v>3</v>
          </cell>
        </row>
        <row r="54">
          <cell r="N54">
            <v>2.6666666666666665</v>
          </cell>
        </row>
        <row r="63">
          <cell r="N63">
            <v>2.8333333333333335</v>
          </cell>
        </row>
      </sheetData>
      <sheetData sheetId="8"/>
      <sheetData sheetId="9">
        <row r="12">
          <cell r="J12">
            <v>10</v>
          </cell>
        </row>
      </sheetData>
      <sheetData sheetId="10">
        <row r="3">
          <cell r="D3">
            <v>9.6</v>
          </cell>
        </row>
        <row r="4">
          <cell r="D4">
            <v>9.5</v>
          </cell>
        </row>
        <row r="5">
          <cell r="D5">
            <v>9.5</v>
          </cell>
        </row>
        <row r="6">
          <cell r="D6">
            <v>8.6</v>
          </cell>
        </row>
        <row r="7">
          <cell r="D7">
            <v>8.1999999999999993</v>
          </cell>
        </row>
        <row r="8">
          <cell r="D8">
            <v>8.5</v>
          </cell>
        </row>
        <row r="9">
          <cell r="D9">
            <v>9.6999999999999993</v>
          </cell>
        </row>
        <row r="10">
          <cell r="D10">
            <v>8.8000000000000007</v>
          </cell>
        </row>
        <row r="11">
          <cell r="D11">
            <v>8.1999999999999993</v>
          </cell>
        </row>
      </sheetData>
      <sheetData sheetId="11">
        <row r="2">
          <cell r="B2">
            <v>9.8000000000000007</v>
          </cell>
        </row>
      </sheetData>
      <sheetData sheetId="12"/>
      <sheetData sheetId="13"/>
      <sheetData sheetId="14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idder-Key Staff"/>
      <sheetName val="U&amp;A Summary"/>
      <sheetName val="U&amp;A-1"/>
      <sheetName val="U&amp;A-2"/>
      <sheetName val="U&amp;A-3"/>
      <sheetName val="U&amp;A-4"/>
      <sheetName val="Firm References"/>
      <sheetName val="Staff Qualifications Summary"/>
      <sheetName val="Staff Minimum Qualifications"/>
      <sheetName val="Staff References"/>
      <sheetName val="Key Staff Interviews"/>
      <sheetName val="Oral Presentations"/>
      <sheetName val="Func moved to Facilities Tab"/>
      <sheetName val="Tech moved to Facilities Tab"/>
      <sheetName val="Lookup"/>
    </sheetNames>
    <sheetDataSet>
      <sheetData sheetId="0"/>
      <sheetData sheetId="1"/>
      <sheetData sheetId="2">
        <row r="4">
          <cell r="AS4">
            <v>2.7</v>
          </cell>
        </row>
        <row r="5">
          <cell r="AS5">
            <v>2.8</v>
          </cell>
        </row>
      </sheetData>
      <sheetData sheetId="3">
        <row r="4">
          <cell r="AS4">
            <v>2.9</v>
          </cell>
        </row>
        <row r="5">
          <cell r="AS5">
            <v>3</v>
          </cell>
        </row>
      </sheetData>
      <sheetData sheetId="4">
        <row r="4">
          <cell r="AS4">
            <v>2.9</v>
          </cell>
        </row>
        <row r="5">
          <cell r="AS5">
            <v>3.2</v>
          </cell>
        </row>
        <row r="6">
          <cell r="AS6">
            <v>2.8</v>
          </cell>
        </row>
      </sheetData>
      <sheetData sheetId="5">
        <row r="4">
          <cell r="AS4">
            <v>2.9</v>
          </cell>
        </row>
        <row r="5">
          <cell r="AS5">
            <v>2.7</v>
          </cell>
        </row>
        <row r="6">
          <cell r="AS6">
            <v>2.5</v>
          </cell>
        </row>
      </sheetData>
      <sheetData sheetId="6">
        <row r="3">
          <cell r="F3">
            <v>10</v>
          </cell>
        </row>
        <row r="4">
          <cell r="F4">
            <v>10</v>
          </cell>
        </row>
        <row r="5">
          <cell r="F5">
            <v>10</v>
          </cell>
        </row>
      </sheetData>
      <sheetData sheetId="7">
        <row r="10">
          <cell r="N10">
            <v>2.8</v>
          </cell>
        </row>
        <row r="16">
          <cell r="N16">
            <v>2.6666666666666665</v>
          </cell>
        </row>
        <row r="21">
          <cell r="N21">
            <v>3</v>
          </cell>
        </row>
        <row r="27">
          <cell r="N27">
            <v>3</v>
          </cell>
        </row>
        <row r="33">
          <cell r="N33">
            <v>2.6666666666666665</v>
          </cell>
        </row>
        <row r="41">
          <cell r="N41">
            <v>2.8</v>
          </cell>
        </row>
        <row r="48">
          <cell r="N48">
            <v>3</v>
          </cell>
        </row>
        <row r="54">
          <cell r="N54">
            <v>2.6666666666666665</v>
          </cell>
        </row>
        <row r="63">
          <cell r="N63">
            <v>2.8333333333333335</v>
          </cell>
        </row>
      </sheetData>
      <sheetData sheetId="8"/>
      <sheetData sheetId="9">
        <row r="12">
          <cell r="J12">
            <v>10</v>
          </cell>
        </row>
      </sheetData>
      <sheetData sheetId="10">
        <row r="3">
          <cell r="D3">
            <v>7.5</v>
          </cell>
        </row>
        <row r="4">
          <cell r="D4">
            <v>9.1999999999999993</v>
          </cell>
        </row>
        <row r="5">
          <cell r="D5">
            <v>7.2</v>
          </cell>
        </row>
        <row r="6">
          <cell r="D6">
            <v>7.8</v>
          </cell>
        </row>
        <row r="7">
          <cell r="D7">
            <v>8.4</v>
          </cell>
        </row>
        <row r="8">
          <cell r="D8">
            <v>5.3</v>
          </cell>
        </row>
        <row r="9">
          <cell r="D9">
            <v>7.5</v>
          </cell>
        </row>
        <row r="10">
          <cell r="D10">
            <v>9.4</v>
          </cell>
        </row>
        <row r="11">
          <cell r="D11">
            <v>8.4</v>
          </cell>
        </row>
      </sheetData>
      <sheetData sheetId="11">
        <row r="2">
          <cell r="B2">
            <v>8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D14" sqref="D14"/>
    </sheetView>
  </sheetViews>
  <sheetFormatPr defaultColWidth="9.1796875" defaultRowHeight="13.5" x14ac:dyDescent="0.25"/>
  <cols>
    <col min="1" max="1" width="16.54296875" style="1" customWidth="1"/>
    <col min="2" max="2" width="2.6328125" style="1" customWidth="1"/>
    <col min="3" max="3" width="40.54296875" style="1" customWidth="1"/>
    <col min="4" max="4" width="10.54296875" style="1" customWidth="1"/>
    <col min="5" max="16384" width="9.1796875" style="1"/>
  </cols>
  <sheetData>
    <row r="1" spans="1:5" ht="20.25" customHeight="1" x14ac:dyDescent="0.3">
      <c r="A1" s="64" t="s">
        <v>0</v>
      </c>
      <c r="B1" s="63"/>
      <c r="C1" s="138" t="s">
        <v>1</v>
      </c>
      <c r="D1" s="139"/>
      <c r="E1" s="30"/>
    </row>
    <row r="2" spans="1:5" x14ac:dyDescent="0.25">
      <c r="A2" s="2" t="s">
        <v>85</v>
      </c>
      <c r="B2" s="26"/>
      <c r="C2" s="2" t="s">
        <v>2</v>
      </c>
      <c r="D2" s="66">
        <v>0.05</v>
      </c>
    </row>
    <row r="3" spans="1:5" x14ac:dyDescent="0.25">
      <c r="A3" s="2" t="s">
        <v>86</v>
      </c>
      <c r="B3" s="27"/>
      <c r="C3" s="2" t="s">
        <v>3</v>
      </c>
      <c r="D3" s="66">
        <v>0.1</v>
      </c>
    </row>
    <row r="4" spans="1:5" x14ac:dyDescent="0.25">
      <c r="A4" s="2" t="s">
        <v>87</v>
      </c>
      <c r="B4" s="27"/>
      <c r="C4" s="2" t="s">
        <v>4</v>
      </c>
      <c r="D4" s="66">
        <v>0.05</v>
      </c>
    </row>
    <row r="5" spans="1:5" x14ac:dyDescent="0.25">
      <c r="A5" s="2"/>
      <c r="B5" s="28"/>
      <c r="C5" s="2" t="s">
        <v>5</v>
      </c>
      <c r="D5" s="66">
        <v>0.1</v>
      </c>
    </row>
    <row r="6" spans="1:5" x14ac:dyDescent="0.25">
      <c r="A6" s="2"/>
      <c r="B6" s="19"/>
      <c r="C6" s="35" t="s">
        <v>6</v>
      </c>
      <c r="D6" s="66">
        <v>0.4</v>
      </c>
    </row>
    <row r="7" spans="1:5" ht="8.25" customHeight="1" x14ac:dyDescent="0.25">
      <c r="A7" s="2"/>
      <c r="B7" s="19"/>
      <c r="C7" s="19"/>
      <c r="D7" s="67"/>
    </row>
    <row r="8" spans="1:5" ht="14" x14ac:dyDescent="0.3">
      <c r="A8" s="43"/>
      <c r="B8" s="2"/>
      <c r="C8" s="3" t="s">
        <v>7</v>
      </c>
      <c r="D8" s="66">
        <f>SUM(D2:D7)</f>
        <v>0.70000000000000007</v>
      </c>
    </row>
    <row r="9" spans="1:5" ht="8.25" customHeight="1" x14ac:dyDescent="0.25">
      <c r="A9" s="2"/>
      <c r="B9" s="19"/>
      <c r="C9" s="19"/>
      <c r="D9" s="67"/>
    </row>
    <row r="10" spans="1:5" ht="14" x14ac:dyDescent="0.3">
      <c r="A10" s="18"/>
      <c r="B10" s="2"/>
      <c r="C10" s="3" t="s">
        <v>8</v>
      </c>
      <c r="D10" s="66">
        <v>0.3</v>
      </c>
    </row>
    <row r="11" spans="1:5" ht="8.25" customHeight="1" x14ac:dyDescent="0.25">
      <c r="A11" s="2"/>
      <c r="B11" s="60"/>
      <c r="C11" s="60"/>
      <c r="D11" s="68"/>
    </row>
    <row r="12" spans="1:5" ht="14" x14ac:dyDescent="0.3">
      <c r="A12" s="59"/>
      <c r="B12" s="4"/>
      <c r="C12" s="5" t="s">
        <v>9</v>
      </c>
      <c r="D12" s="69">
        <f>SUM(D8:D11)</f>
        <v>1</v>
      </c>
    </row>
  </sheetData>
  <mergeCells count="1">
    <mergeCell ref="C1:D1"/>
  </mergeCells>
  <phoneticPr fontId="8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9CC3-8CF9-48AE-86FF-2F73D3BCADA3}">
  <dimension ref="A1:K20"/>
  <sheetViews>
    <sheetView zoomScaleNormal="100" workbookViewId="0">
      <selection activeCell="F18" sqref="F18"/>
    </sheetView>
  </sheetViews>
  <sheetFormatPr defaultColWidth="9.1796875" defaultRowHeight="13.5" x14ac:dyDescent="0.25"/>
  <cols>
    <col min="1" max="1" width="34.90625" style="1" customWidth="1"/>
    <col min="2" max="2" width="10.54296875" style="8" customWidth="1"/>
    <col min="3" max="4" width="10.54296875" style="1" customWidth="1"/>
    <col min="5" max="5" width="14" style="1" customWidth="1"/>
    <col min="6" max="6" width="6" style="1" customWidth="1"/>
    <col min="7" max="7" width="14.1796875" style="48" bestFit="1" customWidth="1"/>
    <col min="8" max="16384" width="9.1796875" style="1"/>
  </cols>
  <sheetData>
    <row r="1" spans="1:11" s="10" customFormat="1" ht="22" customHeight="1" x14ac:dyDescent="0.3">
      <c r="A1" s="71" t="s">
        <v>5</v>
      </c>
      <c r="B1" s="71"/>
      <c r="C1" s="71" t="s">
        <v>42</v>
      </c>
      <c r="D1" s="93">
        <f>' Master'!D5</f>
        <v>0.1</v>
      </c>
      <c r="G1" s="50"/>
    </row>
    <row r="2" spans="1:11" ht="20" customHeight="1" x14ac:dyDescent="0.25">
      <c r="A2" s="83" t="s">
        <v>57</v>
      </c>
      <c r="B2" s="83" t="str">
        <f>' Master'!A2</f>
        <v>Gainwell</v>
      </c>
      <c r="C2" s="83" t="str">
        <f>' Master'!A3</f>
        <v>Accenture</v>
      </c>
      <c r="D2" s="83" t="str">
        <f>' Master'!A4</f>
        <v>Deloitte</v>
      </c>
    </row>
    <row r="3" spans="1:11" s="11" customFormat="1" ht="18" customHeight="1" x14ac:dyDescent="0.3">
      <c r="A3" s="84" t="s">
        <v>47</v>
      </c>
      <c r="B3" s="85">
        <f>'[4]Key Staff Interviews'!$D3</f>
        <v>8.8000000000000007</v>
      </c>
      <c r="C3" s="85">
        <f>'[5]Key Staff Interviews'!$D3</f>
        <v>9.6</v>
      </c>
      <c r="D3" s="85">
        <f>'[6]Key Staff Interviews'!$D3</f>
        <v>7.5</v>
      </c>
      <c r="G3" s="51"/>
    </row>
    <row r="4" spans="1:11" ht="18" customHeight="1" x14ac:dyDescent="0.3">
      <c r="A4" s="84" t="s">
        <v>48</v>
      </c>
      <c r="B4" s="85">
        <f>'[4]Key Staff Interviews'!$D4</f>
        <v>7.5</v>
      </c>
      <c r="C4" s="85">
        <f>'[5]Key Staff Interviews'!$D4</f>
        <v>9.5</v>
      </c>
      <c r="D4" s="85">
        <f>'[6]Key Staff Interviews'!$D4</f>
        <v>9.1999999999999993</v>
      </c>
      <c r="E4" s="14"/>
      <c r="G4" s="52"/>
      <c r="J4" s="11"/>
      <c r="K4" s="11"/>
    </row>
    <row r="5" spans="1:11" ht="18" customHeight="1" x14ac:dyDescent="0.3">
      <c r="A5" s="84" t="s">
        <v>49</v>
      </c>
      <c r="B5" s="85">
        <f>'[4]Key Staff Interviews'!$D5</f>
        <v>5.2</v>
      </c>
      <c r="C5" s="85">
        <f>'[5]Key Staff Interviews'!$D5</f>
        <v>9.5</v>
      </c>
      <c r="D5" s="85">
        <f>'[6]Key Staff Interviews'!$D5</f>
        <v>7.2</v>
      </c>
      <c r="E5" s="14"/>
      <c r="G5" s="55"/>
      <c r="J5" s="11"/>
      <c r="K5" s="11"/>
    </row>
    <row r="6" spans="1:11" ht="18" customHeight="1" x14ac:dyDescent="0.3">
      <c r="A6" s="84" t="s">
        <v>50</v>
      </c>
      <c r="B6" s="85">
        <f>'[4]Key Staff Interviews'!$D6</f>
        <v>7.8</v>
      </c>
      <c r="C6" s="85">
        <f>'[5]Key Staff Interviews'!$D6</f>
        <v>8.6</v>
      </c>
      <c r="D6" s="85">
        <f>'[6]Key Staff Interviews'!$D6</f>
        <v>7.8</v>
      </c>
      <c r="E6" s="14"/>
      <c r="G6" s="55"/>
      <c r="J6" s="11"/>
      <c r="K6" s="11"/>
    </row>
    <row r="7" spans="1:11" ht="18" customHeight="1" x14ac:dyDescent="0.3">
      <c r="A7" s="84" t="s">
        <v>51</v>
      </c>
      <c r="B7" s="85">
        <f>'[4]Key Staff Interviews'!$D7</f>
        <v>7.8</v>
      </c>
      <c r="C7" s="85">
        <f>'[5]Key Staff Interviews'!$D7</f>
        <v>8.1999999999999993</v>
      </c>
      <c r="D7" s="85">
        <f>'[6]Key Staff Interviews'!$D7</f>
        <v>8.4</v>
      </c>
      <c r="E7" s="14"/>
      <c r="G7" s="52"/>
      <c r="J7" s="11"/>
      <c r="K7" s="11"/>
    </row>
    <row r="8" spans="1:11" ht="18" customHeight="1" x14ac:dyDescent="0.3">
      <c r="A8" s="84" t="s">
        <v>52</v>
      </c>
      <c r="B8" s="85">
        <f>'[4]Key Staff Interviews'!$D8</f>
        <v>6.9</v>
      </c>
      <c r="C8" s="85">
        <f>'[5]Key Staff Interviews'!$D8</f>
        <v>8.5</v>
      </c>
      <c r="D8" s="85">
        <f>'[6]Key Staff Interviews'!$D8</f>
        <v>5.3</v>
      </c>
      <c r="E8" s="14"/>
      <c r="G8" s="52"/>
      <c r="J8" s="11"/>
      <c r="K8" s="11"/>
    </row>
    <row r="9" spans="1:11" ht="18" customHeight="1" x14ac:dyDescent="0.3">
      <c r="A9" s="84" t="s">
        <v>53</v>
      </c>
      <c r="B9" s="85">
        <f>'[4]Key Staff Interviews'!$D9</f>
        <v>8.6</v>
      </c>
      <c r="C9" s="85">
        <f>'[5]Key Staff Interviews'!$D9</f>
        <v>9.6999999999999993</v>
      </c>
      <c r="D9" s="85">
        <f>'[6]Key Staff Interviews'!$D9</f>
        <v>7.5</v>
      </c>
      <c r="E9" s="14"/>
      <c r="G9" s="52"/>
      <c r="J9" s="11"/>
      <c r="K9" s="11"/>
    </row>
    <row r="10" spans="1:11" ht="18" customHeight="1" x14ac:dyDescent="0.3">
      <c r="A10" s="84" t="s">
        <v>54</v>
      </c>
      <c r="B10" s="85">
        <f>'[4]Key Staff Interviews'!$D10</f>
        <v>9.6</v>
      </c>
      <c r="C10" s="85">
        <f>'[5]Key Staff Interviews'!$D10</f>
        <v>8.8000000000000007</v>
      </c>
      <c r="D10" s="85">
        <f>'[6]Key Staff Interviews'!$D10</f>
        <v>9.4</v>
      </c>
      <c r="E10" s="14"/>
      <c r="G10" s="52"/>
      <c r="J10" s="11"/>
      <c r="K10" s="11"/>
    </row>
    <row r="11" spans="1:11" ht="18" customHeight="1" x14ac:dyDescent="0.3">
      <c r="A11" s="84" t="s">
        <v>55</v>
      </c>
      <c r="B11" s="85">
        <f>'[4]Key Staff Interviews'!$D11</f>
        <v>9.1999999999999993</v>
      </c>
      <c r="C11" s="85">
        <f>'[5]Key Staff Interviews'!$D11</f>
        <v>8.1999999999999993</v>
      </c>
      <c r="D11" s="85">
        <f>'[6]Key Staff Interviews'!$D11</f>
        <v>8.4</v>
      </c>
      <c r="E11" s="14"/>
      <c r="J11" s="11"/>
    </row>
    <row r="12" spans="1:11" ht="8" customHeight="1" x14ac:dyDescent="0.25">
      <c r="A12" s="170"/>
      <c r="B12" s="171"/>
      <c r="C12" s="171"/>
      <c r="D12" s="172"/>
      <c r="E12" s="14"/>
    </row>
    <row r="13" spans="1:11" ht="18" customHeight="1" x14ac:dyDescent="0.25">
      <c r="A13" s="91" t="s">
        <v>60</v>
      </c>
      <c r="B13" s="92">
        <f>ROUND(AVERAGE(B3:B11),2)</f>
        <v>7.93</v>
      </c>
      <c r="C13" s="92">
        <f t="shared" ref="C13:D13" si="0">ROUND(AVERAGE(C3:C11),2)</f>
        <v>8.9600000000000009</v>
      </c>
      <c r="D13" s="92">
        <f t="shared" si="0"/>
        <v>7.86</v>
      </c>
    </row>
    <row r="14" spans="1:11" ht="8" customHeight="1" x14ac:dyDescent="0.25">
      <c r="A14" s="167"/>
      <c r="B14" s="168"/>
      <c r="C14" s="168"/>
      <c r="D14" s="169"/>
    </row>
    <row r="15" spans="1:11" ht="18" customHeight="1" x14ac:dyDescent="0.25">
      <c r="A15" s="91" t="s">
        <v>113</v>
      </c>
      <c r="B15" s="92">
        <f>B13*$D$1*10</f>
        <v>7.9300000000000006</v>
      </c>
      <c r="C15" s="92">
        <f>C13*$D$1*10</f>
        <v>8.9600000000000009</v>
      </c>
      <c r="D15" s="92">
        <f>D13*$D$1*10</f>
        <v>7.86</v>
      </c>
    </row>
    <row r="16" spans="1:11" ht="8" customHeight="1" x14ac:dyDescent="0.25">
      <c r="A16" s="173"/>
      <c r="B16" s="174"/>
      <c r="C16" s="174"/>
      <c r="D16" s="175"/>
    </row>
    <row r="17" spans="1:4" ht="18" customHeight="1" x14ac:dyDescent="0.3">
      <c r="A17" s="71" t="s">
        <v>118</v>
      </c>
      <c r="B17" s="71"/>
      <c r="C17" s="71" t="s">
        <v>42</v>
      </c>
      <c r="D17" s="93">
        <f>' Master'!D4</f>
        <v>0.05</v>
      </c>
    </row>
    <row r="18" spans="1:4" ht="18" customHeight="1" x14ac:dyDescent="0.25">
      <c r="A18" s="87"/>
      <c r="B18" s="83" t="str">
        <f>B2</f>
        <v>Gainwell</v>
      </c>
      <c r="C18" s="83" t="str">
        <f>C2</f>
        <v>Accenture</v>
      </c>
      <c r="D18" s="89" t="str">
        <f>D2</f>
        <v>Deloitte</v>
      </c>
    </row>
    <row r="19" spans="1:4" ht="18" customHeight="1" x14ac:dyDescent="0.25">
      <c r="A19" s="91" t="s">
        <v>112</v>
      </c>
      <c r="B19" s="125">
        <f>'[4]Oral Presentations'!$B$2</f>
        <v>7.8</v>
      </c>
      <c r="C19" s="125">
        <f>'[5]Oral Presentations'!$B$2</f>
        <v>9.8000000000000007</v>
      </c>
      <c r="D19" s="125">
        <f>'[6]Oral Presentations'!$B$2</f>
        <v>8</v>
      </c>
    </row>
    <row r="20" spans="1:4" ht="18" customHeight="1" x14ac:dyDescent="0.25">
      <c r="A20" s="91" t="s">
        <v>61</v>
      </c>
      <c r="B20" s="92">
        <f>B19/2</f>
        <v>3.9</v>
      </c>
      <c r="C20" s="92">
        <f>C19/2</f>
        <v>4.9000000000000004</v>
      </c>
      <c r="D20" s="92">
        <f>D19/2</f>
        <v>4</v>
      </c>
    </row>
  </sheetData>
  <mergeCells count="3">
    <mergeCell ref="A14:D14"/>
    <mergeCell ref="A12:D12"/>
    <mergeCell ref="A16:D1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FAFF-16DC-4861-BF6B-0248ED5F86E4}">
  <dimension ref="A1:M1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8" sqref="K8"/>
    </sheetView>
  </sheetViews>
  <sheetFormatPr defaultColWidth="9.1796875" defaultRowHeight="13.5" x14ac:dyDescent="0.25"/>
  <cols>
    <col min="1" max="1" width="16.54296875" style="1" customWidth="1"/>
    <col min="2" max="2" width="11.54296875" style="8" customWidth="1"/>
    <col min="3" max="11" width="11.54296875" style="1" customWidth="1"/>
    <col min="12" max="12" width="15.6328125" style="1" customWidth="1"/>
    <col min="13" max="13" width="14" style="1" customWidth="1"/>
    <col min="14" max="14" width="6" style="1" customWidth="1"/>
    <col min="15" max="15" width="14.1796875" style="1" bestFit="1" customWidth="1"/>
    <col min="16" max="16384" width="9.1796875" style="1"/>
  </cols>
  <sheetData>
    <row r="1" spans="1:13" ht="18" customHeight="1" x14ac:dyDescent="0.3">
      <c r="A1" s="71" t="s">
        <v>42</v>
      </c>
      <c r="B1" s="93">
        <f>' Master'!D6</f>
        <v>0.4</v>
      </c>
      <c r="C1" s="154" t="s">
        <v>62</v>
      </c>
      <c r="D1" s="154"/>
      <c r="E1" s="154"/>
      <c r="F1" s="154"/>
      <c r="G1" s="154"/>
      <c r="H1" s="154"/>
      <c r="I1" s="154"/>
      <c r="J1" s="154"/>
      <c r="K1" s="154"/>
      <c r="L1" s="49"/>
      <c r="M1" s="10"/>
    </row>
    <row r="2" spans="1:13" ht="16" customHeight="1" x14ac:dyDescent="0.3">
      <c r="A2" s="176" t="s">
        <v>26</v>
      </c>
      <c r="B2" s="176" t="s">
        <v>59</v>
      </c>
      <c r="C2" s="154" t="s">
        <v>63</v>
      </c>
      <c r="D2" s="93">
        <v>0.1</v>
      </c>
      <c r="E2" s="154" t="s">
        <v>64</v>
      </c>
      <c r="F2" s="93">
        <v>0.1</v>
      </c>
      <c r="G2" s="154" t="s">
        <v>65</v>
      </c>
      <c r="H2" s="93">
        <v>0.1</v>
      </c>
      <c r="I2" s="154" t="s">
        <v>66</v>
      </c>
      <c r="J2" s="93">
        <v>0.1</v>
      </c>
      <c r="K2" s="154" t="s">
        <v>122</v>
      </c>
    </row>
    <row r="3" spans="1:13" s="11" customFormat="1" ht="45" customHeight="1" x14ac:dyDescent="0.3">
      <c r="A3" s="177"/>
      <c r="B3" s="177"/>
      <c r="C3" s="154"/>
      <c r="D3" s="71" t="s">
        <v>67</v>
      </c>
      <c r="E3" s="154"/>
      <c r="F3" s="71" t="s">
        <v>68</v>
      </c>
      <c r="G3" s="154"/>
      <c r="H3" s="71" t="s">
        <v>69</v>
      </c>
      <c r="I3" s="154"/>
      <c r="J3" s="71" t="s">
        <v>70</v>
      </c>
      <c r="K3" s="154"/>
      <c r="M3" s="13"/>
    </row>
    <row r="4" spans="1:13" ht="19.5" customHeight="1" x14ac:dyDescent="0.25">
      <c r="A4" s="88" t="str">
        <f>'Summary Total'!A2</f>
        <v>Gainwell</v>
      </c>
      <c r="B4" s="85">
        <f>_xlfn.RANK.AVG(K4,$K$4:$K$6)</f>
        <v>2</v>
      </c>
      <c r="C4" s="96">
        <f>'U&amp;A Requirement Detail'!D3</f>
        <v>3.15</v>
      </c>
      <c r="D4" s="96">
        <f>ROUND((C4/4*D$2*100),2)</f>
        <v>7.88</v>
      </c>
      <c r="E4" s="96">
        <f>'U&amp;A Requirement Detail'!G3</f>
        <v>3.1</v>
      </c>
      <c r="F4" s="96">
        <f>ROUND((E4/4*F$2*100),2)</f>
        <v>7.75</v>
      </c>
      <c r="G4" s="96">
        <f>'U&amp;A Requirement Detail'!K3</f>
        <v>3.2</v>
      </c>
      <c r="H4" s="96">
        <f>ROUND((G4/4*H$2*100),2)</f>
        <v>8</v>
      </c>
      <c r="I4" s="96">
        <f>'U&amp;A Requirement Detail'!O3</f>
        <v>2.97</v>
      </c>
      <c r="J4" s="96">
        <f>ROUND((I4/4*J$2*100),2)</f>
        <v>7.43</v>
      </c>
      <c r="K4" s="96">
        <f>SUM(D4,F4,H4,J4)</f>
        <v>31.06</v>
      </c>
      <c r="L4" s="14"/>
      <c r="M4" s="15"/>
    </row>
    <row r="5" spans="1:13" ht="19.5" customHeight="1" x14ac:dyDescent="0.25">
      <c r="A5" s="88" t="str">
        <f>'Summary Total'!A3</f>
        <v>Accenture</v>
      </c>
      <c r="B5" s="85">
        <f>_xlfn.RANK.AVG(K5,$K$4:$K$6)</f>
        <v>1</v>
      </c>
      <c r="C5" s="96">
        <f>'U&amp;A Requirement Detail'!D4</f>
        <v>3.55</v>
      </c>
      <c r="D5" s="96">
        <f t="shared" ref="D5:F6" si="0">ROUND((C5/4*D$2*100),2)</f>
        <v>8.8800000000000008</v>
      </c>
      <c r="E5" s="96">
        <f>'U&amp;A Requirement Detail'!G4</f>
        <v>3.55</v>
      </c>
      <c r="F5" s="96">
        <f t="shared" si="0"/>
        <v>8.8800000000000008</v>
      </c>
      <c r="G5" s="96">
        <f>'U&amp;A Requirement Detail'!K4</f>
        <v>3.37</v>
      </c>
      <c r="H5" s="96">
        <f t="shared" ref="H5" si="1">ROUND((G5/4*H$2*100),2)</f>
        <v>8.43</v>
      </c>
      <c r="I5" s="96">
        <f>'U&amp;A Requirement Detail'!O4</f>
        <v>3.27</v>
      </c>
      <c r="J5" s="96">
        <f t="shared" ref="J5" si="2">ROUND((I5/4*J$2*100),2)</f>
        <v>8.18</v>
      </c>
      <c r="K5" s="96">
        <f>SUM(D5,F5,H5,J5)</f>
        <v>34.370000000000005</v>
      </c>
      <c r="L5" s="14"/>
      <c r="M5" s="15"/>
    </row>
    <row r="6" spans="1:13" ht="19.5" customHeight="1" x14ac:dyDescent="0.25">
      <c r="A6" s="88" t="str">
        <f>'Summary Total'!A4</f>
        <v>Deloitte</v>
      </c>
      <c r="B6" s="85">
        <f>_xlfn.RANK.AVG(K6,$K$4:$K$6)</f>
        <v>3</v>
      </c>
      <c r="C6" s="96">
        <f>'U&amp;A Requirement Detail'!D5</f>
        <v>2.75</v>
      </c>
      <c r="D6" s="96">
        <f t="shared" si="0"/>
        <v>6.88</v>
      </c>
      <c r="E6" s="96">
        <f>'U&amp;A Requirement Detail'!G5</f>
        <v>2.95</v>
      </c>
      <c r="F6" s="96">
        <f t="shared" si="0"/>
        <v>7.38</v>
      </c>
      <c r="G6" s="96">
        <f>'U&amp;A Requirement Detail'!K5</f>
        <v>2.97</v>
      </c>
      <c r="H6" s="96">
        <f t="shared" ref="H6" si="3">ROUND((G6/4*H$2*100),2)</f>
        <v>7.43</v>
      </c>
      <c r="I6" s="96">
        <f>'U&amp;A Requirement Detail'!O5</f>
        <v>2.7</v>
      </c>
      <c r="J6" s="96">
        <f t="shared" ref="J6" si="4">ROUND((I6/4*J$2*100),2)</f>
        <v>6.75</v>
      </c>
      <c r="K6" s="96">
        <f>SUM(D6,F6,H6,J6)</f>
        <v>28.439999999999998</v>
      </c>
      <c r="L6" s="14"/>
      <c r="M6" s="15"/>
    </row>
    <row r="7" spans="1:13" x14ac:dyDescent="0.25">
      <c r="M7" s="14"/>
    </row>
    <row r="8" spans="1:13" x14ac:dyDescent="0.25">
      <c r="B8" s="54"/>
      <c r="M8" s="14"/>
    </row>
    <row r="9" spans="1:13" x14ac:dyDescent="0.25">
      <c r="B9" s="53"/>
    </row>
    <row r="10" spans="1:13" x14ac:dyDescent="0.25">
      <c r="B10" s="48"/>
    </row>
    <row r="11" spans="1:13" x14ac:dyDescent="0.25">
      <c r="B11" s="48"/>
    </row>
    <row r="12" spans="1:13" x14ac:dyDescent="0.25">
      <c r="B12" s="48"/>
    </row>
    <row r="13" spans="1:13" x14ac:dyDescent="0.25">
      <c r="B13" s="48"/>
    </row>
    <row r="14" spans="1:13" x14ac:dyDescent="0.25">
      <c r="B14" s="48"/>
    </row>
  </sheetData>
  <mergeCells count="8">
    <mergeCell ref="A2:A3"/>
    <mergeCell ref="B2:B3"/>
    <mergeCell ref="C1:K1"/>
    <mergeCell ref="C2:C3"/>
    <mergeCell ref="E2:E3"/>
    <mergeCell ref="G2:G3"/>
    <mergeCell ref="I2:I3"/>
    <mergeCell ref="K2:K3"/>
  </mergeCells>
  <pageMargins left="0.7" right="0.7" top="0.75" bottom="0.75" header="0.3" footer="0.3"/>
  <pageSetup orientation="portrait" r:id="rId1"/>
  <ignoredErrors>
    <ignoredError sqref="E4:E6 G4:G6 I4:I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2FC4-4EB0-4DB8-9E18-016574E60D16}">
  <dimension ref="A1:P10"/>
  <sheetViews>
    <sheetView workbookViewId="0">
      <pane xSplit="18" ySplit="9" topLeftCell="S10" activePane="bottomRight" state="frozen"/>
      <selection pane="topRight" activeCell="S1" sqref="S1"/>
      <selection pane="bottomLeft" activeCell="A10" sqref="A10"/>
      <selection pane="bottomRight" activeCell="P8" sqref="P8"/>
    </sheetView>
  </sheetViews>
  <sheetFormatPr defaultColWidth="9.1796875" defaultRowHeight="13.5" x14ac:dyDescent="0.25"/>
  <cols>
    <col min="1" max="1" width="16.54296875" style="1" customWidth="1"/>
    <col min="2" max="15" width="9.6328125" style="1" customWidth="1"/>
    <col min="16" max="16" width="11.54296875" style="1" customWidth="1"/>
    <col min="17" max="33" width="10.6328125" style="1" customWidth="1"/>
    <col min="34" max="16384" width="9.1796875" style="1"/>
  </cols>
  <sheetData>
    <row r="1" spans="1:16" ht="37.5" customHeight="1" x14ac:dyDescent="0.3">
      <c r="A1" s="154" t="s">
        <v>71</v>
      </c>
      <c r="B1" s="154" t="s">
        <v>93</v>
      </c>
      <c r="C1" s="154"/>
      <c r="D1" s="154"/>
      <c r="E1" s="154" t="s">
        <v>72</v>
      </c>
      <c r="F1" s="154"/>
      <c r="G1" s="154"/>
      <c r="H1" s="154" t="s">
        <v>73</v>
      </c>
      <c r="I1" s="154"/>
      <c r="J1" s="154"/>
      <c r="K1" s="154"/>
      <c r="L1" s="154" t="s">
        <v>74</v>
      </c>
      <c r="M1" s="154"/>
      <c r="N1" s="154"/>
      <c r="O1" s="154"/>
      <c r="P1" s="154" t="s">
        <v>114</v>
      </c>
    </row>
    <row r="2" spans="1:16" ht="32.25" customHeight="1" x14ac:dyDescent="0.3">
      <c r="A2" s="154"/>
      <c r="B2" s="71" t="s">
        <v>75</v>
      </c>
      <c r="C2" s="71" t="s">
        <v>76</v>
      </c>
      <c r="D2" s="71" t="s">
        <v>89</v>
      </c>
      <c r="E2" s="71" t="s">
        <v>77</v>
      </c>
      <c r="F2" s="71" t="s">
        <v>78</v>
      </c>
      <c r="G2" s="71" t="s">
        <v>90</v>
      </c>
      <c r="H2" s="71" t="s">
        <v>79</v>
      </c>
      <c r="I2" s="71" t="s">
        <v>80</v>
      </c>
      <c r="J2" s="71" t="s">
        <v>81</v>
      </c>
      <c r="K2" s="71" t="s">
        <v>91</v>
      </c>
      <c r="L2" s="71" t="s">
        <v>82</v>
      </c>
      <c r="M2" s="71" t="s">
        <v>83</v>
      </c>
      <c r="N2" s="71" t="s">
        <v>84</v>
      </c>
      <c r="O2" s="71" t="s">
        <v>92</v>
      </c>
      <c r="P2" s="154"/>
    </row>
    <row r="3" spans="1:16" ht="19.5" customHeight="1" x14ac:dyDescent="0.25">
      <c r="A3" s="88" t="str">
        <f>' Master'!A2</f>
        <v>Gainwell</v>
      </c>
      <c r="B3" s="110">
        <f>'[4]U&amp;A-1 '!$AS$4</f>
        <v>3.2</v>
      </c>
      <c r="C3" s="110">
        <f>'[4]U&amp;A-1 '!$AS$5</f>
        <v>3.1</v>
      </c>
      <c r="D3" s="90">
        <f>ROUND(AVERAGE(B3:C3),2)</f>
        <v>3.15</v>
      </c>
      <c r="E3" s="110">
        <f>'[4]U&amp;A-2'!$AS$4</f>
        <v>3.2</v>
      </c>
      <c r="F3" s="110">
        <f>'[4]U&amp;A-2'!$AS$5</f>
        <v>3</v>
      </c>
      <c r="G3" s="90">
        <f>ROUND(AVERAGE(E3:F3),2)</f>
        <v>3.1</v>
      </c>
      <c r="H3" s="110">
        <f>'[4]U&amp;A-3'!$AS$4</f>
        <v>2.9</v>
      </c>
      <c r="I3" s="110">
        <f>'[4]U&amp;A-3'!$AS$5</f>
        <v>3.5</v>
      </c>
      <c r="J3" s="110">
        <f>'[4]U&amp;A-3'!$AS$6</f>
        <v>3.2</v>
      </c>
      <c r="K3" s="90">
        <f>ROUND(AVERAGE(H3:J3),2)</f>
        <v>3.2</v>
      </c>
      <c r="L3" s="110">
        <f>'[4]U&amp;A-4'!$AS$4</f>
        <v>2.9</v>
      </c>
      <c r="M3" s="110">
        <f>'[4]U&amp;A-4'!$AS$5</f>
        <v>3.2</v>
      </c>
      <c r="N3" s="110">
        <f>'[4]U&amp;A-4'!$AS$6</f>
        <v>2.8</v>
      </c>
      <c r="O3" s="90">
        <f>ROUND(AVERAGE(L3:N3),2)</f>
        <v>2.97</v>
      </c>
      <c r="P3" s="90">
        <f>ROUND(SUM(D3,G3,K3,O3),2)</f>
        <v>12.42</v>
      </c>
    </row>
    <row r="4" spans="1:16" ht="19.5" customHeight="1" x14ac:dyDescent="0.25">
      <c r="A4" s="88" t="str">
        <f>' Master'!A3</f>
        <v>Accenture</v>
      </c>
      <c r="B4" s="110">
        <f>'[5]U&amp;A-1 '!$AS$4</f>
        <v>3.6</v>
      </c>
      <c r="C4" s="110">
        <f>'[5]U&amp;A-1 '!$AS$5</f>
        <v>3.5</v>
      </c>
      <c r="D4" s="90">
        <f t="shared" ref="D4:D5" si="0">ROUND(AVERAGE(B4:C4),2)</f>
        <v>3.55</v>
      </c>
      <c r="E4" s="110">
        <f>'[5]U&amp;A-2'!$AS$4</f>
        <v>3.6</v>
      </c>
      <c r="F4" s="110">
        <f>'[5]U&amp;A-2'!$AS$6</f>
        <v>3.5</v>
      </c>
      <c r="G4" s="90">
        <f t="shared" ref="G4:G5" si="1">ROUND(AVERAGE(E4:F4),2)</f>
        <v>3.55</v>
      </c>
      <c r="H4" s="110">
        <f>'[5]U&amp;A-3'!$AS$4</f>
        <v>3.2</v>
      </c>
      <c r="I4" s="110">
        <f>'[5]U&amp;A-3'!$AS$6</f>
        <v>3.6</v>
      </c>
      <c r="J4" s="110">
        <f>'[5]U&amp;A-3'!$AS$7</f>
        <v>3.3</v>
      </c>
      <c r="K4" s="90">
        <f>ROUND(AVERAGE(H4:J4),2)</f>
        <v>3.37</v>
      </c>
      <c r="L4" s="110">
        <f>'[5]U&amp;A-4'!$AS$4</f>
        <v>3</v>
      </c>
      <c r="M4" s="110">
        <f>'[5]U&amp;A-4'!$AS$5</f>
        <v>3.4</v>
      </c>
      <c r="N4" s="110">
        <f>'[5]U&amp;A-4'!$AS$7</f>
        <v>3.4</v>
      </c>
      <c r="O4" s="90">
        <f>ROUND(AVERAGE(L4:N4),2)</f>
        <v>3.27</v>
      </c>
      <c r="P4" s="90">
        <f t="shared" ref="P4:P5" si="2">ROUND(SUM(D4,G4,K4,O4),2)</f>
        <v>13.74</v>
      </c>
    </row>
    <row r="5" spans="1:16" ht="19.5" customHeight="1" x14ac:dyDescent="0.25">
      <c r="A5" s="88" t="str">
        <f>' Master'!A4</f>
        <v>Deloitte</v>
      </c>
      <c r="B5" s="110">
        <f>'[6]U&amp;A-1'!$AS$4</f>
        <v>2.7</v>
      </c>
      <c r="C5" s="110">
        <f>'[6]U&amp;A-1'!$AS$5</f>
        <v>2.8</v>
      </c>
      <c r="D5" s="90">
        <f t="shared" si="0"/>
        <v>2.75</v>
      </c>
      <c r="E5" s="110">
        <f>'[6]U&amp;A-2'!$AS$4</f>
        <v>2.9</v>
      </c>
      <c r="F5" s="110">
        <f>'[6]U&amp;A-2'!$AS$5</f>
        <v>3</v>
      </c>
      <c r="G5" s="90">
        <f t="shared" si="1"/>
        <v>2.95</v>
      </c>
      <c r="H5" s="110">
        <f>'[6]U&amp;A-3'!$AS$4</f>
        <v>2.9</v>
      </c>
      <c r="I5" s="110">
        <f>'[6]U&amp;A-3'!$AS$5</f>
        <v>3.2</v>
      </c>
      <c r="J5" s="110">
        <f>'[6]U&amp;A-3'!$AS$6</f>
        <v>2.8</v>
      </c>
      <c r="K5" s="90">
        <f>ROUND(AVERAGE(H5:J5),2)</f>
        <v>2.97</v>
      </c>
      <c r="L5" s="110">
        <f>'[6]U&amp;A-4'!$AS$4</f>
        <v>2.9</v>
      </c>
      <c r="M5" s="110">
        <f>'[6]U&amp;A-4'!$AS$5</f>
        <v>2.7</v>
      </c>
      <c r="N5" s="110">
        <f>'[6]U&amp;A-4'!$AS$6</f>
        <v>2.5</v>
      </c>
      <c r="O5" s="90">
        <f>ROUND(AVERAGE(L5:N5),2)</f>
        <v>2.7</v>
      </c>
      <c r="P5" s="90">
        <f t="shared" si="2"/>
        <v>11.37</v>
      </c>
    </row>
    <row r="8" spans="1:16" x14ac:dyDescent="0.25">
      <c r="B8" s="53"/>
    </row>
    <row r="9" spans="1:16" x14ac:dyDescent="0.25">
      <c r="B9" s="53"/>
    </row>
    <row r="10" spans="1:16" x14ac:dyDescent="0.25">
      <c r="B10" s="53"/>
    </row>
  </sheetData>
  <mergeCells count="6">
    <mergeCell ref="P1:P2"/>
    <mergeCell ref="A1:A2"/>
    <mergeCell ref="B1:D1"/>
    <mergeCell ref="E1:G1"/>
    <mergeCell ref="H1:K1"/>
    <mergeCell ref="L1:O1"/>
  </mergeCells>
  <phoneticPr fontId="8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BF6C-DC89-4E4D-8C8D-C6B28BAF1D0E}">
  <sheetPr>
    <pageSetUpPr fitToPage="1"/>
  </sheetPr>
  <dimension ref="A1:G10"/>
  <sheetViews>
    <sheetView zoomScale="95" zoomScaleNormal="95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F7" sqref="F7"/>
    </sheetView>
  </sheetViews>
  <sheetFormatPr defaultColWidth="9.1796875" defaultRowHeight="13.5" x14ac:dyDescent="0.25"/>
  <cols>
    <col min="1" max="1" width="16.54296875" style="1" customWidth="1"/>
    <col min="2" max="6" width="12.54296875" style="1" customWidth="1"/>
    <col min="7" max="23" width="10.6328125" style="1" customWidth="1"/>
    <col min="24" max="16384" width="9.1796875" style="1"/>
  </cols>
  <sheetData>
    <row r="1" spans="1:7" ht="24" customHeight="1" x14ac:dyDescent="0.3">
      <c r="A1" s="138" t="s">
        <v>88</v>
      </c>
      <c r="B1" s="139"/>
      <c r="C1" s="64"/>
      <c r="D1" s="64"/>
      <c r="E1" s="64"/>
      <c r="F1" s="149" t="s">
        <v>114</v>
      </c>
    </row>
    <row r="2" spans="1:7" ht="32" customHeight="1" thickBot="1" x14ac:dyDescent="0.35">
      <c r="A2" s="64"/>
      <c r="B2" s="64" t="s">
        <v>89</v>
      </c>
      <c r="C2" s="64" t="s">
        <v>90</v>
      </c>
      <c r="D2" s="64" t="s">
        <v>91</v>
      </c>
      <c r="E2" s="64" t="s">
        <v>92</v>
      </c>
      <c r="F2" s="178"/>
    </row>
    <row r="3" spans="1:7" ht="21" customHeight="1" thickBot="1" x14ac:dyDescent="0.3">
      <c r="A3" s="70" t="str">
        <f>' Master'!A2</f>
        <v>Gainwell</v>
      </c>
      <c r="B3" s="128">
        <f>'U&amp;A Requirement Detail'!D3</f>
        <v>3.15</v>
      </c>
      <c r="C3" s="128">
        <f>'U&amp;A Requirement Detail'!G3</f>
        <v>3.1</v>
      </c>
      <c r="D3" s="128">
        <f>'U&amp;A Requirement Detail'!K3</f>
        <v>3.2</v>
      </c>
      <c r="E3" s="128">
        <f>'U&amp;A Requirement Detail'!O3</f>
        <v>2.97</v>
      </c>
      <c r="F3" s="129">
        <f>SUM(B3:E3)</f>
        <v>12.42</v>
      </c>
      <c r="G3" s="33"/>
    </row>
    <row r="4" spans="1:7" ht="21" customHeight="1" thickBot="1" x14ac:dyDescent="0.3">
      <c r="A4" s="70" t="str">
        <f>' Master'!A3</f>
        <v>Accenture</v>
      </c>
      <c r="B4" s="128">
        <f>'U&amp;A Requirement Detail'!D4</f>
        <v>3.55</v>
      </c>
      <c r="C4" s="128">
        <f>'U&amp;A Requirement Detail'!G4</f>
        <v>3.55</v>
      </c>
      <c r="D4" s="128">
        <f>'U&amp;A Requirement Detail'!K4</f>
        <v>3.37</v>
      </c>
      <c r="E4" s="128">
        <f>'U&amp;A Requirement Detail'!O4</f>
        <v>3.27</v>
      </c>
      <c r="F4" s="129">
        <f t="shared" ref="F4:F5" si="0">SUM(B4:E4)</f>
        <v>13.739999999999998</v>
      </c>
      <c r="G4" s="33"/>
    </row>
    <row r="5" spans="1:7" ht="21" customHeight="1" thickBot="1" x14ac:dyDescent="0.3">
      <c r="A5" s="70" t="str">
        <f>' Master'!A4</f>
        <v>Deloitte</v>
      </c>
      <c r="B5" s="128">
        <f>'U&amp;A Requirement Detail'!D5</f>
        <v>2.75</v>
      </c>
      <c r="C5" s="128">
        <f>'U&amp;A Requirement Detail'!G5</f>
        <v>2.95</v>
      </c>
      <c r="D5" s="128">
        <f>'U&amp;A Requirement Detail'!K5</f>
        <v>2.97</v>
      </c>
      <c r="E5" s="128">
        <f>'U&amp;A Requirement Detail'!O5</f>
        <v>2.7</v>
      </c>
      <c r="F5" s="129">
        <f t="shared" si="0"/>
        <v>11.370000000000001</v>
      </c>
      <c r="G5" s="33"/>
    </row>
    <row r="9" spans="1:7" x14ac:dyDescent="0.25">
      <c r="B9" s="53"/>
    </row>
    <row r="10" spans="1:7" x14ac:dyDescent="0.25">
      <c r="B10" s="53"/>
    </row>
  </sheetData>
  <mergeCells count="2">
    <mergeCell ref="F1:F2"/>
    <mergeCell ref="A1:B1"/>
  </mergeCells>
  <phoneticPr fontId="8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E6" sqref="E6"/>
    </sheetView>
  </sheetViews>
  <sheetFormatPr defaultColWidth="9.1796875" defaultRowHeight="13.5" x14ac:dyDescent="0.25"/>
  <cols>
    <col min="1" max="1" width="16.54296875" style="1" customWidth="1"/>
    <col min="2" max="4" width="16.6328125" style="8" customWidth="1"/>
    <col min="5" max="5" width="10.54296875" style="8" customWidth="1"/>
    <col min="6" max="6" width="9.1796875" style="1"/>
    <col min="7" max="7" width="9.1796875" style="1" customWidth="1"/>
    <col min="8" max="8" width="2.54296875" style="1" customWidth="1"/>
    <col min="9" max="9" width="11.6328125" style="1" customWidth="1"/>
    <col min="10" max="10" width="3.6328125" style="1" customWidth="1"/>
    <col min="11" max="13" width="11.6328125" style="1" customWidth="1"/>
    <col min="14" max="14" width="3.6328125" style="1" customWidth="1"/>
    <col min="15" max="16" width="11.6328125" style="1" customWidth="1"/>
    <col min="17" max="17" width="9.1796875" style="1" customWidth="1"/>
    <col min="18" max="16384" width="9.1796875" style="1"/>
  </cols>
  <sheetData>
    <row r="1" spans="1:17" s="6" customFormat="1" ht="36" customHeight="1" x14ac:dyDescent="0.3">
      <c r="A1" s="71" t="s">
        <v>0</v>
      </c>
      <c r="B1" s="71" t="s">
        <v>10</v>
      </c>
      <c r="C1" s="71" t="s">
        <v>11</v>
      </c>
      <c r="D1" s="71" t="s">
        <v>12</v>
      </c>
      <c r="E1" s="71" t="s">
        <v>13</v>
      </c>
    </row>
    <row r="2" spans="1:17" ht="19.5" customHeight="1" x14ac:dyDescent="0.25">
      <c r="A2" s="82" t="str">
        <f>' Master'!A2</f>
        <v>Gainwell</v>
      </c>
      <c r="B2" s="111">
        <f>'Business Score'!H4</f>
        <v>62.9</v>
      </c>
      <c r="C2" s="111">
        <f>'Price Score'!D4</f>
        <v>23.61</v>
      </c>
      <c r="D2" s="111">
        <f>B2+C2</f>
        <v>86.509999999999991</v>
      </c>
      <c r="E2" s="81">
        <f>_xlfn.RANK.AVG(D2,$D$2:$D$4)</f>
        <v>3</v>
      </c>
      <c r="G2" s="22"/>
      <c r="I2" s="22"/>
      <c r="K2" s="33"/>
      <c r="L2" s="8"/>
      <c r="M2" s="22"/>
      <c r="N2" s="33"/>
      <c r="O2" s="33"/>
      <c r="P2" s="22"/>
      <c r="Q2" s="33"/>
    </row>
    <row r="3" spans="1:17" ht="19.5" customHeight="1" x14ac:dyDescent="0.25">
      <c r="A3" s="82" t="str">
        <f>' Master'!A3</f>
        <v>Accenture</v>
      </c>
      <c r="B3" s="111">
        <f>'Business Score'!H5</f>
        <v>70</v>
      </c>
      <c r="C3" s="111">
        <f>'Price Score'!D5</f>
        <v>22.85</v>
      </c>
      <c r="D3" s="111">
        <f>B3+C3</f>
        <v>92.85</v>
      </c>
      <c r="E3" s="81">
        <f>_xlfn.RANK.AVG(D3,$D$2:$D$4)</f>
        <v>1</v>
      </c>
      <c r="G3" s="22"/>
      <c r="I3" s="22"/>
      <c r="K3" s="33"/>
      <c r="L3" s="8"/>
      <c r="M3" s="22"/>
      <c r="N3" s="33"/>
      <c r="O3" s="33"/>
      <c r="P3" s="22"/>
      <c r="Q3" s="33"/>
    </row>
    <row r="4" spans="1:17" ht="19.5" customHeight="1" x14ac:dyDescent="0.25">
      <c r="A4" s="82" t="str">
        <f>' Master'!A4</f>
        <v>Deloitte</v>
      </c>
      <c r="B4" s="111">
        <f>'Business Score'!H6</f>
        <v>61.29</v>
      </c>
      <c r="C4" s="111">
        <f>'Price Score'!D6</f>
        <v>30</v>
      </c>
      <c r="D4" s="111">
        <f>B4+C4</f>
        <v>91.289999999999992</v>
      </c>
      <c r="E4" s="81">
        <f>_xlfn.RANK.AVG(D4,$D$2:$D$4)</f>
        <v>2</v>
      </c>
      <c r="G4" s="22"/>
      <c r="I4" s="22"/>
      <c r="K4" s="33"/>
      <c r="L4" s="8"/>
      <c r="M4" s="22"/>
      <c r="O4" s="33"/>
      <c r="P4" s="22"/>
    </row>
    <row r="7" spans="1:17" x14ac:dyDescent="0.25">
      <c r="B7" s="54"/>
    </row>
    <row r="8" spans="1:17" x14ac:dyDescent="0.25">
      <c r="B8" s="53"/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tabSelected="1" zoomScaleNormal="100" workbookViewId="0">
      <selection activeCell="H18" sqref="H18"/>
    </sheetView>
  </sheetViews>
  <sheetFormatPr defaultColWidth="9.1796875" defaultRowHeight="13.5" x14ac:dyDescent="0.25"/>
  <cols>
    <col min="1" max="1" width="3.6328125" style="9" customWidth="1"/>
    <col min="2" max="2" width="39.26953125" style="1" customWidth="1"/>
    <col min="3" max="3" width="13.6328125" style="1" customWidth="1"/>
    <col min="4" max="5" width="12.6328125" style="1" customWidth="1"/>
    <col min="6" max="6" width="1.26953125" style="1" customWidth="1"/>
    <col min="7" max="9" width="11.08984375" style="1" customWidth="1"/>
    <col min="10" max="10" width="2.453125" style="1" customWidth="1"/>
    <col min="11" max="11" width="75.54296875" style="1" customWidth="1"/>
    <col min="12" max="16384" width="9.1796875" style="1"/>
  </cols>
  <sheetData>
    <row r="1" spans="1:9" ht="47.25" customHeight="1" x14ac:dyDescent="0.3">
      <c r="A1" s="71"/>
      <c r="B1" s="71" t="s">
        <v>14</v>
      </c>
      <c r="C1" s="71" t="s">
        <v>15</v>
      </c>
      <c r="D1" s="71" t="s">
        <v>16</v>
      </c>
      <c r="E1" s="71" t="s">
        <v>17</v>
      </c>
      <c r="F1" s="80"/>
      <c r="G1" s="71" t="str">
        <f>' Master'!A2</f>
        <v>Gainwell</v>
      </c>
      <c r="H1" s="71" t="str">
        <f>' Master'!A3</f>
        <v>Accenture</v>
      </c>
      <c r="I1" s="71" t="str">
        <f>' Master'!A4</f>
        <v>Deloitte</v>
      </c>
    </row>
    <row r="2" spans="1:9" s="16" customFormat="1" ht="18" customHeight="1" x14ac:dyDescent="0.35">
      <c r="A2" s="72"/>
      <c r="B2" s="73" t="s">
        <v>18</v>
      </c>
      <c r="C2" s="74"/>
      <c r="D2" s="75">
        <f>SUM(C3:C7)</f>
        <v>0.70000000000000007</v>
      </c>
      <c r="E2" s="76"/>
      <c r="F2" s="140"/>
      <c r="G2" s="76"/>
      <c r="H2" s="76"/>
      <c r="I2" s="76"/>
    </row>
    <row r="3" spans="1:9" ht="18" customHeight="1" x14ac:dyDescent="0.25">
      <c r="A3" s="100">
        <v>1</v>
      </c>
      <c r="B3" s="101" t="str">
        <f>' Master'!C2</f>
        <v>Firm Qualifications</v>
      </c>
      <c r="C3" s="102">
        <f>' Master'!D2</f>
        <v>0.05</v>
      </c>
      <c r="D3" s="77"/>
      <c r="E3" s="78">
        <v>5</v>
      </c>
      <c r="F3" s="140"/>
      <c r="G3" s="127">
        <f>'Business Score'!B4</f>
        <v>4.5</v>
      </c>
      <c r="H3" s="127">
        <f>'Business Score'!B5</f>
        <v>4.8499999999999996</v>
      </c>
      <c r="I3" s="127">
        <f>'Business Score'!B6</f>
        <v>5</v>
      </c>
    </row>
    <row r="4" spans="1:9" ht="16.5" customHeight="1" x14ac:dyDescent="0.25">
      <c r="A4" s="100">
        <v>2</v>
      </c>
      <c r="B4" s="101" t="str">
        <f>' Master'!C3</f>
        <v>Staff Qualifications and Experience</v>
      </c>
      <c r="C4" s="102">
        <f>' Master'!D3</f>
        <v>0.1</v>
      </c>
      <c r="D4" s="77"/>
      <c r="E4" s="78">
        <v>10</v>
      </c>
      <c r="F4" s="140"/>
      <c r="G4" s="127">
        <f>'Business Score'!C4</f>
        <v>8.7799999999999994</v>
      </c>
      <c r="H4" s="127">
        <f>'Business Score'!C5</f>
        <v>9.43</v>
      </c>
      <c r="I4" s="127">
        <f>'Business Score'!C6</f>
        <v>9.43</v>
      </c>
    </row>
    <row r="5" spans="1:9" ht="16.5" customHeight="1" x14ac:dyDescent="0.25">
      <c r="A5" s="100">
        <v>3</v>
      </c>
      <c r="B5" s="101" t="str">
        <f>' Master'!C4</f>
        <v>Oral Presentations</v>
      </c>
      <c r="C5" s="102">
        <f>' Master'!D4</f>
        <v>0.05</v>
      </c>
      <c r="D5" s="77"/>
      <c r="E5" s="78">
        <v>5</v>
      </c>
      <c r="F5" s="140"/>
      <c r="G5" s="127">
        <f>'Business Score'!D4</f>
        <v>3.9</v>
      </c>
      <c r="H5" s="127">
        <f>'Business Score'!D5</f>
        <v>4.9000000000000004</v>
      </c>
      <c r="I5" s="127">
        <f>'Business Score'!D6</f>
        <v>4</v>
      </c>
    </row>
    <row r="6" spans="1:9" ht="16.5" customHeight="1" x14ac:dyDescent="0.25">
      <c r="A6" s="100">
        <v>4</v>
      </c>
      <c r="B6" s="101" t="str">
        <f>' Master'!C5</f>
        <v>Key Staff Interviews</v>
      </c>
      <c r="C6" s="102">
        <f>' Master'!D5</f>
        <v>0.1</v>
      </c>
      <c r="D6" s="77"/>
      <c r="E6" s="78">
        <v>10</v>
      </c>
      <c r="F6" s="140"/>
      <c r="G6" s="127">
        <f>'Business Score'!E4</f>
        <v>7.9300000000000006</v>
      </c>
      <c r="H6" s="127">
        <f>'Business Score'!E5</f>
        <v>8.9600000000000009</v>
      </c>
      <c r="I6" s="127">
        <f>'Business Score'!E6</f>
        <v>7.86</v>
      </c>
    </row>
    <row r="7" spans="1:9" ht="16.5" customHeight="1" x14ac:dyDescent="0.25">
      <c r="A7" s="100">
        <v>5</v>
      </c>
      <c r="B7" s="101" t="str">
        <f>' Master'!C6</f>
        <v>Understanding and Approach</v>
      </c>
      <c r="C7" s="102">
        <f>' Master'!D6</f>
        <v>0.4</v>
      </c>
      <c r="D7" s="77"/>
      <c r="E7" s="78">
        <v>40</v>
      </c>
      <c r="F7" s="140"/>
      <c r="G7" s="127">
        <f>'Business Score'!F4</f>
        <v>31.06</v>
      </c>
      <c r="H7" s="127">
        <f>'Business Score'!F5</f>
        <v>34.370000000000005</v>
      </c>
      <c r="I7" s="127">
        <f>'Business Score'!F6</f>
        <v>28.439999999999998</v>
      </c>
    </row>
    <row r="8" spans="1:9" ht="18" customHeight="1" x14ac:dyDescent="0.25">
      <c r="A8" s="100"/>
      <c r="B8" s="142" t="s">
        <v>19</v>
      </c>
      <c r="C8" s="142"/>
      <c r="D8" s="77"/>
      <c r="E8" s="103">
        <f>SUM(E3:E7)</f>
        <v>70</v>
      </c>
      <c r="F8" s="140"/>
      <c r="G8" s="104">
        <f>SUM(G3:G7)</f>
        <v>56.17</v>
      </c>
      <c r="H8" s="104">
        <f t="shared" ref="H8:I8" si="0">SUM(H3:H7)</f>
        <v>62.510000000000005</v>
      </c>
      <c r="I8" s="104">
        <f t="shared" si="0"/>
        <v>54.73</v>
      </c>
    </row>
    <row r="9" spans="1:9" ht="8.25" customHeight="1" x14ac:dyDescent="0.25">
      <c r="A9" s="143"/>
      <c r="B9" s="143"/>
      <c r="C9" s="143"/>
      <c r="D9" s="143"/>
      <c r="E9" s="143"/>
      <c r="F9" s="140"/>
      <c r="G9" s="120"/>
      <c r="H9" s="120"/>
      <c r="I9" s="120"/>
    </row>
    <row r="10" spans="1:9" ht="18" customHeight="1" x14ac:dyDescent="0.25">
      <c r="A10" s="100"/>
      <c r="B10" s="142" t="s">
        <v>20</v>
      </c>
      <c r="C10" s="142"/>
      <c r="D10" s="77"/>
      <c r="E10" s="103">
        <f>E8</f>
        <v>70</v>
      </c>
      <c r="F10" s="140"/>
      <c r="G10" s="104">
        <f>'Business Score'!H4</f>
        <v>62.9</v>
      </c>
      <c r="H10" s="104">
        <f>'Business Score'!H5</f>
        <v>70</v>
      </c>
      <c r="I10" s="104">
        <f>'Business Score'!H6</f>
        <v>61.29</v>
      </c>
    </row>
    <row r="11" spans="1:9" ht="8.25" customHeight="1" x14ac:dyDescent="0.25">
      <c r="A11" s="143"/>
      <c r="B11" s="143"/>
      <c r="C11" s="143"/>
      <c r="D11" s="143"/>
      <c r="E11" s="143"/>
      <c r="F11" s="140"/>
      <c r="G11" s="121"/>
      <c r="H11" s="121"/>
      <c r="I11" s="121"/>
    </row>
    <row r="12" spans="1:9" ht="18" customHeight="1" x14ac:dyDescent="0.25">
      <c r="A12" s="83"/>
      <c r="B12" s="105" t="s">
        <v>21</v>
      </c>
      <c r="C12" s="106"/>
      <c r="D12" s="107">
        <f>SUM(C13:C13)</f>
        <v>0.3</v>
      </c>
      <c r="E12" s="108"/>
      <c r="F12" s="140"/>
      <c r="G12" s="108"/>
      <c r="H12" s="108"/>
      <c r="I12" s="108"/>
    </row>
    <row r="13" spans="1:9" ht="30" customHeight="1" x14ac:dyDescent="0.25">
      <c r="A13" s="100">
        <v>6</v>
      </c>
      <c r="B13" s="84" t="s">
        <v>94</v>
      </c>
      <c r="C13" s="77">
        <v>0.3</v>
      </c>
      <c r="D13" s="77"/>
      <c r="E13" s="78">
        <v>30</v>
      </c>
      <c r="F13" s="140"/>
      <c r="G13" s="79">
        <f>'Price Score'!D4</f>
        <v>23.61</v>
      </c>
      <c r="H13" s="79">
        <f>'Price Score'!D5</f>
        <v>22.85</v>
      </c>
      <c r="I13" s="79">
        <f>'Price Score'!D6</f>
        <v>30</v>
      </c>
    </row>
    <row r="14" spans="1:9" ht="18" customHeight="1" x14ac:dyDescent="0.25">
      <c r="A14" s="100"/>
      <c r="B14" s="142" t="s">
        <v>22</v>
      </c>
      <c r="C14" s="142"/>
      <c r="D14" s="77"/>
      <c r="E14" s="103">
        <f>SUM(E13:E13)</f>
        <v>30</v>
      </c>
      <c r="F14" s="140"/>
      <c r="G14" s="104">
        <f>SUM(G13:G13)</f>
        <v>23.61</v>
      </c>
      <c r="H14" s="104">
        <f>SUM(H13:H13)</f>
        <v>22.85</v>
      </c>
      <c r="I14" s="104">
        <f>SUM(I13:I13)</f>
        <v>30</v>
      </c>
    </row>
    <row r="15" spans="1:9" ht="19.5" customHeight="1" x14ac:dyDescent="0.25">
      <c r="A15" s="83"/>
      <c r="B15" s="141" t="s">
        <v>23</v>
      </c>
      <c r="C15" s="141"/>
      <c r="D15" s="107">
        <f>SUM(D2,D12)</f>
        <v>1</v>
      </c>
      <c r="E15" s="109">
        <f>SUM(E8,E14)</f>
        <v>100</v>
      </c>
      <c r="F15" s="140"/>
      <c r="G15" s="131">
        <f>SUM(G10,G14)</f>
        <v>86.509999999999991</v>
      </c>
      <c r="H15" s="131">
        <f>SUM(H10,H14)</f>
        <v>92.85</v>
      </c>
      <c r="I15" s="131">
        <f>SUM(I10,I14)</f>
        <v>91.289999999999992</v>
      </c>
    </row>
    <row r="17" spans="2:9" x14ac:dyDescent="0.25">
      <c r="B17" s="53"/>
      <c r="H17" s="34">
        <f>H15-I15</f>
        <v>1.5600000000000023</v>
      </c>
      <c r="I17" s="1" t="s">
        <v>119</v>
      </c>
    </row>
    <row r="18" spans="2:9" x14ac:dyDescent="0.25">
      <c r="B18" s="53"/>
    </row>
    <row r="19" spans="2:9" ht="14" x14ac:dyDescent="0.3">
      <c r="B19" s="10"/>
    </row>
  </sheetData>
  <mergeCells count="7">
    <mergeCell ref="F2:F15"/>
    <mergeCell ref="B15:C15"/>
    <mergeCell ref="B8:C8"/>
    <mergeCell ref="B10:C10"/>
    <mergeCell ref="B14:C14"/>
    <mergeCell ref="A9:E9"/>
    <mergeCell ref="A11:E11"/>
  </mergeCells>
  <pageMargins left="0.5" right="0.5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7" sqref="D7"/>
    </sheetView>
  </sheetViews>
  <sheetFormatPr defaultColWidth="9.1796875" defaultRowHeight="13.5" x14ac:dyDescent="0.25"/>
  <cols>
    <col min="1" max="1" width="18.54296875" style="1" customWidth="1"/>
    <col min="2" max="2" width="18.6328125" style="1" customWidth="1"/>
    <col min="3" max="3" width="2.453125" style="1" customWidth="1"/>
    <col min="4" max="4" width="13.54296875" style="1" customWidth="1"/>
    <col min="5" max="5" width="2.453125" style="1" customWidth="1"/>
    <col min="6" max="16384" width="9.1796875" style="1"/>
  </cols>
  <sheetData>
    <row r="1" spans="1:8" ht="20" customHeight="1" x14ac:dyDescent="0.3">
      <c r="A1" s="138" t="s">
        <v>24</v>
      </c>
      <c r="B1" s="146"/>
      <c r="C1" s="146"/>
      <c r="D1" s="139"/>
    </row>
    <row r="2" spans="1:8" s="10" customFormat="1" ht="20" customHeight="1" x14ac:dyDescent="0.3">
      <c r="A2" s="147" t="s">
        <v>25</v>
      </c>
      <c r="B2" s="148"/>
      <c r="C2" s="149"/>
      <c r="D2" s="65">
        <v>30</v>
      </c>
    </row>
    <row r="3" spans="1:8" s="10" customFormat="1" ht="60" customHeight="1" x14ac:dyDescent="0.3">
      <c r="A3" s="64" t="s">
        <v>26</v>
      </c>
      <c r="B3" s="64" t="s">
        <v>109</v>
      </c>
      <c r="C3" s="150"/>
      <c r="D3" s="64" t="s">
        <v>115</v>
      </c>
    </row>
    <row r="4" spans="1:8" x14ac:dyDescent="0.25">
      <c r="A4" s="40" t="str">
        <f>' Master'!A2</f>
        <v>Gainwell</v>
      </c>
      <c r="B4" s="41">
        <f>'Price Summary'!C3</f>
        <v>53343518.680640005</v>
      </c>
      <c r="C4" s="144"/>
      <c r="D4" s="7">
        <f>ROUND($B$8/B4*$D$2,2)</f>
        <v>23.61</v>
      </c>
      <c r="E4" s="17"/>
    </row>
    <row r="5" spans="1:8" x14ac:dyDescent="0.25">
      <c r="A5" s="40" t="str">
        <f>' Master'!A3</f>
        <v>Accenture</v>
      </c>
      <c r="B5" s="41">
        <f>'Price Summary'!C4</f>
        <v>55116104.012820818</v>
      </c>
      <c r="C5" s="145"/>
      <c r="D5" s="7">
        <f>ROUND($B$8/B5*$D$2,2)</f>
        <v>22.85</v>
      </c>
      <c r="E5" s="17"/>
      <c r="H5" s="53"/>
    </row>
    <row r="6" spans="1:8" x14ac:dyDescent="0.25">
      <c r="A6" s="40" t="str">
        <f>' Master'!A4</f>
        <v>Deloitte</v>
      </c>
      <c r="B6" s="41">
        <f>'Price Summary'!C5</f>
        <v>41983062.585458435</v>
      </c>
      <c r="C6" s="145"/>
      <c r="D6" s="7">
        <f>ROUND($B$8/B6*$D$2,2)</f>
        <v>30</v>
      </c>
      <c r="E6" s="17"/>
      <c r="H6" s="53"/>
    </row>
    <row r="7" spans="1:8" x14ac:dyDescent="0.25">
      <c r="A7" s="39"/>
      <c r="B7" s="23"/>
      <c r="C7" s="29"/>
      <c r="D7" s="29"/>
    </row>
    <row r="8" spans="1:8" x14ac:dyDescent="0.25">
      <c r="A8" s="20" t="s">
        <v>28</v>
      </c>
      <c r="B8" s="38">
        <f>MIN(B4:B6)</f>
        <v>41983062.585458435</v>
      </c>
      <c r="C8" s="42"/>
      <c r="D8" s="8"/>
    </row>
    <row r="9" spans="1:8" x14ac:dyDescent="0.25">
      <c r="A9" s="20" t="s">
        <v>29</v>
      </c>
      <c r="B9" s="38">
        <f>MAX(B4:B6)</f>
        <v>55116104.012820818</v>
      </c>
      <c r="C9" s="42"/>
    </row>
    <row r="11" spans="1:8" x14ac:dyDescent="0.25">
      <c r="A11" s="31" t="s">
        <v>30</v>
      </c>
      <c r="B11" s="25">
        <f>B9-B8</f>
        <v>13133041.427362382</v>
      </c>
    </row>
    <row r="12" spans="1:8" x14ac:dyDescent="0.25">
      <c r="A12" s="31" t="s">
        <v>31</v>
      </c>
      <c r="B12" s="21">
        <f>B11/B8</f>
        <v>0.31281761307025846</v>
      </c>
    </row>
    <row r="13" spans="1:8" x14ac:dyDescent="0.25">
      <c r="A13" s="31"/>
      <c r="D13" s="33"/>
    </row>
    <row r="14" spans="1:8" x14ac:dyDescent="0.25">
      <c r="A14" s="32"/>
      <c r="B14" s="25"/>
    </row>
    <row r="15" spans="1:8" x14ac:dyDescent="0.25">
      <c r="A15" s="36"/>
      <c r="B15" s="37"/>
      <c r="D15" s="33"/>
    </row>
    <row r="16" spans="1:8" x14ac:dyDescent="0.25">
      <c r="A16" s="32"/>
      <c r="B16" s="37"/>
    </row>
    <row r="17" spans="1:2" x14ac:dyDescent="0.25">
      <c r="A17" s="32"/>
    </row>
    <row r="18" spans="1:2" x14ac:dyDescent="0.25">
      <c r="B18" s="12"/>
    </row>
    <row r="19" spans="1:2" x14ac:dyDescent="0.25">
      <c r="B19" s="25"/>
    </row>
  </sheetData>
  <mergeCells count="4">
    <mergeCell ref="C4:C6"/>
    <mergeCell ref="A1:D1"/>
    <mergeCell ref="A2:B2"/>
    <mergeCell ref="C2:C3"/>
  </mergeCells>
  <phoneticPr fontId="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38D7-957B-4F18-8BD8-C6AC864B4ACB}">
  <dimension ref="A1:F11"/>
  <sheetViews>
    <sheetView zoomScaleNormal="100" workbookViewId="0">
      <selection activeCell="F7" sqref="F7"/>
    </sheetView>
  </sheetViews>
  <sheetFormatPr defaultColWidth="9.1796875" defaultRowHeight="14.5" x14ac:dyDescent="0.35"/>
  <cols>
    <col min="1" max="1" width="3.54296875" customWidth="1"/>
    <col min="2" max="2" width="25.453125" customWidth="1"/>
    <col min="3" max="3" width="16.54296875" style="44" customWidth="1"/>
    <col min="4" max="4" width="2.54296875" customWidth="1"/>
    <col min="5" max="6" width="14.54296875" customWidth="1"/>
  </cols>
  <sheetData>
    <row r="1" spans="1:6" ht="20" customHeight="1" x14ac:dyDescent="0.35">
      <c r="A1" s="138" t="s">
        <v>32</v>
      </c>
      <c r="B1" s="146"/>
      <c r="C1" s="139"/>
      <c r="D1" s="64"/>
      <c r="E1" s="64"/>
      <c r="F1" s="64"/>
    </row>
    <row r="2" spans="1:6" ht="72" customHeight="1" x14ac:dyDescent="0.35">
      <c r="A2" s="64"/>
      <c r="B2" s="64" t="s">
        <v>26</v>
      </c>
      <c r="C2" s="64" t="s">
        <v>109</v>
      </c>
      <c r="D2" s="64"/>
      <c r="E2" s="64" t="s">
        <v>27</v>
      </c>
      <c r="F2" s="64" t="s">
        <v>108</v>
      </c>
    </row>
    <row r="3" spans="1:6" s="1" customFormat="1" ht="17.25" customHeight="1" x14ac:dyDescent="0.3">
      <c r="A3" s="64"/>
      <c r="B3" s="20" t="str">
        <f>' Master'!A2</f>
        <v>Gainwell</v>
      </c>
      <c r="C3" s="61">
        <f>'Price Details'!B11</f>
        <v>53343518.680640005</v>
      </c>
      <c r="D3" s="56"/>
      <c r="E3" s="24">
        <f>C3/$C$11</f>
        <v>9848028.1576392893</v>
      </c>
      <c r="F3" s="24">
        <f>E3/12</f>
        <v>820669.01313660748</v>
      </c>
    </row>
    <row r="4" spans="1:6" s="1" customFormat="1" ht="17.25" customHeight="1" x14ac:dyDescent="0.3">
      <c r="A4" s="64"/>
      <c r="B4" s="20" t="str">
        <f>' Master'!A3</f>
        <v>Accenture</v>
      </c>
      <c r="C4" s="61">
        <f>'Price Details'!C11</f>
        <v>55116104.012820818</v>
      </c>
      <c r="D4" s="57"/>
      <c r="E4" s="24">
        <f>C4/$C$11</f>
        <v>10175274.479121087</v>
      </c>
      <c r="F4" s="24">
        <f t="shared" ref="F4:F5" si="0">E4/12</f>
        <v>847939.53992675722</v>
      </c>
    </row>
    <row r="5" spans="1:6" s="1" customFormat="1" ht="17.25" customHeight="1" x14ac:dyDescent="0.3">
      <c r="A5" s="64"/>
      <c r="B5" s="20" t="str">
        <f>' Master'!A4</f>
        <v>Deloitte</v>
      </c>
      <c r="C5" s="62">
        <f>'Price Details'!D11</f>
        <v>41983062.585458435</v>
      </c>
      <c r="D5" s="57"/>
      <c r="E5" s="24">
        <f>C5/$C$11</f>
        <v>7750714.4768757252</v>
      </c>
      <c r="F5" s="24">
        <f t="shared" si="0"/>
        <v>645892.87307297706</v>
      </c>
    </row>
    <row r="7" spans="1:6" s="1" customFormat="1" ht="15" customHeight="1" x14ac:dyDescent="0.25">
      <c r="A7" s="151" t="s">
        <v>33</v>
      </c>
      <c r="B7" s="151"/>
      <c r="C7" s="45">
        <f>C5-C4</f>
        <v>-13133041.427362382</v>
      </c>
    </row>
    <row r="8" spans="1:6" s="1" customFormat="1" ht="13.5" x14ac:dyDescent="0.25">
      <c r="A8" s="1" t="s">
        <v>34</v>
      </c>
      <c r="C8" s="46">
        <f>C7/C11</f>
        <v>-2424560.0022453615</v>
      </c>
    </row>
    <row r="9" spans="1:6" s="1" customFormat="1" ht="13.5" x14ac:dyDescent="0.25">
      <c r="C9" s="8"/>
    </row>
    <row r="10" spans="1:6" x14ac:dyDescent="0.35">
      <c r="A10" s="1"/>
      <c r="B10" s="1"/>
      <c r="C10" s="8"/>
    </row>
    <row r="11" spans="1:6" s="1" customFormat="1" ht="13.5" x14ac:dyDescent="0.25">
      <c r="A11" s="1" t="s">
        <v>110</v>
      </c>
      <c r="C11" s="8">
        <v>5.4166699999999999</v>
      </c>
    </row>
  </sheetData>
  <mergeCells count="2">
    <mergeCell ref="A1:C1"/>
    <mergeCell ref="A7:B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637C3-D230-4029-8033-E70154962EB2}">
  <dimension ref="A1:E20"/>
  <sheetViews>
    <sheetView zoomScaleNormal="100" workbookViewId="0">
      <selection activeCell="D3" sqref="D3"/>
    </sheetView>
  </sheetViews>
  <sheetFormatPr defaultColWidth="9.1796875" defaultRowHeight="13.5" x14ac:dyDescent="0.25"/>
  <cols>
    <col min="1" max="1" width="66.1796875" style="1" customWidth="1"/>
    <col min="2" max="4" width="15.54296875" style="1" customWidth="1"/>
    <col min="5" max="5" width="2.453125" style="1" customWidth="1"/>
    <col min="6" max="6" width="18.26953125" style="1" customWidth="1"/>
    <col min="7" max="16384" width="9.1796875" style="1"/>
  </cols>
  <sheetData>
    <row r="1" spans="1:5" s="10" customFormat="1" ht="24" customHeight="1" x14ac:dyDescent="0.3">
      <c r="A1" s="71" t="s">
        <v>100</v>
      </c>
      <c r="B1" s="71" t="s">
        <v>42</v>
      </c>
      <c r="C1" s="93">
        <v>0.3</v>
      </c>
      <c r="D1" s="71"/>
    </row>
    <row r="2" spans="1:5" s="10" customFormat="1" ht="18" customHeight="1" x14ac:dyDescent="0.3">
      <c r="A2" s="83" t="s">
        <v>101</v>
      </c>
      <c r="B2" s="83" t="str">
        <f>' Master'!A2</f>
        <v>Gainwell</v>
      </c>
      <c r="C2" s="83" t="str">
        <f>' Master'!A3</f>
        <v>Accenture</v>
      </c>
      <c r="D2" s="83" t="str">
        <f>' Master'!A4</f>
        <v>Deloitte</v>
      </c>
    </row>
    <row r="3" spans="1:5" s="10" customFormat="1" ht="17.25" customHeight="1" x14ac:dyDescent="0.3">
      <c r="A3" s="88" t="s">
        <v>102</v>
      </c>
      <c r="B3" s="114">
        <f>'[1]1. SFY Summary'!$N6</f>
        <v>1632151</v>
      </c>
      <c r="C3" s="114">
        <f>'[2]1. SFY Summary'!$N6</f>
        <v>1562475.7551954123</v>
      </c>
      <c r="D3" s="114">
        <f>'[3]1. SFY Summary'!$N6</f>
        <v>444242</v>
      </c>
    </row>
    <row r="4" spans="1:5" ht="17.25" customHeight="1" x14ac:dyDescent="0.25">
      <c r="A4" s="88" t="s">
        <v>103</v>
      </c>
      <c r="B4" s="114">
        <f>'[1]1. SFY Summary'!$N7</f>
        <v>3547140</v>
      </c>
      <c r="C4" s="114">
        <f>'[2]1. SFY Summary'!$N7</f>
        <v>3643066.2938220464</v>
      </c>
      <c r="D4" s="114">
        <f>'[3]1. SFY Summary'!$N7</f>
        <v>3462388</v>
      </c>
      <c r="E4" s="17"/>
    </row>
    <row r="5" spans="1:5" ht="17.25" customHeight="1" x14ac:dyDescent="0.25">
      <c r="A5" s="88" t="s">
        <v>106</v>
      </c>
      <c r="B5" s="114">
        <f>'[1]1. SFY Summary'!$N8</f>
        <v>2851447.3200000003</v>
      </c>
      <c r="C5" s="114">
        <f>'[2]1. SFY Summary'!$N8</f>
        <v>1660080.6579288426</v>
      </c>
      <c r="D5" s="114">
        <f>'[3]1. SFY Summary'!$N8</f>
        <v>932052.58545843989</v>
      </c>
    </row>
    <row r="6" spans="1:5" ht="17.25" customHeight="1" x14ac:dyDescent="0.25">
      <c r="A6" s="88" t="s">
        <v>105</v>
      </c>
      <c r="B6" s="114">
        <f>'[1]1. SFY Summary'!$N9</f>
        <v>49916071.360639997</v>
      </c>
      <c r="C6" s="114">
        <f>'[2]1. SFY Summary'!$N9</f>
        <v>53456023.354891963</v>
      </c>
      <c r="D6" s="114">
        <f>'[3]1. SFY Summary'!$N9</f>
        <v>40841640</v>
      </c>
    </row>
    <row r="7" spans="1:5" ht="17.25" customHeight="1" x14ac:dyDescent="0.25">
      <c r="A7" s="88" t="s">
        <v>104</v>
      </c>
      <c r="B7" s="114">
        <f>'[1]1. SFY Summary'!$N10</f>
        <v>576000</v>
      </c>
      <c r="C7" s="114">
        <f>'[2]1. SFY Summary'!$N10</f>
        <v>0</v>
      </c>
      <c r="D7" s="114">
        <f>'[3]1. SFY Summary'!$N10</f>
        <v>209370</v>
      </c>
    </row>
    <row r="8" spans="1:5" ht="7" customHeight="1" x14ac:dyDescent="0.25">
      <c r="A8" s="152"/>
      <c r="B8" s="152"/>
      <c r="C8" s="152"/>
      <c r="D8" s="152"/>
    </row>
    <row r="9" spans="1:5" ht="28" customHeight="1" x14ac:dyDescent="0.25">
      <c r="A9" s="105" t="s">
        <v>107</v>
      </c>
      <c r="B9" s="115">
        <f>SUM(B3:B7)</f>
        <v>58522809.680639997</v>
      </c>
      <c r="C9" s="115">
        <f t="shared" ref="C9:D9" si="0">SUM(C3:C7)</f>
        <v>60321646.061838269</v>
      </c>
      <c r="D9" s="115">
        <f t="shared" si="0"/>
        <v>45889692.585458443</v>
      </c>
    </row>
    <row r="10" spans="1:5" ht="8" customHeight="1" x14ac:dyDescent="0.25">
      <c r="A10" s="118"/>
      <c r="B10" s="118"/>
      <c r="C10" s="118"/>
      <c r="D10" s="118"/>
    </row>
    <row r="11" spans="1:5" ht="28" customHeight="1" x14ac:dyDescent="0.25">
      <c r="A11" s="105" t="s">
        <v>96</v>
      </c>
      <c r="B11" s="116">
        <f>'[1]1. SFY Summary'!$N$13</f>
        <v>53343518.680640005</v>
      </c>
      <c r="C11" s="116">
        <f>'[2]1. SFY Summary'!$N$13</f>
        <v>55116104.012820818</v>
      </c>
      <c r="D11" s="116">
        <f>'[3]1. SFY Summary'!$N$13</f>
        <v>41983062.585458435</v>
      </c>
    </row>
    <row r="12" spans="1:5" ht="8" customHeight="1" x14ac:dyDescent="0.25">
      <c r="A12" s="118"/>
      <c r="B12" s="118"/>
      <c r="C12" s="118"/>
      <c r="D12" s="118"/>
    </row>
    <row r="13" spans="1:5" ht="18" customHeight="1" x14ac:dyDescent="0.25">
      <c r="A13" s="105" t="s">
        <v>97</v>
      </c>
      <c r="B13" s="115">
        <f>'[1]1. SFY Summary'!$N$15</f>
        <v>56890658.680640005</v>
      </c>
      <c r="C13" s="115">
        <f>'[2]1. SFY Summary'!$N$15</f>
        <v>58759170.306642853</v>
      </c>
      <c r="D13" s="115">
        <f>'[3]1. SFY Summary'!$N$15</f>
        <v>45445450.585458435</v>
      </c>
    </row>
    <row r="14" spans="1:5" ht="8" customHeight="1" x14ac:dyDescent="0.25">
      <c r="A14" s="119"/>
      <c r="B14" s="119"/>
      <c r="C14" s="119"/>
      <c r="D14" s="119"/>
    </row>
    <row r="15" spans="1:5" ht="18" customHeight="1" x14ac:dyDescent="0.25">
      <c r="A15" s="105" t="s">
        <v>98</v>
      </c>
      <c r="B15" s="115">
        <f>'[1]1. SFY Summary'!$N$21</f>
        <v>43008764.733277656</v>
      </c>
      <c r="C15" s="115">
        <f>'[2]1. SFY Summary'!$N$21</f>
        <v>44960057.809086911</v>
      </c>
      <c r="D15" s="115">
        <f>'[3]1. SFY Summary'!$N$21</f>
        <v>34089876.525326476</v>
      </c>
    </row>
    <row r="16" spans="1:5" ht="8" customHeight="1" x14ac:dyDescent="0.25">
      <c r="A16" s="119"/>
      <c r="B16" s="119"/>
      <c r="C16" s="119"/>
      <c r="D16" s="119"/>
    </row>
    <row r="17" spans="1:4" ht="18" customHeight="1" x14ac:dyDescent="0.25">
      <c r="A17" s="105" t="s">
        <v>99</v>
      </c>
      <c r="B17" s="115">
        <f>'[1]1. SFY Summary'!$N$23</f>
        <v>101531574.41391766</v>
      </c>
      <c r="C17" s="115">
        <f>'[2]1. SFY Summary'!$N$23</f>
        <v>105281703.87092519</v>
      </c>
      <c r="D17" s="115">
        <f>'[3]1. SFY Summary'!$N$23</f>
        <v>79979569.110784918</v>
      </c>
    </row>
    <row r="18" spans="1:4" ht="8" customHeight="1" x14ac:dyDescent="0.25">
      <c r="A18" s="119"/>
      <c r="B18" s="119"/>
      <c r="C18" s="119"/>
      <c r="D18" s="119"/>
    </row>
    <row r="19" spans="1:4" ht="18" customHeight="1" x14ac:dyDescent="0.25">
      <c r="A19" s="105" t="s">
        <v>95</v>
      </c>
      <c r="B19" s="117">
        <f>'Price Score'!D4</f>
        <v>23.61</v>
      </c>
      <c r="C19" s="117">
        <f>'Price Score'!D5</f>
        <v>22.85</v>
      </c>
      <c r="D19" s="117">
        <f>'Price Score'!D6</f>
        <v>30</v>
      </c>
    </row>
    <row r="20" spans="1:4" ht="10" customHeight="1" x14ac:dyDescent="0.25"/>
  </sheetData>
  <mergeCells count="1">
    <mergeCell ref="A8:D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"/>
  <sheetViews>
    <sheetView workbookViewId="0">
      <selection activeCell="H8" sqref="H8"/>
    </sheetView>
  </sheetViews>
  <sheetFormatPr defaultColWidth="9.1796875" defaultRowHeight="13.5" x14ac:dyDescent="0.25"/>
  <cols>
    <col min="1" max="1" width="15.54296875" style="1" customWidth="1"/>
    <col min="2" max="6" width="16" style="1" customWidth="1"/>
    <col min="7" max="7" width="15.54296875" style="1" customWidth="1"/>
    <col min="8" max="8" width="15.6328125" style="1" customWidth="1"/>
    <col min="9" max="9" width="1.453125" style="97" customWidth="1"/>
    <col min="10" max="10" width="11.54296875" style="1" customWidth="1"/>
    <col min="11" max="16384" width="9.1796875" style="1"/>
  </cols>
  <sheetData>
    <row r="1" spans="1:13" s="10" customFormat="1" ht="20.25" customHeight="1" x14ac:dyDescent="0.3">
      <c r="A1" s="153" t="s">
        <v>35</v>
      </c>
      <c r="B1" s="153"/>
      <c r="C1" s="153"/>
      <c r="D1" s="71"/>
      <c r="E1" s="153" t="s">
        <v>36</v>
      </c>
      <c r="F1" s="153"/>
      <c r="G1" s="113">
        <v>70</v>
      </c>
      <c r="H1" s="126"/>
      <c r="I1" s="126"/>
      <c r="J1" s="126"/>
    </row>
    <row r="2" spans="1:13" s="8" customFormat="1" ht="16.5" customHeight="1" x14ac:dyDescent="0.3">
      <c r="A2" s="112"/>
      <c r="B2" s="93">
        <f>' Master'!D2</f>
        <v>0.05</v>
      </c>
      <c r="C2" s="93">
        <f>' Master'!D3</f>
        <v>0.1</v>
      </c>
      <c r="D2" s="93">
        <f>' Master'!D4</f>
        <v>0.05</v>
      </c>
      <c r="E2" s="93">
        <f>' Master'!D5</f>
        <v>0.1</v>
      </c>
      <c r="F2" s="93">
        <f>' Master'!D6</f>
        <v>0.4</v>
      </c>
      <c r="G2" s="154" t="s">
        <v>37</v>
      </c>
      <c r="H2" s="154" t="s">
        <v>38</v>
      </c>
      <c r="I2" s="156"/>
      <c r="J2" s="154" t="s">
        <v>13</v>
      </c>
    </row>
    <row r="3" spans="1:13" s="10" customFormat="1" ht="56" x14ac:dyDescent="0.3">
      <c r="A3" s="71" t="s">
        <v>26</v>
      </c>
      <c r="B3" s="71" t="s">
        <v>2</v>
      </c>
      <c r="C3" s="71" t="str">
        <f>' Master'!C3</f>
        <v>Staff Qualifications and Experience</v>
      </c>
      <c r="D3" s="71" t="str">
        <f>' Master'!C4</f>
        <v>Oral Presentations</v>
      </c>
      <c r="E3" s="71" t="str">
        <f>' Master'!C5</f>
        <v>Key Staff Interviews</v>
      </c>
      <c r="F3" s="71" t="str">
        <f>' Master'!C6</f>
        <v>Understanding and Approach</v>
      </c>
      <c r="G3" s="154"/>
      <c r="H3" s="154"/>
      <c r="I3" s="156"/>
      <c r="J3" s="154"/>
    </row>
    <row r="4" spans="1:13" s="31" customFormat="1" ht="19.5" customHeight="1" x14ac:dyDescent="0.25">
      <c r="A4" s="88" t="str">
        <f>'Summary Total'!A2</f>
        <v>Gainwell</v>
      </c>
      <c r="B4" s="96">
        <f>'Firm References'!B8</f>
        <v>4.5</v>
      </c>
      <c r="C4" s="96">
        <f>'Staff Quals &amp; Experience'!C19</f>
        <v>8.7799999999999994</v>
      </c>
      <c r="D4" s="96">
        <f>'KSIs and Orals'!B20</f>
        <v>3.9</v>
      </c>
      <c r="E4" s="96">
        <f>'KSIs and Orals'!B15</f>
        <v>7.9300000000000006</v>
      </c>
      <c r="F4" s="96">
        <f>'Understanding &amp; Approach'!K4</f>
        <v>31.06</v>
      </c>
      <c r="G4" s="130">
        <f>ROUND(SUM(B4:F4),2)</f>
        <v>56.17</v>
      </c>
      <c r="H4" s="96">
        <f>ROUND(G4/$G$8*$G$1,2)</f>
        <v>62.9</v>
      </c>
      <c r="I4" s="95"/>
      <c r="J4" s="85">
        <f>_xlfn.RANK.AVG(H4,$H$4:$H$6)</f>
        <v>2</v>
      </c>
    </row>
    <row r="5" spans="1:13" s="31" customFormat="1" ht="19.5" customHeight="1" x14ac:dyDescent="0.25">
      <c r="A5" s="88" t="str">
        <f>'Summary Total'!A3</f>
        <v>Accenture</v>
      </c>
      <c r="B5" s="96">
        <f>'Firm References'!C8</f>
        <v>4.8499999999999996</v>
      </c>
      <c r="C5" s="96">
        <f>'Staff Quals &amp; Experience'!D19</f>
        <v>9.43</v>
      </c>
      <c r="D5" s="96">
        <f>'KSIs and Orals'!C20</f>
        <v>4.9000000000000004</v>
      </c>
      <c r="E5" s="96">
        <f>'KSIs and Orals'!C15</f>
        <v>8.9600000000000009</v>
      </c>
      <c r="F5" s="96">
        <f>'Understanding &amp; Approach'!K5</f>
        <v>34.370000000000005</v>
      </c>
      <c r="G5" s="130">
        <f t="shared" ref="G5:G6" si="0">ROUND(SUM(B5:F5),2)</f>
        <v>62.51</v>
      </c>
      <c r="H5" s="96">
        <f>ROUND(G5/$G$8*$G$1,2)</f>
        <v>70</v>
      </c>
      <c r="I5" s="95"/>
      <c r="J5" s="85">
        <f>_xlfn.RANK.AVG(H5,$H$4:$H$6)</f>
        <v>1</v>
      </c>
    </row>
    <row r="6" spans="1:13" s="31" customFormat="1" ht="19.5" customHeight="1" x14ac:dyDescent="0.25">
      <c r="A6" s="88" t="str">
        <f>'Summary Total'!A4</f>
        <v>Deloitte</v>
      </c>
      <c r="B6" s="96">
        <f>'Firm References'!D8</f>
        <v>5</v>
      </c>
      <c r="C6" s="96">
        <f>'Staff Quals &amp; Experience'!E19</f>
        <v>9.43</v>
      </c>
      <c r="D6" s="96">
        <f>'KSIs and Orals'!D20</f>
        <v>4</v>
      </c>
      <c r="E6" s="96">
        <f>'KSIs and Orals'!D15</f>
        <v>7.86</v>
      </c>
      <c r="F6" s="96">
        <f>'Understanding &amp; Approach'!K6</f>
        <v>28.439999999999998</v>
      </c>
      <c r="G6" s="130">
        <f t="shared" si="0"/>
        <v>54.73</v>
      </c>
      <c r="H6" s="96">
        <f>ROUND(G6/$G$8*$G$1,2)</f>
        <v>61.29</v>
      </c>
      <c r="I6" s="95"/>
      <c r="J6" s="85">
        <f>_xlfn.RANK.AVG(H6,$H$4:$H$6)</f>
        <v>3</v>
      </c>
    </row>
    <row r="7" spans="1:13" s="122" customFormat="1" ht="8.25" customHeight="1" x14ac:dyDescent="0.25">
      <c r="A7" s="158"/>
      <c r="B7" s="158"/>
      <c r="C7" s="158"/>
      <c r="D7" s="158"/>
      <c r="E7" s="158"/>
      <c r="F7" s="158"/>
      <c r="G7" s="158"/>
      <c r="H7" s="158"/>
      <c r="I7" s="86"/>
      <c r="J7" s="86"/>
    </row>
    <row r="8" spans="1:13" s="31" customFormat="1" ht="14.4" customHeight="1" x14ac:dyDescent="0.25">
      <c r="A8" s="157"/>
      <c r="B8" s="157"/>
      <c r="C8" s="157"/>
      <c r="D8" s="157"/>
      <c r="E8" s="155" t="s">
        <v>39</v>
      </c>
      <c r="F8" s="155"/>
      <c r="G8" s="123">
        <f>MAX(G4:G6)</f>
        <v>62.51</v>
      </c>
      <c r="H8" s="86"/>
      <c r="I8" s="86"/>
      <c r="J8" s="86"/>
    </row>
    <row r="9" spans="1:13" s="31" customFormat="1" ht="14.4" customHeight="1" x14ac:dyDescent="0.25">
      <c r="A9" s="88"/>
      <c r="B9" s="88"/>
      <c r="C9" s="88"/>
      <c r="D9" s="88"/>
      <c r="E9" s="155" t="s">
        <v>40</v>
      </c>
      <c r="F9" s="155"/>
      <c r="G9" s="123">
        <f>MIN(G4:G6)</f>
        <v>54.73</v>
      </c>
      <c r="H9" s="86"/>
      <c r="I9" s="86"/>
      <c r="J9" s="86"/>
    </row>
    <row r="10" spans="1:13" s="31" customFormat="1" ht="12.5" x14ac:dyDescent="0.25">
      <c r="F10" s="124"/>
      <c r="H10" s="124">
        <f>MAX(H4:H6)-MIN(H6:H6)</f>
        <v>8.7100000000000009</v>
      </c>
      <c r="I10" s="122"/>
      <c r="J10" s="31" t="s">
        <v>116</v>
      </c>
    </row>
    <row r="11" spans="1:13" x14ac:dyDescent="0.25">
      <c r="B11" s="53"/>
      <c r="F11" s="47"/>
      <c r="H11" s="137">
        <f>(MAX(H4:H6)-MIN(H6:H6))/MAX(H6:H6)</f>
        <v>0.14211127426986458</v>
      </c>
      <c r="I11" s="122"/>
      <c r="J11" s="31" t="s">
        <v>117</v>
      </c>
      <c r="K11" s="31"/>
      <c r="L11" s="31"/>
      <c r="M11" s="31"/>
    </row>
    <row r="12" spans="1:13" x14ac:dyDescent="0.25">
      <c r="B12" s="53"/>
    </row>
    <row r="13" spans="1:13" x14ac:dyDescent="0.25">
      <c r="B13" s="53"/>
    </row>
  </sheetData>
  <mergeCells count="10">
    <mergeCell ref="E9:F9"/>
    <mergeCell ref="I2:I3"/>
    <mergeCell ref="J2:J3"/>
    <mergeCell ref="A8:D8"/>
    <mergeCell ref="A7:H7"/>
    <mergeCell ref="E1:F1"/>
    <mergeCell ref="A1:C1"/>
    <mergeCell ref="G2:G3"/>
    <mergeCell ref="H2:H3"/>
    <mergeCell ref="E8:F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F9FA9-6E8F-4981-9257-34EFC4BFF311}">
  <dimension ref="A1:G11"/>
  <sheetViews>
    <sheetView zoomScale="95" zoomScaleNormal="9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0" sqref="D10"/>
    </sheetView>
  </sheetViews>
  <sheetFormatPr defaultColWidth="9.1796875" defaultRowHeight="13.5" x14ac:dyDescent="0.25"/>
  <cols>
    <col min="1" max="1" width="32.54296875" style="1" customWidth="1"/>
    <col min="2" max="2" width="12.54296875" style="8" customWidth="1"/>
    <col min="3" max="4" width="12.54296875" style="1" customWidth="1"/>
    <col min="5" max="5" width="14" style="1" customWidth="1"/>
    <col min="6" max="6" width="6" style="1" customWidth="1"/>
    <col min="7" max="7" width="14.1796875" style="1" bestFit="1" customWidth="1"/>
    <col min="8" max="16384" width="9.1796875" style="1"/>
  </cols>
  <sheetData>
    <row r="1" spans="1:7" s="10" customFormat="1" ht="20" customHeight="1" x14ac:dyDescent="0.3">
      <c r="A1" s="160"/>
      <c r="B1" s="160"/>
      <c r="C1" s="132" t="s">
        <v>42</v>
      </c>
      <c r="D1" s="133">
        <v>0.05</v>
      </c>
      <c r="G1" s="58"/>
    </row>
    <row r="2" spans="1:7" ht="20" customHeight="1" x14ac:dyDescent="0.3">
      <c r="A2" s="132" t="s">
        <v>41</v>
      </c>
      <c r="B2" s="132" t="str">
        <f>' Master'!A2</f>
        <v>Gainwell</v>
      </c>
      <c r="C2" s="132" t="str">
        <f>' Master'!A3</f>
        <v>Accenture</v>
      </c>
      <c r="D2" s="132" t="str">
        <f>' Master'!A4</f>
        <v>Deloitte</v>
      </c>
    </row>
    <row r="3" spans="1:7" s="11" customFormat="1" ht="16.5" customHeight="1" x14ac:dyDescent="0.3">
      <c r="A3" s="134" t="s">
        <v>43</v>
      </c>
      <c r="B3" s="81">
        <f>'[4]Firm References'!$F$3</f>
        <v>9</v>
      </c>
      <c r="C3" s="81">
        <f>'[5]Firm References'!$F$3</f>
        <v>9</v>
      </c>
      <c r="D3" s="81">
        <f>'[6]Firm References'!$F$3</f>
        <v>10</v>
      </c>
      <c r="G3" s="13"/>
    </row>
    <row r="4" spans="1:7" s="11" customFormat="1" ht="16.5" customHeight="1" x14ac:dyDescent="0.3">
      <c r="A4" s="134" t="s">
        <v>44</v>
      </c>
      <c r="B4" s="81">
        <f>'[4]Firm References'!$F$4</f>
        <v>9</v>
      </c>
      <c r="C4" s="81">
        <f>'[5]Firm References'!$F$4</f>
        <v>10</v>
      </c>
      <c r="D4" s="81">
        <f>'[6]Firm References'!$F$4</f>
        <v>10</v>
      </c>
      <c r="G4" s="13"/>
    </row>
    <row r="5" spans="1:7" ht="16.5" customHeight="1" x14ac:dyDescent="0.25">
      <c r="A5" s="134" t="s">
        <v>111</v>
      </c>
      <c r="B5" s="81"/>
      <c r="C5" s="81">
        <f>'[5]Firm References'!$F$5</f>
        <v>10</v>
      </c>
      <c r="D5" s="81"/>
      <c r="E5" s="14"/>
      <c r="G5" s="15"/>
    </row>
    <row r="6" spans="1:7" ht="16.5" customHeight="1" x14ac:dyDescent="0.3">
      <c r="A6" s="135" t="s">
        <v>45</v>
      </c>
      <c r="B6" s="136">
        <f>'[4]Firm References'!$F$5</f>
        <v>9</v>
      </c>
      <c r="C6" s="136">
        <f>'[5]Firm References'!$F$7</f>
        <v>9.6999999999999993</v>
      </c>
      <c r="D6" s="136">
        <f>'[6]Firm References'!$F$5</f>
        <v>10</v>
      </c>
    </row>
    <row r="7" spans="1:7" ht="8" customHeight="1" x14ac:dyDescent="0.25">
      <c r="A7" s="159"/>
      <c r="B7" s="159"/>
      <c r="C7" s="159"/>
      <c r="D7" s="159"/>
    </row>
    <row r="8" spans="1:7" ht="16.5" customHeight="1" x14ac:dyDescent="0.3">
      <c r="A8" s="135" t="s">
        <v>46</v>
      </c>
      <c r="B8" s="136">
        <f>B6/2</f>
        <v>4.5</v>
      </c>
      <c r="C8" s="136">
        <f>C6/2</f>
        <v>4.8499999999999996</v>
      </c>
      <c r="D8" s="136">
        <f>D6/2</f>
        <v>5</v>
      </c>
    </row>
    <row r="10" spans="1:7" x14ac:dyDescent="0.25">
      <c r="A10" s="53"/>
    </row>
    <row r="11" spans="1:7" x14ac:dyDescent="0.25">
      <c r="A11" s="53"/>
    </row>
  </sheetData>
  <mergeCells count="2">
    <mergeCell ref="A7:D7"/>
    <mergeCell ref="A1:B1"/>
  </mergeCells>
  <phoneticPr fontId="8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5050E-730D-4102-9636-293811538FD4}">
  <dimension ref="A1:AA19"/>
  <sheetViews>
    <sheetView zoomScaleNormal="100" workbookViewId="0">
      <selection activeCell="C15" sqref="C15"/>
    </sheetView>
  </sheetViews>
  <sheetFormatPr defaultColWidth="9.1796875" defaultRowHeight="13.5" x14ac:dyDescent="0.25"/>
  <cols>
    <col min="1" max="1" width="3.54296875" style="1" customWidth="1"/>
    <col min="2" max="2" width="47.453125" style="1" customWidth="1"/>
    <col min="3" max="3" width="11.08984375" style="8" customWidth="1"/>
    <col min="4" max="5" width="11.08984375" style="1" customWidth="1"/>
    <col min="6" max="6" width="14.6328125" style="1" customWidth="1"/>
    <col min="7" max="7" width="6" style="1" customWidth="1"/>
    <col min="8" max="8" width="14.1796875" style="48" bestFit="1" customWidth="1"/>
    <col min="9" max="16384" width="9.1796875" style="1"/>
  </cols>
  <sheetData>
    <row r="1" spans="1:27" s="10" customFormat="1" ht="20" customHeight="1" x14ac:dyDescent="0.3">
      <c r="A1" s="94"/>
      <c r="B1" s="71" t="s">
        <v>3</v>
      </c>
      <c r="C1" s="71"/>
      <c r="D1" s="71" t="s">
        <v>42</v>
      </c>
      <c r="E1" s="93">
        <f>' Master'!D3</f>
        <v>0.1</v>
      </c>
      <c r="H1" s="50"/>
    </row>
    <row r="2" spans="1:27" s="11" customFormat="1" ht="20" customHeight="1" x14ac:dyDescent="0.3">
      <c r="A2" s="83"/>
      <c r="B2" s="83" t="s">
        <v>57</v>
      </c>
      <c r="C2" s="83" t="str">
        <f>' Master'!A2</f>
        <v>Gainwell</v>
      </c>
      <c r="D2" s="83" t="str">
        <f>' Master'!A3</f>
        <v>Accenture</v>
      </c>
      <c r="E2" s="83" t="str">
        <f>' Master'!A4</f>
        <v>Deloitte</v>
      </c>
      <c r="H2" s="51"/>
    </row>
    <row r="3" spans="1:27" ht="18" customHeight="1" x14ac:dyDescent="0.25">
      <c r="A3" s="98">
        <v>1</v>
      </c>
      <c r="B3" s="84" t="s">
        <v>47</v>
      </c>
      <c r="C3" s="99">
        <f>'[4]Staff Qualifications Summary'!$N$10</f>
        <v>2.8</v>
      </c>
      <c r="D3" s="99">
        <f>'[5]Staff Qualifications Summary'!$N$10</f>
        <v>2.8</v>
      </c>
      <c r="E3" s="99">
        <f>'[6]Staff Qualifications Summary'!$N$10</f>
        <v>2.8</v>
      </c>
      <c r="F3" s="14"/>
      <c r="H3" s="52"/>
    </row>
    <row r="4" spans="1:27" ht="18" customHeight="1" x14ac:dyDescent="0.25">
      <c r="A4" s="98">
        <v>2</v>
      </c>
      <c r="B4" s="84" t="s">
        <v>48</v>
      </c>
      <c r="C4" s="99">
        <f>'[4]Staff Qualifications Summary'!$N$16</f>
        <v>2.6666666666666665</v>
      </c>
      <c r="D4" s="99">
        <f>'[5]Staff Qualifications Summary'!$N$16</f>
        <v>2.6666666666666665</v>
      </c>
      <c r="E4" s="99">
        <f>'[6]Staff Qualifications Summary'!$N$16</f>
        <v>2.6666666666666665</v>
      </c>
      <c r="F4" s="14"/>
      <c r="H4" s="55"/>
    </row>
    <row r="5" spans="1:27" ht="18" customHeight="1" x14ac:dyDescent="0.25">
      <c r="A5" s="98">
        <v>3</v>
      </c>
      <c r="B5" s="84" t="s">
        <v>49</v>
      </c>
      <c r="C5" s="99">
        <f>'[4]Staff Qualifications Summary'!$N$21</f>
        <v>2</v>
      </c>
      <c r="D5" s="99">
        <f>'[5]Staff Qualifications Summary'!$N$21</f>
        <v>3</v>
      </c>
      <c r="E5" s="99">
        <f>'[6]Staff Qualifications Summary'!$N$21</f>
        <v>3</v>
      </c>
      <c r="F5" s="14"/>
      <c r="H5" s="55"/>
    </row>
    <row r="6" spans="1:27" ht="18" customHeight="1" x14ac:dyDescent="0.25">
      <c r="A6" s="98">
        <v>4</v>
      </c>
      <c r="B6" s="84" t="s">
        <v>50</v>
      </c>
      <c r="C6" s="99">
        <f>'[4]Staff Qualifications Summary'!$N$27</f>
        <v>3</v>
      </c>
      <c r="D6" s="99">
        <f>'[5]Staff Qualifications Summary'!$N$27</f>
        <v>3</v>
      </c>
      <c r="E6" s="99">
        <f>'[6]Staff Qualifications Summary'!$N$27</f>
        <v>3</v>
      </c>
      <c r="F6" s="14"/>
      <c r="H6" s="52"/>
    </row>
    <row r="7" spans="1:27" ht="18" customHeight="1" x14ac:dyDescent="0.25">
      <c r="A7" s="98">
        <v>5</v>
      </c>
      <c r="B7" s="84" t="s">
        <v>51</v>
      </c>
      <c r="C7" s="99">
        <f>'[4]Staff Qualifications Summary'!$N$33</f>
        <v>2.3333333333333335</v>
      </c>
      <c r="D7" s="99">
        <f>'[5]Staff Qualifications Summary'!$N$33</f>
        <v>2.6666666666666665</v>
      </c>
      <c r="E7" s="99">
        <f>'[6]Staff Qualifications Summary'!$N$33</f>
        <v>2.6666666666666665</v>
      </c>
      <c r="F7" s="14"/>
      <c r="H7" s="55"/>
    </row>
    <row r="8" spans="1:27" ht="18" customHeight="1" x14ac:dyDescent="0.25">
      <c r="A8" s="98">
        <v>6</v>
      </c>
      <c r="B8" s="84" t="s">
        <v>52</v>
      </c>
      <c r="C8" s="99">
        <f>'[4]Staff Qualifications Summary'!$N$41</f>
        <v>2.8</v>
      </c>
      <c r="D8" s="99">
        <f>'[5]Staff Qualifications Summary'!$N$41</f>
        <v>2.8</v>
      </c>
      <c r="E8" s="99">
        <f>'[6]Staff Qualifications Summary'!$N$41</f>
        <v>2.8</v>
      </c>
      <c r="F8" s="14"/>
      <c r="H8" s="53"/>
    </row>
    <row r="9" spans="1:27" ht="18" customHeight="1" x14ac:dyDescent="0.25">
      <c r="A9" s="98">
        <v>7</v>
      </c>
      <c r="B9" s="84" t="s">
        <v>53</v>
      </c>
      <c r="C9" s="99">
        <f>'[4]Staff Qualifications Summary'!$N$48</f>
        <v>3</v>
      </c>
      <c r="D9" s="99">
        <f>'[5]Staff Qualifications Summary'!$N$48</f>
        <v>3</v>
      </c>
      <c r="E9" s="99">
        <f>'[6]Staff Qualifications Summary'!$N$48</f>
        <v>3</v>
      </c>
      <c r="F9" s="14"/>
      <c r="H9" s="52"/>
    </row>
    <row r="10" spans="1:27" ht="18" customHeight="1" x14ac:dyDescent="0.25">
      <c r="A10" s="98">
        <v>8</v>
      </c>
      <c r="B10" s="84" t="s">
        <v>54</v>
      </c>
      <c r="C10" s="99">
        <f>'[4]Staff Qualifications Summary'!$N$54</f>
        <v>3</v>
      </c>
      <c r="D10" s="99">
        <f>'[5]Staff Qualifications Summary'!$N$54</f>
        <v>2.6666666666666665</v>
      </c>
      <c r="E10" s="99">
        <f>'[6]Staff Qualifications Summary'!$N$54</f>
        <v>2.6666666666666665</v>
      </c>
      <c r="F10" s="14"/>
    </row>
    <row r="11" spans="1:27" ht="18" customHeight="1" x14ac:dyDescent="0.25">
      <c r="A11" s="98">
        <v>9</v>
      </c>
      <c r="B11" s="84" t="s">
        <v>55</v>
      </c>
      <c r="C11" s="99">
        <f>'[4]Staff Qualifications Summary'!$N$63</f>
        <v>2.8333333333333335</v>
      </c>
      <c r="D11" s="99">
        <f>'[5]Staff Qualifications Summary'!$N$63</f>
        <v>2.8333333333333335</v>
      </c>
      <c r="E11" s="99">
        <f>'[6]Staff Qualifications Summary'!$N$63</f>
        <v>2.8333333333333335</v>
      </c>
      <c r="F11" s="14"/>
    </row>
    <row r="12" spans="1:27" s="97" customFormat="1" ht="7" customHeight="1" x14ac:dyDescent="0.25">
      <c r="A12" s="161"/>
      <c r="B12" s="162"/>
      <c r="C12" s="162"/>
      <c r="D12" s="162"/>
      <c r="E12" s="163"/>
      <c r="F12" s="14"/>
      <c r="G12" s="1"/>
      <c r="H12" s="4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" customHeight="1" x14ac:dyDescent="0.25">
      <c r="A13" s="98"/>
      <c r="B13" s="91" t="s">
        <v>121</v>
      </c>
      <c r="C13" s="92">
        <f>ROUND(AVERAGE(C3:C11),2)</f>
        <v>2.71</v>
      </c>
      <c r="D13" s="92">
        <f t="shared" ref="D13:E13" si="0">ROUND(AVERAGE(D3:D11),2)</f>
        <v>2.83</v>
      </c>
      <c r="E13" s="92">
        <f t="shared" si="0"/>
        <v>2.83</v>
      </c>
      <c r="F13" s="14"/>
    </row>
    <row r="14" spans="1:27" s="97" customFormat="1" ht="7" customHeight="1" x14ac:dyDescent="0.25">
      <c r="A14" s="164"/>
      <c r="B14" s="165"/>
      <c r="C14" s="165"/>
      <c r="D14" s="165"/>
      <c r="E14" s="166"/>
      <c r="F14" s="14"/>
      <c r="G14" s="1"/>
      <c r="H14" s="4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" customHeight="1" x14ac:dyDescent="0.25">
      <c r="A15" s="98"/>
      <c r="B15" s="91" t="s">
        <v>56</v>
      </c>
      <c r="C15" s="92">
        <f>ROUND('[4]Staff References'!$J$12,2)</f>
        <v>9.7200000000000006</v>
      </c>
      <c r="D15" s="92">
        <f>ROUND('[5]Staff References'!$J$12,2)</f>
        <v>10</v>
      </c>
      <c r="E15" s="92">
        <f>ROUND('[6]Staff References'!$J$12,2)</f>
        <v>10</v>
      </c>
      <c r="F15" s="14"/>
    </row>
    <row r="16" spans="1:27" s="97" customFormat="1" ht="5.5" customHeight="1" x14ac:dyDescent="0.25">
      <c r="A16" s="164"/>
      <c r="B16" s="165"/>
      <c r="C16" s="165"/>
      <c r="D16" s="165"/>
      <c r="E16" s="166"/>
      <c r="F16" s="14"/>
      <c r="G16" s="1"/>
      <c r="H16" s="4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5" x14ac:dyDescent="0.25">
      <c r="A17" s="98"/>
      <c r="B17" s="91" t="s">
        <v>120</v>
      </c>
      <c r="C17" s="92">
        <f>ROUND(C13*C15,2)</f>
        <v>26.34</v>
      </c>
      <c r="D17" s="92">
        <f t="shared" ref="D17:E17" si="1">ROUND(D13*D15,2)</f>
        <v>28.3</v>
      </c>
      <c r="E17" s="92">
        <f t="shared" si="1"/>
        <v>28.3</v>
      </c>
      <c r="F17" s="14"/>
    </row>
    <row r="18" spans="1:27" s="97" customFormat="1" ht="5" customHeight="1" x14ac:dyDescent="0.25">
      <c r="A18" s="164"/>
      <c r="B18" s="165"/>
      <c r="C18" s="165"/>
      <c r="D18" s="165"/>
      <c r="E18" s="166"/>
      <c r="F18" s="14"/>
      <c r="G18" s="1"/>
      <c r="H18" s="4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" customHeight="1" x14ac:dyDescent="0.25">
      <c r="A19" s="98"/>
      <c r="B19" s="91" t="s">
        <v>58</v>
      </c>
      <c r="C19" s="92">
        <f>ROUND(C17/30*$E$1*100,2)</f>
        <v>8.7799999999999994</v>
      </c>
      <c r="D19" s="92">
        <f t="shared" ref="D19:E19" si="2">ROUND(D17/30*$E$1*100,2)</f>
        <v>9.43</v>
      </c>
      <c r="E19" s="92">
        <f t="shared" si="2"/>
        <v>9.43</v>
      </c>
      <c r="F19" s="14"/>
    </row>
  </sheetData>
  <mergeCells count="4">
    <mergeCell ref="A12:E12"/>
    <mergeCell ref="A14:E14"/>
    <mergeCell ref="A16:E16"/>
    <mergeCell ref="A18:E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00343c0-af67-4d55-b6f3-a7838e163d14">PROCURE-1828212619-1247</_dlc_DocId>
    <_dlc_DocIdUrl xmlns="500343c0-af67-4d55-b6f3-a7838e163d14">
      <Url>https://osicagov.sharepoint.com/sites/Procurement/CalSAWS/_layouts/15/DocIdRedir.aspx?ID=PROCURE-1828212619-1247</Url>
      <Description>PROCURE-1828212619-1247</Description>
    </_dlc_DocIdUrl>
    <TaxCatchAll xmlns="500343c0-af67-4d55-b6f3-a7838e163d14" xsi:nil="true"/>
    <lcf76f155ced4ddcb4097134ff3c332f xmlns="74f9af32-db27-48af-8cfe-64abf22b881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5bce90d6-5a2c-47e0-8337-aac7acda0e97" ContentTypeId="0x0101" PreviousValue="false" LastSyncTimeStamp="2017-02-08T00:21:31.923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309E3E8F610E40AB2FDB520A8B41AE" ma:contentTypeVersion="11" ma:contentTypeDescription="Create a new document." ma:contentTypeScope="" ma:versionID="51628f0bf82ea86056afc716e4808086">
  <xsd:schema xmlns:xsd="http://www.w3.org/2001/XMLSchema" xmlns:xs="http://www.w3.org/2001/XMLSchema" xmlns:p="http://schemas.microsoft.com/office/2006/metadata/properties" xmlns:ns2="500343c0-af67-4d55-b6f3-a7838e163d14" xmlns:ns3="74f9af32-db27-48af-8cfe-64abf22b881d" targetNamespace="http://schemas.microsoft.com/office/2006/metadata/properties" ma:root="true" ma:fieldsID="b8dcb623993bbd6936a6e5c6220a4164" ns2:_="" ns3:_="">
    <xsd:import namespace="500343c0-af67-4d55-b6f3-a7838e163d14"/>
    <xsd:import namespace="74f9af32-db27-48af-8cfe-64abf22b881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343c0-af67-4d55-b6f3-a7838e163d1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f01343e8-0c87-4555-a8ae-610eb149ee94}" ma:internalName="TaxCatchAll" ma:showField="CatchAllData" ma:web="ded99a83-cbae-481a-8e33-dc69c50d9d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9af32-db27-48af-8cfe-64abf22b88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bce90d6-5a2c-47e0-8337-aac7acda0e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CD3F22F-56F3-4094-B35C-266BB4A31C9E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74f9af32-db27-48af-8cfe-64abf22b881d"/>
    <ds:schemaRef ds:uri="http://schemas.microsoft.com/office/infopath/2007/PartnerControls"/>
    <ds:schemaRef ds:uri="http://purl.org/dc/terms/"/>
    <ds:schemaRef ds:uri="500343c0-af67-4d55-b6f3-a7838e163d14"/>
  </ds:schemaRefs>
</ds:datastoreItem>
</file>

<file path=customXml/itemProps2.xml><?xml version="1.0" encoding="utf-8"?>
<ds:datastoreItem xmlns:ds="http://schemas.openxmlformats.org/officeDocument/2006/customXml" ds:itemID="{4582B1E7-CE09-4D16-8B7C-8827E5C520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C06B9D-E638-48FD-B9C7-FF3E4896F77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A74B00D-84FE-4AB8-B20D-3F6BF0FF99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0343c0-af67-4d55-b6f3-a7838e163d14"/>
    <ds:schemaRef ds:uri="74f9af32-db27-48af-8cfe-64abf22b88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461B983-F387-4033-9D02-45492384EFE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 Master</vt:lpstr>
      <vt:lpstr>Summary Total</vt:lpstr>
      <vt:lpstr>Overall Proposal Scores</vt:lpstr>
      <vt:lpstr>Price Score</vt:lpstr>
      <vt:lpstr>Price Summary</vt:lpstr>
      <vt:lpstr>Price Details</vt:lpstr>
      <vt:lpstr>Business Score</vt:lpstr>
      <vt:lpstr>Firm References</vt:lpstr>
      <vt:lpstr>Staff Quals &amp; Experience</vt:lpstr>
      <vt:lpstr>KSIs and Orals</vt:lpstr>
      <vt:lpstr>Understanding &amp; Approach</vt:lpstr>
      <vt:lpstr>U&amp;A Requirement Detail</vt:lpstr>
      <vt:lpstr>Requirements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2025-03-23T23:59:03Z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0x010100EA309E3E8F610E40AB2FDB520A8B41AE</vt:lpwstr>
  </property>
  <property fmtid="{D5CDD505-2E9C-101B-9397-08002B2CF9AE}" pid="3" name="_dlc_DocIdItemGuid">
    <vt:lpwstr>d954da3b-ae94-424f-b143-d53de4fd036e</vt:lpwstr>
  </property>
  <property fmtid="{D5CDD505-2E9C-101B-9397-08002B2CF9AE}" pid="4" name="AuthorIds_UIVersion_2048">
    <vt:lpwstr>550</vt:lpwstr>
  </property>
  <property fmtid="{D5CDD505-2E9C-101B-9397-08002B2CF9AE}" pid="5" name="AuthorIds_UIVersion_2560">
    <vt:lpwstr>550</vt:lpwstr>
  </property>
  <property fmtid="{D5CDD505-2E9C-101B-9397-08002B2CF9AE}" pid="6" name="MediaServiceImageTags">
    <vt:lpwstr/>
  </property>
</Properties>
</file>