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25" documentId="8_{A3F42857-991A-49C4-AB66-A73F3D618A76}" xr6:coauthVersionLast="47" xr6:coauthVersionMax="47" xr10:uidLastSave="{A866C5B5-F216-4107-9660-C98913AC8F1A}"/>
  <bookViews>
    <workbookView xWindow="-120" yWindow="-120" windowWidth="29040" windowHeight="17520" tabRatio="840" xr2:uid="{00000000-000D-0000-FFFF-FFFF00000000}"/>
  </bookViews>
  <sheets>
    <sheet name=" Master" sheetId="8" r:id="rId1"/>
    <sheet name="Summary Total" sheetId="1" r:id="rId2"/>
    <sheet name="Overall Proposal Scores" sheetId="11" r:id="rId3"/>
    <sheet name="Price Score" sheetId="2" r:id="rId4"/>
    <sheet name="Price Summary" sheetId="22" r:id="rId5"/>
    <sheet name="Price Details" sheetId="27" r:id="rId6"/>
    <sheet name="Business Score" sheetId="3" r:id="rId7"/>
    <sheet name="Firm References" sheetId="26" r:id="rId8"/>
    <sheet name="Staff Quals &amp; Experience" sheetId="25" r:id="rId9"/>
    <sheet name="KSIs and Orals" sheetId="24" r:id="rId10"/>
    <sheet name="Understanding &amp; Approach" sheetId="18" r:id="rId11"/>
    <sheet name="U&amp;A Requirement Detail" sheetId="23" r:id="rId12"/>
    <sheet name="Requirements Summary" sheetId="19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9" l="1"/>
  <c r="F13" i="24"/>
  <c r="G10" i="25"/>
  <c r="F10" i="25"/>
  <c r="D10" i="25"/>
  <c r="C10" i="25"/>
  <c r="B10" i="25"/>
  <c r="E10" i="25"/>
  <c r="G13" i="27"/>
  <c r="G11" i="27"/>
  <c r="G9" i="27"/>
  <c r="G5" i="27"/>
  <c r="G4" i="27"/>
  <c r="G3" i="27"/>
  <c r="F13" i="27" l="1"/>
  <c r="F11" i="27"/>
  <c r="F9" i="27"/>
  <c r="F5" i="27"/>
  <c r="F4" i="27"/>
  <c r="F3" i="27"/>
  <c r="E13" i="27"/>
  <c r="E11" i="27"/>
  <c r="E9" i="27"/>
  <c r="E5" i="27"/>
  <c r="E4" i="27"/>
  <c r="E3" i="27"/>
  <c r="D13" i="27"/>
  <c r="D11" i="27"/>
  <c r="D9" i="27"/>
  <c r="D5" i="27"/>
  <c r="D4" i="27"/>
  <c r="D3" i="27"/>
  <c r="C13" i="27"/>
  <c r="C11" i="27"/>
  <c r="C9" i="27"/>
  <c r="C5" i="27"/>
  <c r="C4" i="27"/>
  <c r="C3" i="27"/>
  <c r="B13" i="27"/>
  <c r="B11" i="27"/>
  <c r="B9" i="27"/>
  <c r="B5" i="27"/>
  <c r="B4" i="27"/>
  <c r="B3" i="27"/>
  <c r="G6" i="24" l="1"/>
  <c r="G5" i="24" l="1"/>
  <c r="G4" i="24"/>
  <c r="G3" i="24"/>
  <c r="G8" i="24" s="1"/>
  <c r="F6" i="24"/>
  <c r="F5" i="24"/>
  <c r="F4" i="24"/>
  <c r="F3" i="24"/>
  <c r="E6" i="24"/>
  <c r="E5" i="24"/>
  <c r="E4" i="24"/>
  <c r="E3" i="24"/>
  <c r="D6" i="24"/>
  <c r="D5" i="24"/>
  <c r="D4" i="24"/>
  <c r="D3" i="24"/>
  <c r="C6" i="24"/>
  <c r="C5" i="24"/>
  <c r="C4" i="24"/>
  <c r="C3" i="24"/>
  <c r="B6" i="24"/>
  <c r="B5" i="24"/>
  <c r="B4" i="24"/>
  <c r="B3" i="24"/>
  <c r="C3" i="23"/>
  <c r="B3" i="23"/>
  <c r="O8" i="23"/>
  <c r="N8" i="23"/>
  <c r="L8" i="23"/>
  <c r="K8" i="23"/>
  <c r="J8" i="23"/>
  <c r="I8" i="23"/>
  <c r="G8" i="23"/>
  <c r="F8" i="23"/>
  <c r="E8" i="23"/>
  <c r="C8" i="23"/>
  <c r="B8" i="23"/>
  <c r="E6" i="25"/>
  <c r="E5" i="25"/>
  <c r="E4" i="25"/>
  <c r="E3" i="25"/>
  <c r="O7" i="23"/>
  <c r="N7" i="23"/>
  <c r="L7" i="23"/>
  <c r="K7" i="23"/>
  <c r="J7" i="23"/>
  <c r="I7" i="23"/>
  <c r="G7" i="23"/>
  <c r="F7" i="23"/>
  <c r="E7" i="23"/>
  <c r="C7" i="23"/>
  <c r="B7" i="23"/>
  <c r="O6" i="23"/>
  <c r="N6" i="23"/>
  <c r="L6" i="23"/>
  <c r="K6" i="23"/>
  <c r="J6" i="23"/>
  <c r="I6" i="23"/>
  <c r="G6" i="23"/>
  <c r="F6" i="23"/>
  <c r="E6" i="23"/>
  <c r="C6" i="23"/>
  <c r="B6" i="23"/>
  <c r="G4" i="26"/>
  <c r="G3" i="26"/>
  <c r="F4" i="26"/>
  <c r="F3" i="26"/>
  <c r="G6" i="25"/>
  <c r="G5" i="25"/>
  <c r="G4" i="25"/>
  <c r="G3" i="25"/>
  <c r="F6" i="25"/>
  <c r="F5" i="25"/>
  <c r="F4" i="25"/>
  <c r="F3" i="25"/>
  <c r="F8" i="24" l="1"/>
  <c r="E8" i="24"/>
  <c r="B8" i="24"/>
  <c r="C8" i="24"/>
  <c r="D8" i="24"/>
  <c r="E4" i="26"/>
  <c r="E3" i="26"/>
  <c r="F8" i="25" l="1"/>
  <c r="F12" i="25" s="1"/>
  <c r="C8" i="22"/>
  <c r="C7" i="22"/>
  <c r="C6" i="22"/>
  <c r="B7" i="2" s="1"/>
  <c r="C5" i="22"/>
  <c r="C10" i="22" l="1"/>
  <c r="F15" i="24"/>
  <c r="D8" i="3" s="1"/>
  <c r="K5" i="11" s="1"/>
  <c r="G7" i="27"/>
  <c r="F7" i="27"/>
  <c r="E7" i="27"/>
  <c r="D7" i="27"/>
  <c r="G5" i="26"/>
  <c r="G7" i="26" s="1"/>
  <c r="F5" i="26"/>
  <c r="E5" i="26"/>
  <c r="E7" i="26" s="1"/>
  <c r="D4" i="26"/>
  <c r="D3" i="26"/>
  <c r="D5" i="26" s="1"/>
  <c r="D7" i="26" s="1"/>
  <c r="C4" i="26"/>
  <c r="C3" i="26"/>
  <c r="B4" i="26"/>
  <c r="B3" i="26"/>
  <c r="F7" i="26" l="1"/>
  <c r="B8" i="3" s="1"/>
  <c r="K3" i="11" s="1"/>
  <c r="B5" i="26"/>
  <c r="B7" i="26" s="1"/>
  <c r="D6" i="25"/>
  <c r="D5" i="25"/>
  <c r="D4" i="25"/>
  <c r="D3" i="25"/>
  <c r="C6" i="25"/>
  <c r="C5" i="25"/>
  <c r="C4" i="25"/>
  <c r="C3" i="25"/>
  <c r="B6" i="25"/>
  <c r="B5" i="25"/>
  <c r="B4" i="25"/>
  <c r="B3" i="25"/>
  <c r="O5" i="23"/>
  <c r="N5" i="23"/>
  <c r="L5" i="23"/>
  <c r="K5" i="23"/>
  <c r="J5" i="23"/>
  <c r="I5" i="23"/>
  <c r="G5" i="23"/>
  <c r="F5" i="23"/>
  <c r="E5" i="23"/>
  <c r="C5" i="23"/>
  <c r="B5" i="23"/>
  <c r="O4" i="23"/>
  <c r="N4" i="23"/>
  <c r="L4" i="23"/>
  <c r="K4" i="23"/>
  <c r="J4" i="23"/>
  <c r="I4" i="23"/>
  <c r="G4" i="23"/>
  <c r="F4" i="23"/>
  <c r="E4" i="23"/>
  <c r="C4" i="23"/>
  <c r="B4" i="23"/>
  <c r="D7" i="23"/>
  <c r="O3" i="23"/>
  <c r="N3" i="23"/>
  <c r="L3" i="23"/>
  <c r="K3" i="23"/>
  <c r="J3" i="23"/>
  <c r="I3" i="23"/>
  <c r="G3" i="23"/>
  <c r="F3" i="23"/>
  <c r="E3" i="23"/>
  <c r="B7" i="19" l="1"/>
  <c r="C8" i="18"/>
  <c r="P7" i="23"/>
  <c r="M7" i="23"/>
  <c r="H7" i="23"/>
  <c r="E8" i="18" s="1"/>
  <c r="D8" i="18" l="1"/>
  <c r="D7" i="19"/>
  <c r="G8" i="18"/>
  <c r="E7" i="19"/>
  <c r="I8" i="18"/>
  <c r="Q7" i="23"/>
  <c r="C7" i="19"/>
  <c r="F8" i="18" s="1"/>
  <c r="A7" i="2"/>
  <c r="A8" i="2"/>
  <c r="A9" i="2"/>
  <c r="A8" i="19"/>
  <c r="A7" i="23"/>
  <c r="A8" i="23"/>
  <c r="G2" i="24"/>
  <c r="G13" i="24" s="1"/>
  <c r="F2" i="24"/>
  <c r="G2" i="25"/>
  <c r="F2" i="25"/>
  <c r="G2" i="26"/>
  <c r="F2" i="26"/>
  <c r="G2" i="27"/>
  <c r="F2" i="27"/>
  <c r="E2" i="27"/>
  <c r="D2" i="27"/>
  <c r="B6" i="22"/>
  <c r="E6" i="22"/>
  <c r="F6" i="22" s="1"/>
  <c r="B7" i="22"/>
  <c r="B8" i="22"/>
  <c r="E8" i="22"/>
  <c r="F8" i="22" s="1"/>
  <c r="L1" i="11"/>
  <c r="K1" i="11"/>
  <c r="A7" i="1"/>
  <c r="A9" i="3" s="1"/>
  <c r="E2" i="24"/>
  <c r="E13" i="24" s="1"/>
  <c r="E15" i="24"/>
  <c r="D7" i="3" s="1"/>
  <c r="J5" i="11" s="1"/>
  <c r="G15" i="24"/>
  <c r="D9" i="3" s="1"/>
  <c r="L5" i="11" s="1"/>
  <c r="E2" i="25"/>
  <c r="E2" i="26"/>
  <c r="B7" i="3"/>
  <c r="J3" i="11" s="1"/>
  <c r="B9" i="3"/>
  <c r="A6" i="19"/>
  <c r="A7" i="19"/>
  <c r="A6" i="23"/>
  <c r="D8" i="23"/>
  <c r="B8" i="19" s="1"/>
  <c r="J1" i="11"/>
  <c r="A5" i="1"/>
  <c r="A6" i="1"/>
  <c r="A8" i="18" s="1"/>
  <c r="A9" i="18" l="1"/>
  <c r="J8" i="18"/>
  <c r="H8" i="18"/>
  <c r="K8" i="18" s="1"/>
  <c r="F8" i="3" s="1"/>
  <c r="K7" i="11" s="1"/>
  <c r="L3" i="11"/>
  <c r="B9" i="2"/>
  <c r="M8" i="23"/>
  <c r="D8" i="19" s="1"/>
  <c r="H8" i="23"/>
  <c r="M6" i="23"/>
  <c r="D6" i="19" s="1"/>
  <c r="H6" i="23"/>
  <c r="D6" i="23"/>
  <c r="A8" i="3"/>
  <c r="A7" i="3"/>
  <c r="A7" i="18"/>
  <c r="P8" i="23"/>
  <c r="E8" i="19" s="1"/>
  <c r="C9" i="18"/>
  <c r="D9" i="18" s="1"/>
  <c r="P6" i="23"/>
  <c r="E6" i="19" s="1"/>
  <c r="G8" i="25"/>
  <c r="G12" i="25" s="1"/>
  <c r="E8" i="25"/>
  <c r="E12" i="25" s="1"/>
  <c r="E9" i="18" l="1"/>
  <c r="F9" i="18" s="1"/>
  <c r="C8" i="19"/>
  <c r="E7" i="18"/>
  <c r="F7" i="18" s="1"/>
  <c r="C6" i="19"/>
  <c r="Q6" i="23"/>
  <c r="B6" i="19"/>
  <c r="C7" i="18"/>
  <c r="D7" i="18" s="1"/>
  <c r="Q8" i="23"/>
  <c r="G7" i="18"/>
  <c r="H7" i="18" s="1"/>
  <c r="I7" i="18"/>
  <c r="J7" i="18" s="1"/>
  <c r="G9" i="18"/>
  <c r="H9" i="18" s="1"/>
  <c r="I9" i="18"/>
  <c r="J9" i="18" s="1"/>
  <c r="E7" i="22" l="1"/>
  <c r="F7" i="22" s="1"/>
  <c r="B8" i="2"/>
  <c r="F7" i="19"/>
  <c r="K9" i="18"/>
  <c r="F6" i="19"/>
  <c r="K7" i="18"/>
  <c r="F9" i="3" l="1"/>
  <c r="F7" i="3"/>
  <c r="J7" i="11" s="1"/>
  <c r="L7" i="11" l="1"/>
  <c r="D12" i="24"/>
  <c r="B15" i="24"/>
  <c r="D4" i="3" s="1"/>
  <c r="B8" i="25"/>
  <c r="B12" i="25" s="1"/>
  <c r="P5" i="23"/>
  <c r="M5" i="23"/>
  <c r="H5" i="23"/>
  <c r="M4" i="23"/>
  <c r="H4" i="23"/>
  <c r="H3" i="23"/>
  <c r="D3" i="23"/>
  <c r="C5" i="26"/>
  <c r="C7" i="26" s="1"/>
  <c r="C2" i="27"/>
  <c r="B2" i="27"/>
  <c r="C7" i="27"/>
  <c r="B7" i="27"/>
  <c r="C3" i="11"/>
  <c r="P4" i="23" l="1"/>
  <c r="M3" i="23"/>
  <c r="D4" i="23"/>
  <c r="Q4" i="23" s="1"/>
  <c r="D8" i="25"/>
  <c r="D12" i="25" s="1"/>
  <c r="D5" i="23"/>
  <c r="Q5" i="23" s="1"/>
  <c r="P3" i="23"/>
  <c r="C8" i="25"/>
  <c r="C12" i="25" s="1"/>
  <c r="C3" i="22"/>
  <c r="E3" i="22" s="1"/>
  <c r="F3" i="22" s="1"/>
  <c r="C4" i="22"/>
  <c r="E4" i="22" s="1"/>
  <c r="F4" i="22" s="1"/>
  <c r="E5" i="22"/>
  <c r="F5" i="22" s="1"/>
  <c r="D1" i="24"/>
  <c r="F10" i="24" s="1"/>
  <c r="E8" i="3" s="1"/>
  <c r="K6" i="11" s="1"/>
  <c r="D1" i="25"/>
  <c r="F14" i="25" s="1"/>
  <c r="C8" i="3" s="1"/>
  <c r="K4" i="11" s="1"/>
  <c r="D9" i="8"/>
  <c r="D2" i="25"/>
  <c r="C2" i="25"/>
  <c r="B2" i="25"/>
  <c r="Q3" i="23" l="1"/>
  <c r="E10" i="24"/>
  <c r="E7" i="3" s="1"/>
  <c r="J6" i="11" s="1"/>
  <c r="G10" i="24"/>
  <c r="E9" i="3" s="1"/>
  <c r="L6" i="11" s="1"/>
  <c r="G14" i="25"/>
  <c r="E14" i="25"/>
  <c r="C7" i="3" s="1"/>
  <c r="J4" i="11" s="1"/>
  <c r="C14" i="25"/>
  <c r="D14" i="25"/>
  <c r="B14" i="25"/>
  <c r="E8" i="11"/>
  <c r="D2" i="24"/>
  <c r="D13" i="24" s="1"/>
  <c r="C2" i="24"/>
  <c r="C13" i="24" s="1"/>
  <c r="B2" i="24"/>
  <c r="B13" i="24" s="1"/>
  <c r="A4" i="23"/>
  <c r="A5" i="23"/>
  <c r="A3" i="23"/>
  <c r="B4" i="22"/>
  <c r="B5" i="22"/>
  <c r="B3" i="22"/>
  <c r="D2" i="26"/>
  <c r="C2" i="26"/>
  <c r="B2" i="26"/>
  <c r="B6" i="3"/>
  <c r="B5" i="3"/>
  <c r="B4" i="3"/>
  <c r="B2" i="3"/>
  <c r="C4" i="11"/>
  <c r="C5" i="11"/>
  <c r="C6" i="11"/>
  <c r="C7" i="11"/>
  <c r="B3" i="11"/>
  <c r="G8" i="3" l="1"/>
  <c r="C9" i="3"/>
  <c r="G7" i="3"/>
  <c r="G3" i="11"/>
  <c r="I3" i="11"/>
  <c r="H3" i="11"/>
  <c r="D2" i="11"/>
  <c r="E3" i="19"/>
  <c r="D3" i="19"/>
  <c r="C3" i="19"/>
  <c r="C15" i="24"/>
  <c r="D5" i="3" s="1"/>
  <c r="D15" i="24"/>
  <c r="D6" i="3" s="1"/>
  <c r="D10" i="24"/>
  <c r="E6" i="3" s="1"/>
  <c r="C10" i="24"/>
  <c r="E5" i="3" s="1"/>
  <c r="B10" i="24"/>
  <c r="E4" i="3" s="1"/>
  <c r="L4" i="11" l="1"/>
  <c r="G9" i="3"/>
  <c r="I6" i="18"/>
  <c r="J6" i="18" s="1"/>
  <c r="E5" i="19"/>
  <c r="C6" i="18"/>
  <c r="D6" i="18" s="1"/>
  <c r="B5" i="19"/>
  <c r="C4" i="19"/>
  <c r="E5" i="18"/>
  <c r="F5" i="18" s="1"/>
  <c r="E6" i="18"/>
  <c r="F6" i="18" s="1"/>
  <c r="C5" i="19"/>
  <c r="E4" i="19"/>
  <c r="I5" i="18"/>
  <c r="J5" i="18" s="1"/>
  <c r="B4" i="19"/>
  <c r="C5" i="18"/>
  <c r="D5" i="18" s="1"/>
  <c r="G5" i="18"/>
  <c r="H5" i="18" s="1"/>
  <c r="D4" i="19"/>
  <c r="G6" i="18"/>
  <c r="H6" i="18" s="1"/>
  <c r="D5" i="19"/>
  <c r="C4" i="18"/>
  <c r="D4" i="18" s="1"/>
  <c r="B3" i="19"/>
  <c r="F3" i="19" s="1"/>
  <c r="I4" i="18"/>
  <c r="J4" i="18" s="1"/>
  <c r="E4" i="18"/>
  <c r="F4" i="18" s="1"/>
  <c r="G4" i="18"/>
  <c r="H4" i="18" s="1"/>
  <c r="C6" i="3"/>
  <c r="C5" i="3"/>
  <c r="C4" i="3"/>
  <c r="F5" i="19" l="1"/>
  <c r="F4" i="19"/>
  <c r="B5" i="2"/>
  <c r="B6" i="2"/>
  <c r="B4" i="2"/>
  <c r="B11" i="2" l="1"/>
  <c r="D8" i="2" s="1"/>
  <c r="B12" i="2"/>
  <c r="C11" i="22"/>
  <c r="I1" i="11"/>
  <c r="C6" i="1" l="1"/>
  <c r="K13" i="11"/>
  <c r="K14" i="11" s="1"/>
  <c r="A5" i="2"/>
  <c r="A6" i="2"/>
  <c r="A4" i="2"/>
  <c r="A3" i="1"/>
  <c r="A4" i="1"/>
  <c r="A2" i="1"/>
  <c r="A4" i="19"/>
  <c r="A5" i="19"/>
  <c r="A3" i="19"/>
  <c r="F3" i="3" l="1"/>
  <c r="E3" i="3"/>
  <c r="D3" i="3"/>
  <c r="C3" i="3"/>
  <c r="B5" i="11"/>
  <c r="B6" i="11"/>
  <c r="B7" i="11"/>
  <c r="B4" i="11"/>
  <c r="A6" i="18"/>
  <c r="A6" i="3"/>
  <c r="K5" i="18" l="1"/>
  <c r="K4" i="18"/>
  <c r="K6" i="18"/>
  <c r="B6" i="18" s="1"/>
  <c r="B8" i="18" l="1"/>
  <c r="B4" i="18"/>
  <c r="B7" i="18"/>
  <c r="B9" i="18"/>
  <c r="B5" i="18"/>
  <c r="F4" i="3"/>
  <c r="F5" i="3"/>
  <c r="G5" i="3" s="1"/>
  <c r="F6" i="3"/>
  <c r="G6" i="3" l="1"/>
  <c r="G4" i="3"/>
  <c r="G12" i="3" l="1"/>
  <c r="G11" i="3"/>
  <c r="J8" i="11"/>
  <c r="H7" i="3" l="1"/>
  <c r="B5" i="1" s="1"/>
  <c r="H9" i="3"/>
  <c r="B7" i="1" s="1"/>
  <c r="D7" i="2"/>
  <c r="F15" i="27"/>
  <c r="D9" i="2"/>
  <c r="H8" i="3"/>
  <c r="B6" i="1" s="1"/>
  <c r="D6" i="1" s="1"/>
  <c r="D6" i="2"/>
  <c r="D15" i="27" s="1"/>
  <c r="D5" i="2"/>
  <c r="D4" i="2"/>
  <c r="H1" i="11"/>
  <c r="G1" i="11"/>
  <c r="G15" i="27" l="1"/>
  <c r="C7" i="1"/>
  <c r="D7" i="1" s="1"/>
  <c r="L13" i="11"/>
  <c r="L14" i="11" s="1"/>
  <c r="E15" i="27"/>
  <c r="C5" i="1"/>
  <c r="D5" i="1" s="1"/>
  <c r="J13" i="11"/>
  <c r="J14" i="11" s="1"/>
  <c r="K10" i="11"/>
  <c r="J10" i="11"/>
  <c r="L10" i="11"/>
  <c r="L15" i="11" s="1"/>
  <c r="B1" i="18"/>
  <c r="J15" i="11" l="1"/>
  <c r="I7" i="11"/>
  <c r="E14" i="11" l="1"/>
  <c r="D12" i="11"/>
  <c r="E10" i="11" l="1"/>
  <c r="D15" i="11"/>
  <c r="E15" i="11" l="1"/>
  <c r="F2" i="3" l="1"/>
  <c r="E2" i="3"/>
  <c r="D2" i="3"/>
  <c r="C2" i="3"/>
  <c r="D13" i="8"/>
  <c r="B14" i="2" l="1"/>
  <c r="B15" i="2" s="1"/>
  <c r="A5" i="18"/>
  <c r="A4" i="18"/>
  <c r="A5" i="3"/>
  <c r="A4" i="3"/>
  <c r="C15" i="27"/>
  <c r="G7" i="11"/>
  <c r="C2" i="1" l="1"/>
  <c r="B15" i="27"/>
  <c r="I5" i="11"/>
  <c r="C3" i="1"/>
  <c r="H13" i="11"/>
  <c r="H14" i="11" s="1"/>
  <c r="C4" i="1"/>
  <c r="I13" i="11"/>
  <c r="I14" i="11" s="1"/>
  <c r="I6" i="11"/>
  <c r="G5" i="11"/>
  <c r="H5" i="11"/>
  <c r="H4" i="11"/>
  <c r="G4" i="11"/>
  <c r="G13" i="11"/>
  <c r="G14" i="11" s="1"/>
  <c r="H7" i="11"/>
  <c r="I4" i="11" l="1"/>
  <c r="I8" i="11" s="1"/>
  <c r="H6" i="11"/>
  <c r="H8" i="11" s="1"/>
  <c r="G6" i="11"/>
  <c r="G8" i="11" s="1"/>
  <c r="H6" i="3" l="1"/>
  <c r="H4" i="3"/>
  <c r="H5" i="3"/>
  <c r="I5" i="3" l="1"/>
  <c r="H14" i="3"/>
  <c r="H13" i="3"/>
  <c r="I4" i="3"/>
  <c r="I9" i="3"/>
  <c r="I8" i="3"/>
  <c r="I7" i="3"/>
  <c r="I10" i="11"/>
  <c r="I15" i="11" s="1"/>
  <c r="I6" i="3"/>
  <c r="B4" i="1"/>
  <c r="D4" i="1" s="1"/>
  <c r="K8" i="11"/>
  <c r="L8" i="11"/>
  <c r="B3" i="1"/>
  <c r="D3" i="1" s="1"/>
  <c r="G10" i="11"/>
  <c r="G15" i="11" s="1"/>
  <c r="K15" i="11"/>
  <c r="B2" i="1"/>
  <c r="D2" i="1" s="1"/>
  <c r="H10" i="11"/>
  <c r="H15" i="11" s="1"/>
  <c r="H17" i="11" s="1"/>
  <c r="E4" i="1" l="1"/>
  <c r="E3" i="1"/>
  <c r="E2" i="1"/>
  <c r="E6" i="1"/>
  <c r="E5" i="1"/>
  <c r="E7" i="1"/>
</calcChain>
</file>

<file path=xl/sharedStrings.xml><?xml version="1.0" encoding="utf-8"?>
<sst xmlns="http://schemas.openxmlformats.org/spreadsheetml/2006/main" count="142" uniqueCount="119">
  <si>
    <t>Vendors</t>
  </si>
  <si>
    <t>Proposal Evaluation Weight Distribution</t>
  </si>
  <si>
    <t>Firm Qualifications</t>
  </si>
  <si>
    <t>Staff Qualifications and Experience</t>
  </si>
  <si>
    <t>Oral Presentations</t>
  </si>
  <si>
    <t>Key Staff Interviews</t>
  </si>
  <si>
    <t>Understanding and Approach</t>
  </si>
  <si>
    <t>Business Proposal Weight</t>
  </si>
  <si>
    <t>Price Proposal Weight</t>
  </si>
  <si>
    <t>Total</t>
  </si>
  <si>
    <t>Business Score: 70%</t>
  </si>
  <si>
    <t>Price Score: 
30%</t>
  </si>
  <si>
    <t>Total Score</t>
  </si>
  <si>
    <t>Rank</t>
  </si>
  <si>
    <t>Category/Subcategory</t>
  </si>
  <si>
    <t>Subcategory Weight</t>
  </si>
  <si>
    <t>Overall Weight</t>
  </si>
  <si>
    <t>Total Possible Points</t>
  </si>
  <si>
    <t>Business Proposal</t>
  </si>
  <si>
    <t>Business Proposal Raw Scores</t>
  </si>
  <si>
    <t>Business Proposal Normalized Scores</t>
  </si>
  <si>
    <t>Price Proposal</t>
  </si>
  <si>
    <t>Price Proposal Scores</t>
  </si>
  <si>
    <t>Business Proposal + Price Proposal Total</t>
  </si>
  <si>
    <t>Difference Between First and Second Place</t>
  </si>
  <si>
    <t>Maximum Price Points</t>
  </si>
  <si>
    <t>Vendor</t>
  </si>
  <si>
    <t>Lowest Price</t>
  </si>
  <si>
    <t>Highest Price</t>
  </si>
  <si>
    <t>Highest to Lowest</t>
  </si>
  <si>
    <t>% Highest to Lowest</t>
  </si>
  <si>
    <t>Average Annual Price</t>
  </si>
  <si>
    <t>Average Monthly Price</t>
  </si>
  <si>
    <t>High to Low Difference</t>
  </si>
  <si>
    <t>High to Low Diff Annual</t>
  </si>
  <si>
    <t>Weight</t>
  </si>
  <si>
    <t>Base Period Contract Term Price Excluding Deliverables Paid During the Transition-In Period Subtotal: Evaluated Price</t>
  </si>
  <si>
    <t>Total Weighted Price Score</t>
  </si>
  <si>
    <t>Business Proposal Score</t>
  </si>
  <si>
    <t>Maximum Business Points</t>
  </si>
  <si>
    <t>Total Raw Business Score</t>
  </si>
  <si>
    <t>Total Normalized Business Score</t>
  </si>
  <si>
    <t>Firm References</t>
  </si>
  <si>
    <t>Maximum Raw Score</t>
  </si>
  <si>
    <t>Minimum Raw Score</t>
  </si>
  <si>
    <t>Business Score Difference Between 1st and Last Place</t>
  </si>
  <si>
    <t>% Difference Between 1st and Last Place</t>
  </si>
  <si>
    <t xml:space="preserve">Firm References </t>
  </si>
  <si>
    <t>Firm Reference #1</t>
  </si>
  <si>
    <t>Firm Reference #2</t>
  </si>
  <si>
    <t>Average Firm Reference Rating</t>
  </si>
  <si>
    <t>Firm Reference Weighted Score</t>
  </si>
  <si>
    <t>Key Staff Position</t>
  </si>
  <si>
    <t>Project Manager</t>
  </si>
  <si>
    <t>Test Manager</t>
  </si>
  <si>
    <t>Functional Manager</t>
  </si>
  <si>
    <t>Technical Manager</t>
  </si>
  <si>
    <t>Average Key Staff Qualifications &amp; Experience Score</t>
  </si>
  <si>
    <t>Average Key Staff Reference Score</t>
  </si>
  <si>
    <t>Total Score = Staff Quals &amp; Experience Score * Average Key Staff Reference Score</t>
  </si>
  <si>
    <t>Staff Quals &amp; Experience Weighted Score</t>
  </si>
  <si>
    <t>Average Key Staff Interviews Rating</t>
  </si>
  <si>
    <t>Key Staff Interviews Weighted Score</t>
  </si>
  <si>
    <t>Oral Presentation</t>
  </si>
  <si>
    <t>Oral Presentation Score</t>
  </si>
  <si>
    <t>Oral Presentation Weighted Score</t>
  </si>
  <si>
    <t xml:space="preserve"> Rank</t>
  </si>
  <si>
    <t>U&amp;A-1</t>
  </si>
  <si>
    <t>U&amp;A-2</t>
  </si>
  <si>
    <t>U&amp;A-3</t>
  </si>
  <si>
    <t>U&amp;A-4</t>
  </si>
  <si>
    <t>Total U&amp;A Business Points</t>
  </si>
  <si>
    <t>U&amp;A-1
Business Points</t>
  </si>
  <si>
    <t>U&amp;A-2
Business Points</t>
  </si>
  <si>
    <t>U&amp;A-3
Business Points</t>
  </si>
  <si>
    <t>U&amp;A-4
Business Points</t>
  </si>
  <si>
    <t>U&amp;A Requirements Detail</t>
  </si>
  <si>
    <t>Overall U&amp;A Average</t>
  </si>
  <si>
    <t>UA1</t>
  </si>
  <si>
    <t>UA2</t>
  </si>
  <si>
    <t>U&amp;A-1 Average</t>
  </si>
  <si>
    <t>UA3</t>
  </si>
  <si>
    <t>UA4</t>
  </si>
  <si>
    <t>U&amp;A-2 Average</t>
  </si>
  <si>
    <t>UA5</t>
  </si>
  <si>
    <t>UA6</t>
  </si>
  <si>
    <t>UA7</t>
  </si>
  <si>
    <t>U&amp;A-3 Average</t>
  </si>
  <si>
    <t>UA8</t>
  </si>
  <si>
    <t>UA9</t>
  </si>
  <si>
    <t>UA10</t>
  </si>
  <si>
    <t>U&amp;A-4 Average</t>
  </si>
  <si>
    <t>ClearBest</t>
  </si>
  <si>
    <t>Tetrus</t>
  </si>
  <si>
    <t>IBM</t>
  </si>
  <si>
    <t>Quadrant</t>
  </si>
  <si>
    <t>Infosys</t>
  </si>
  <si>
    <t>QA M&amp;O Price Points</t>
  </si>
  <si>
    <t>QA Price Schedule Line Items</t>
  </si>
  <si>
    <t>QA Base Deliverables</t>
  </si>
  <si>
    <t>QA Four 1-Year Optional Extensions Price Subtotal</t>
  </si>
  <si>
    <t>QA Maximum Price Including Four 1-Year Optional Extensions</t>
  </si>
  <si>
    <t>QA 2-Month Transition-In + 6-Year Base Period Contract Term Price Subtotal</t>
  </si>
  <si>
    <t>U&amp;A-1: Approach to QA Staffing</t>
  </si>
  <si>
    <t>QA Services U&amp;A Requirements Summary</t>
  </si>
  <si>
    <t>QA Services: Understanding and Approach Scores</t>
  </si>
  <si>
    <t>UA11</t>
  </si>
  <si>
    <t>U&amp;A 2: Approach to QA Services - Integrated Multi-Contractor Environment</t>
  </si>
  <si>
    <t>U&amp;A 4: Approach to Independent Testing</t>
  </si>
  <si>
    <t>Base Term Without Transition</t>
  </si>
  <si>
    <t>QA Services: February 2027 - January 2033</t>
  </si>
  <si>
    <t>QA Other Price</t>
  </si>
  <si>
    <t>U&amp;A 3: Approach to QA Services - Software Development Life Cycle (SDLC)</t>
  </si>
  <si>
    <t>QA BAFO Price Score</t>
  </si>
  <si>
    <t>QA BAFO Price Summary Comparison</t>
  </si>
  <si>
    <t>BAFO Price Score</t>
  </si>
  <si>
    <t>NTT DATA</t>
  </si>
  <si>
    <t>Base Contract Period: Excluding Deliverables Paid During Transition-In</t>
  </si>
  <si>
    <t>Base Contract Excluding Deliverables Paid During Transition-In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</si>
</sst>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_(* #,##0_);_(* \(#,##0\);_(* &quot;-&quot;??_);_(@_)"/>
    <numFmt numFmtId="166" formatCode="0.0%"/>
    <numFmt numFmtId="167" formatCode="_(* #,##0.0_);_(* \(#,##0.0\);_(* &quot;-&quot;?_);_(@_)"/>
    <numFmt numFmtId="168" formatCode="_(* #,##0.00_);_(* \(#,##0.00\);_(* &quot;-&quot;?_);_(@_)"/>
    <numFmt numFmtId="169" formatCode="_(&quot;$&quot;* #,##0_);_(&quot;$&quot;* \(#,##0\);_(&quot;$&quot;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name val="Century Gothic"/>
      <family val="2"/>
    </font>
    <font>
      <b/>
      <sz val="11"/>
      <color theme="0"/>
      <name val="Century Gothic"/>
      <family val="2"/>
    </font>
    <font>
      <sz val="10"/>
      <color theme="1"/>
      <name val="Century Gothic"/>
      <family val="2"/>
    </font>
    <font>
      <sz val="11"/>
      <color rgb="FF0070C0"/>
      <name val="Century Gothic"/>
      <family val="2"/>
    </font>
    <font>
      <sz val="8"/>
      <name val="Calibri"/>
      <family val="2"/>
      <scheme val="minor"/>
    </font>
    <font>
      <strike/>
      <sz val="11"/>
      <color theme="1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b/>
      <sz val="12"/>
      <color theme="0"/>
      <name val="Century Gothic"/>
      <family val="2"/>
    </font>
    <font>
      <b/>
      <sz val="11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417A84"/>
        <bgColor indexed="64"/>
      </patternFill>
    </fill>
    <fill>
      <patternFill patternType="solid">
        <fgColor rgb="FFDEECEF"/>
        <bgColor indexed="64"/>
      </patternFill>
    </fill>
    <fill>
      <patternFill patternType="solid">
        <fgColor rgb="FF417B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2">
    <xf numFmtId="0" fontId="0" fillId="0" borderId="0" xfId="0"/>
    <xf numFmtId="0" fontId="3" fillId="0" borderId="0" xfId="0" applyFont="1"/>
    <xf numFmtId="0" fontId="3" fillId="2" borderId="1" xfId="0" applyFont="1" applyFill="1" applyBorder="1"/>
    <xf numFmtId="0" fontId="2" fillId="2" borderId="1" xfId="0" applyFont="1" applyFill="1" applyBorder="1"/>
    <xf numFmtId="0" fontId="3" fillId="0" borderId="1" xfId="0" applyFont="1" applyBorder="1"/>
    <xf numFmtId="0" fontId="2" fillId="0" borderId="1" xfId="0" applyFont="1" applyBorder="1"/>
    <xf numFmtId="0" fontId="3" fillId="0" borderId="0" xfId="0" applyFont="1" applyAlignment="1">
      <alignment horizontal="center" wrapText="1"/>
    </xf>
    <xf numFmtId="2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wrapText="1"/>
    </xf>
    <xf numFmtId="44" fontId="3" fillId="0" borderId="0" xfId="0" applyNumberFormat="1" applyFont="1"/>
    <xf numFmtId="0" fontId="2" fillId="0" borderId="0" xfId="0" applyFont="1" applyAlignment="1">
      <alignment horizontal="center" wrapText="1"/>
    </xf>
    <xf numFmtId="165" fontId="3" fillId="0" borderId="0" xfId="1" applyNumberFormat="1" applyFont="1"/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0" borderId="2" xfId="0" applyFont="1" applyBorder="1"/>
    <xf numFmtId="166" fontId="3" fillId="0" borderId="0" xfId="3" applyNumberFormat="1" applyFont="1"/>
    <xf numFmtId="10" fontId="3" fillId="0" borderId="0" xfId="3" applyNumberFormat="1" applyFont="1"/>
    <xf numFmtId="0" fontId="3" fillId="0" borderId="7" xfId="0" applyFont="1" applyBorder="1"/>
    <xf numFmtId="169" fontId="3" fillId="0" borderId="1" xfId="2" applyNumberFormat="1" applyFont="1" applyFill="1" applyBorder="1"/>
    <xf numFmtId="169" fontId="3" fillId="0" borderId="0" xfId="0" applyNumberFormat="1" applyFont="1"/>
    <xf numFmtId="0" fontId="3" fillId="2" borderId="5" xfId="0" applyFont="1" applyFill="1" applyBorder="1"/>
    <xf numFmtId="0" fontId="3" fillId="2" borderId="6" xfId="0" applyFont="1" applyFill="1" applyBorder="1"/>
    <xf numFmtId="0" fontId="3" fillId="2" borderId="2" xfId="0" applyFont="1" applyFill="1" applyBorder="1"/>
    <xf numFmtId="0" fontId="3" fillId="0" borderId="8" xfId="0" applyFont="1" applyBorder="1"/>
    <xf numFmtId="0" fontId="7" fillId="0" borderId="0" xfId="0" applyFont="1"/>
    <xf numFmtId="0" fontId="6" fillId="0" borderId="0" xfId="0" applyFont="1"/>
    <xf numFmtId="0" fontId="6" fillId="0" borderId="0" xfId="0" applyFont="1" applyAlignment="1">
      <alignment horizontal="left" vertical="top" wrapText="1"/>
    </xf>
    <xf numFmtId="2" fontId="3" fillId="0" borderId="0" xfId="0" applyNumberFormat="1" applyFont="1"/>
    <xf numFmtId="43" fontId="3" fillId="0" borderId="0" xfId="0" applyNumberFormat="1" applyFont="1"/>
    <xf numFmtId="0" fontId="3" fillId="2" borderId="1" xfId="0" applyFont="1" applyFill="1" applyBorder="1" applyAlignment="1">
      <alignment wrapText="1"/>
    </xf>
    <xf numFmtId="0" fontId="6" fillId="0" borderId="0" xfId="0" applyFont="1" applyAlignment="1">
      <alignment horizontal="left" wrapText="1"/>
    </xf>
    <xf numFmtId="9" fontId="3" fillId="0" borderId="0" xfId="3" applyFont="1"/>
    <xf numFmtId="169" fontId="3" fillId="0" borderId="2" xfId="0" applyNumberFormat="1" applyFont="1" applyBorder="1"/>
    <xf numFmtId="0" fontId="3" fillId="0" borderId="3" xfId="0" applyFont="1" applyBorder="1"/>
    <xf numFmtId="0" fontId="3" fillId="0" borderId="1" xfId="0" applyFont="1" applyBorder="1" applyAlignment="1">
      <alignment vertical="top"/>
    </xf>
    <xf numFmtId="169" fontId="3" fillId="0" borderId="1" xfId="2" applyNumberFormat="1" applyFont="1" applyFill="1" applyBorder="1" applyAlignment="1">
      <alignment vertical="top"/>
    </xf>
    <xf numFmtId="0" fontId="3" fillId="0" borderId="9" xfId="0" applyFont="1" applyBorder="1"/>
    <xf numFmtId="0" fontId="3" fillId="2" borderId="3" xfId="0" applyFont="1" applyFill="1" applyBorder="1" applyAlignment="1">
      <alignment horizontal="left"/>
    </xf>
    <xf numFmtId="0" fontId="0" fillId="0" borderId="0" xfId="0" applyAlignment="1">
      <alignment horizontal="center"/>
    </xf>
    <xf numFmtId="42" fontId="3" fillId="0" borderId="0" xfId="0" applyNumberFormat="1" applyFont="1" applyAlignment="1">
      <alignment horizontal="center"/>
    </xf>
    <xf numFmtId="169" fontId="3" fillId="0" borderId="0" xfId="0" applyNumberFormat="1" applyFont="1" applyAlignment="1">
      <alignment horizontal="center"/>
    </xf>
    <xf numFmtId="10" fontId="3" fillId="0" borderId="0" xfId="3" applyNumberFormat="1" applyFont="1" applyFill="1" applyBorder="1"/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2" fontId="3" fillId="0" borderId="0" xfId="0" applyNumberFormat="1" applyFont="1" applyAlignment="1">
      <alignment horizontal="left"/>
    </xf>
    <xf numFmtId="0" fontId="9" fillId="0" borderId="0" xfId="0" applyFont="1"/>
    <xf numFmtId="2" fontId="9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42" fontId="3" fillId="0" borderId="1" xfId="3" applyNumberFormat="1" applyFont="1" applyFill="1" applyBorder="1" applyAlignment="1">
      <alignment horizontal="center"/>
    </xf>
    <xf numFmtId="42" fontId="3" fillId="0" borderId="1" xfId="3" applyNumberFormat="1" applyFont="1" applyBorder="1" applyAlignment="1">
      <alignment horizont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wrapText="1"/>
    </xf>
    <xf numFmtId="164" fontId="5" fillId="4" borderId="1" xfId="0" applyNumberFormat="1" applyFont="1" applyFill="1" applyBorder="1" applyAlignment="1">
      <alignment horizontal="center" wrapText="1"/>
    </xf>
    <xf numFmtId="166" fontId="3" fillId="2" borderId="1" xfId="3" applyNumberFormat="1" applyFont="1" applyFill="1" applyBorder="1"/>
    <xf numFmtId="166" fontId="3" fillId="2" borderId="4" xfId="0" applyNumberFormat="1" applyFont="1" applyFill="1" applyBorder="1" applyAlignment="1">
      <alignment horizontal="center"/>
    </xf>
    <xf numFmtId="166" fontId="3" fillId="0" borderId="4" xfId="0" applyNumberFormat="1" applyFont="1" applyBorder="1" applyAlignment="1">
      <alignment horizontal="center"/>
    </xf>
    <xf numFmtId="166" fontId="3" fillId="0" borderId="1" xfId="3" applyNumberFormat="1" applyFont="1" applyBorder="1"/>
    <xf numFmtId="0" fontId="5" fillId="0" borderId="10" xfId="0" applyFont="1" applyBorder="1" applyAlignment="1">
      <alignment horizontal="center" wrapText="1"/>
    </xf>
    <xf numFmtId="0" fontId="3" fillId="3" borderId="10" xfId="0" applyFont="1" applyFill="1" applyBorder="1" applyAlignment="1">
      <alignment horizontal="center"/>
    </xf>
    <xf numFmtId="0" fontId="3" fillId="3" borderId="10" xfId="0" applyFont="1" applyFill="1" applyBorder="1"/>
    <xf numFmtId="0" fontId="10" fillId="5" borderId="10" xfId="0" applyFont="1" applyFill="1" applyBorder="1" applyAlignment="1">
      <alignment horizontal="center" wrapText="1"/>
    </xf>
    <xf numFmtId="0" fontId="6" fillId="2" borderId="10" xfId="0" applyFont="1" applyFill="1" applyBorder="1"/>
    <xf numFmtId="0" fontId="6" fillId="3" borderId="10" xfId="0" applyFont="1" applyFill="1" applyBorder="1"/>
    <xf numFmtId="166" fontId="5" fillId="6" borderId="10" xfId="3" applyNumberFormat="1" applyFont="1" applyFill="1" applyBorder="1" applyAlignment="1">
      <alignment horizontal="center" wrapText="1"/>
    </xf>
    <xf numFmtId="0" fontId="3" fillId="2" borderId="0" xfId="0" applyFont="1" applyFill="1"/>
    <xf numFmtId="2" fontId="3" fillId="3" borderId="10" xfId="0" applyNumberFormat="1" applyFont="1" applyFill="1" applyBorder="1" applyAlignment="1">
      <alignment horizontal="center"/>
    </xf>
    <xf numFmtId="164" fontId="5" fillId="6" borderId="10" xfId="3" applyNumberFormat="1" applyFont="1" applyFill="1" applyBorder="1" applyAlignment="1">
      <alignment horizontal="center" wrapText="1"/>
    </xf>
    <xf numFmtId="169" fontId="6" fillId="3" borderId="10" xfId="2" applyNumberFormat="1" applyFont="1" applyFill="1" applyBorder="1"/>
    <xf numFmtId="169" fontId="10" fillId="3" borderId="10" xfId="2" applyNumberFormat="1" applyFont="1" applyFill="1" applyBorder="1"/>
    <xf numFmtId="169" fontId="11" fillId="3" borderId="10" xfId="2" applyNumberFormat="1" applyFont="1" applyFill="1" applyBorder="1"/>
    <xf numFmtId="2" fontId="11" fillId="3" borderId="10" xfId="2" applyNumberFormat="1" applyFont="1" applyFill="1" applyBorder="1" applyAlignment="1">
      <alignment horizontal="center"/>
    </xf>
    <xf numFmtId="0" fontId="11" fillId="0" borderId="10" xfId="0" applyFont="1" applyBorder="1" applyAlignment="1">
      <alignment horizontal="center" wrapText="1"/>
    </xf>
    <xf numFmtId="0" fontId="10" fillId="0" borderId="10" xfId="0" applyFont="1" applyBorder="1" applyAlignment="1">
      <alignment horizontal="center"/>
    </xf>
    <xf numFmtId="0" fontId="6" fillId="2" borderId="0" xfId="0" applyFont="1" applyFill="1"/>
    <xf numFmtId="43" fontId="6" fillId="3" borderId="10" xfId="1" applyFont="1" applyFill="1" applyBorder="1"/>
    <xf numFmtId="2" fontId="6" fillId="0" borderId="0" xfId="0" applyNumberFormat="1" applyFont="1"/>
    <xf numFmtId="166" fontId="5" fillId="4" borderId="10" xfId="3" applyNumberFormat="1" applyFont="1" applyFill="1" applyBorder="1" applyAlignment="1">
      <alignment horizontal="center" wrapText="1"/>
    </xf>
    <xf numFmtId="0" fontId="4" fillId="3" borderId="10" xfId="0" applyFont="1" applyFill="1" applyBorder="1" applyAlignment="1">
      <alignment horizontal="left" wrapText="1"/>
    </xf>
    <xf numFmtId="0" fontId="5" fillId="4" borderId="10" xfId="0" applyFont="1" applyFill="1" applyBorder="1" applyAlignment="1">
      <alignment horizontal="left" wrapText="1"/>
    </xf>
    <xf numFmtId="2" fontId="5" fillId="4" borderId="10" xfId="0" applyNumberFormat="1" applyFont="1" applyFill="1" applyBorder="1" applyAlignment="1">
      <alignment horizontal="center" wrapText="1"/>
    </xf>
    <xf numFmtId="10" fontId="6" fillId="0" borderId="0" xfId="3" applyNumberFormat="1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11" fillId="5" borderId="10" xfId="0" applyFont="1" applyFill="1" applyBorder="1" applyAlignment="1">
      <alignment horizontal="left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9" fontId="5" fillId="6" borderId="10" xfId="3" applyFont="1" applyFill="1" applyBorder="1" applyAlignment="1">
      <alignment horizontal="center" wrapText="1"/>
    </xf>
    <xf numFmtId="0" fontId="5" fillId="6" borderId="10" xfId="0" applyFont="1" applyFill="1" applyBorder="1" applyAlignment="1">
      <alignment horizontal="center" wrapText="1"/>
    </xf>
    <xf numFmtId="0" fontId="5" fillId="4" borderId="10" xfId="0" applyFont="1" applyFill="1" applyBorder="1" applyAlignment="1">
      <alignment horizontal="center" wrapText="1"/>
    </xf>
    <xf numFmtId="0" fontId="3" fillId="0" borderId="10" xfId="0" applyFont="1" applyBorder="1"/>
    <xf numFmtId="0" fontId="10" fillId="2" borderId="14" xfId="0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/>
    </xf>
    <xf numFmtId="0" fontId="3" fillId="2" borderId="7" xfId="0" applyFont="1" applyFill="1" applyBorder="1" applyAlignment="1">
      <alignment wrapText="1"/>
    </xf>
    <xf numFmtId="166" fontId="3" fillId="2" borderId="4" xfId="3" applyNumberFormat="1" applyFont="1" applyFill="1" applyBorder="1"/>
    <xf numFmtId="0" fontId="5" fillId="4" borderId="0" xfId="0" applyFont="1" applyFill="1" applyAlignment="1">
      <alignment horizontal="center" wrapText="1"/>
    </xf>
    <xf numFmtId="164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0" fontId="4" fillId="5" borderId="10" xfId="0" applyFont="1" applyFill="1" applyBorder="1" applyAlignment="1">
      <alignment horizontal="center" wrapText="1"/>
    </xf>
    <xf numFmtId="164" fontId="3" fillId="3" borderId="10" xfId="0" applyNumberFormat="1" applyFont="1" applyFill="1" applyBorder="1" applyAlignment="1">
      <alignment horizontal="center"/>
    </xf>
    <xf numFmtId="0" fontId="13" fillId="3" borderId="10" xfId="0" applyFont="1" applyFill="1" applyBorder="1" applyAlignment="1">
      <alignment horizontal="left" wrapText="1"/>
    </xf>
    <xf numFmtId="2" fontId="13" fillId="3" borderId="10" xfId="0" applyNumberFormat="1" applyFont="1" applyFill="1" applyBorder="1" applyAlignment="1">
      <alignment horizont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3" fillId="5" borderId="10" xfId="0" applyFont="1" applyFill="1" applyBorder="1" applyAlignment="1">
      <alignment horizontal="center" wrapText="1"/>
    </xf>
    <xf numFmtId="166" fontId="4" fillId="5" borderId="10" xfId="3" applyNumberFormat="1" applyFont="1" applyFill="1" applyBorder="1" applyAlignment="1">
      <alignment horizontal="center" wrapText="1"/>
    </xf>
    <xf numFmtId="164" fontId="13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/>
    </xf>
    <xf numFmtId="2" fontId="3" fillId="3" borderId="10" xfId="1" applyNumberFormat="1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 vertical="center" wrapText="1"/>
    </xf>
    <xf numFmtId="0" fontId="13" fillId="5" borderId="10" xfId="0" applyFont="1" applyFill="1" applyBorder="1" applyAlignment="1">
      <alignment horizontal="left" vertical="center" wrapText="1"/>
    </xf>
    <xf numFmtId="166" fontId="4" fillId="5" borderId="10" xfId="0" applyNumberFormat="1" applyFont="1" applyFill="1" applyBorder="1" applyAlignment="1">
      <alignment horizontal="left" vertical="center" wrapText="1"/>
    </xf>
    <xf numFmtId="166" fontId="13" fillId="5" borderId="10" xfId="0" applyNumberFormat="1" applyFont="1" applyFill="1" applyBorder="1" applyAlignment="1">
      <alignment horizontal="center" vertical="center" wrapText="1"/>
    </xf>
    <xf numFmtId="164" fontId="4" fillId="5" borderId="10" xfId="0" applyNumberFormat="1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9" fontId="4" fillId="3" borderId="10" xfId="3" applyFont="1" applyFill="1" applyBorder="1" applyAlignment="1">
      <alignment horizontal="left" wrapText="1"/>
    </xf>
    <xf numFmtId="166" fontId="4" fillId="3" borderId="10" xfId="3" applyNumberFormat="1" applyFont="1" applyFill="1" applyBorder="1" applyAlignment="1">
      <alignment horizontal="center" wrapText="1"/>
    </xf>
    <xf numFmtId="166" fontId="4" fillId="3" borderId="10" xfId="0" applyNumberFormat="1" applyFont="1" applyFill="1" applyBorder="1" applyAlignment="1">
      <alignment horizontal="center" wrapText="1"/>
    </xf>
    <xf numFmtId="167" fontId="4" fillId="3" borderId="10" xfId="1" applyNumberFormat="1" applyFont="1" applyFill="1" applyBorder="1" applyAlignment="1">
      <alignment horizontal="center" wrapText="1"/>
    </xf>
    <xf numFmtId="43" fontId="4" fillId="3" borderId="10" xfId="1" applyFont="1" applyFill="1" applyBorder="1" applyAlignment="1">
      <alignment horizontal="center" wrapText="1"/>
    </xf>
    <xf numFmtId="167" fontId="13" fillId="3" borderId="10" xfId="1" applyNumberFormat="1" applyFont="1" applyFill="1" applyBorder="1" applyAlignment="1">
      <alignment horizontal="center" wrapText="1"/>
    </xf>
    <xf numFmtId="168" fontId="13" fillId="3" borderId="10" xfId="1" applyNumberFormat="1" applyFont="1" applyFill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168" fontId="13" fillId="0" borderId="10" xfId="1" applyNumberFormat="1" applyFont="1" applyFill="1" applyBorder="1" applyAlignment="1">
      <alignment horizontal="center" wrapText="1"/>
    </xf>
    <xf numFmtId="0" fontId="13" fillId="5" borderId="10" xfId="0" applyFont="1" applyFill="1" applyBorder="1" applyAlignment="1">
      <alignment horizontal="left" wrapText="1"/>
    </xf>
    <xf numFmtId="166" fontId="4" fillId="5" borderId="10" xfId="0" applyNumberFormat="1" applyFont="1" applyFill="1" applyBorder="1" applyAlignment="1">
      <alignment horizontal="left" wrapText="1"/>
    </xf>
    <xf numFmtId="166" fontId="13" fillId="5" borderId="10" xfId="0" applyNumberFormat="1" applyFont="1" applyFill="1" applyBorder="1" applyAlignment="1">
      <alignment horizontal="center" wrapText="1"/>
    </xf>
    <xf numFmtId="167" fontId="4" fillId="5" borderId="10" xfId="1" applyNumberFormat="1" applyFont="1" applyFill="1" applyBorder="1" applyAlignment="1">
      <alignment horizontal="center" wrapText="1"/>
    </xf>
    <xf numFmtId="168" fontId="4" fillId="3" borderId="10" xfId="1" applyNumberFormat="1" applyFont="1" applyFill="1" applyBorder="1" applyAlignment="1">
      <alignment horizontal="center" wrapText="1"/>
    </xf>
    <xf numFmtId="167" fontId="13" fillId="5" borderId="10" xfId="1" applyNumberFormat="1" applyFont="1" applyFill="1" applyBorder="1" applyAlignment="1">
      <alignment horizontal="center" wrapText="1"/>
    </xf>
    <xf numFmtId="43" fontId="13" fillId="5" borderId="10" xfId="1" applyFont="1" applyFill="1" applyBorder="1" applyAlignment="1">
      <alignment horizontal="center" wrapText="1"/>
    </xf>
    <xf numFmtId="2" fontId="4" fillId="3" borderId="1" xfId="0" applyNumberFormat="1" applyFont="1" applyFill="1" applyBorder="1" applyAlignment="1">
      <alignment horizontal="center" wrapText="1"/>
    </xf>
    <xf numFmtId="0" fontId="5" fillId="4" borderId="3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wrapText="1"/>
    </xf>
    <xf numFmtId="0" fontId="13" fillId="5" borderId="10" xfId="0" applyFont="1" applyFill="1" applyBorder="1" applyAlignment="1">
      <alignment horizontal="left" wrapText="1"/>
    </xf>
    <xf numFmtId="0" fontId="13" fillId="3" borderId="10" xfId="0" applyFont="1" applyFill="1" applyBorder="1" applyAlignment="1">
      <alignment horizontal="left" wrapText="1"/>
    </xf>
    <xf numFmtId="0" fontId="4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4" borderId="7" xfId="0" applyFont="1" applyFill="1" applyBorder="1" applyAlignment="1">
      <alignment horizontal="center" wrapText="1"/>
    </xf>
    <xf numFmtId="0" fontId="5" fillId="4" borderId="3" xfId="0" applyFont="1" applyFill="1" applyBorder="1" applyAlignment="1">
      <alignment horizontal="left" wrapText="1" indent="11"/>
    </xf>
    <xf numFmtId="0" fontId="5" fillId="4" borderId="4" xfId="0" applyFont="1" applyFill="1" applyBorder="1" applyAlignment="1">
      <alignment horizontal="left" wrapText="1" indent="11"/>
    </xf>
    <xf numFmtId="0" fontId="5" fillId="4" borderId="5" xfId="0" applyFont="1" applyFill="1" applyBorder="1" applyAlignment="1">
      <alignment horizontal="center" wrapText="1"/>
    </xf>
    <xf numFmtId="0" fontId="5" fillId="4" borderId="2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top" wrapText="1"/>
    </xf>
    <xf numFmtId="0" fontId="6" fillId="0" borderId="10" xfId="0" applyFont="1" applyBorder="1" applyAlignment="1">
      <alignment horizontal="center" wrapText="1"/>
    </xf>
    <xf numFmtId="166" fontId="5" fillId="6" borderId="13" xfId="3" applyNumberFormat="1" applyFont="1" applyFill="1" applyBorder="1" applyAlignment="1">
      <alignment horizontal="center" wrapText="1"/>
    </xf>
    <xf numFmtId="166" fontId="5" fillId="6" borderId="14" xfId="3" applyNumberFormat="1" applyFont="1" applyFill="1" applyBorder="1" applyAlignment="1">
      <alignment horizontal="center" wrapText="1"/>
    </xf>
    <xf numFmtId="166" fontId="5" fillId="6" borderId="15" xfId="3" applyNumberFormat="1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right"/>
    </xf>
    <xf numFmtId="0" fontId="5" fillId="6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9" fontId="5" fillId="6" borderId="10" xfId="3" applyFont="1" applyFill="1" applyBorder="1" applyAlignment="1">
      <alignment horizontal="center" wrapText="1"/>
    </xf>
    <xf numFmtId="0" fontId="5" fillId="4" borderId="10" xfId="0" applyFont="1" applyFill="1" applyBorder="1" applyAlignment="1">
      <alignment horizontal="center" wrapText="1"/>
    </xf>
    <xf numFmtId="0" fontId="4" fillId="2" borderId="14" xfId="0" applyFont="1" applyFill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5" fillId="6" borderId="11" xfId="0" applyFont="1" applyFill="1" applyBorder="1" applyAlignment="1">
      <alignment horizontal="center" wrapText="1"/>
    </xf>
    <xf numFmtId="0" fontId="5" fillId="6" borderId="12" xfId="0" applyFont="1" applyFill="1" applyBorder="1" applyAlignment="1">
      <alignment horizontal="center" wrapText="1"/>
    </xf>
    <xf numFmtId="0" fontId="12" fillId="4" borderId="1" xfId="0" applyFont="1" applyFill="1" applyBorder="1" applyAlignment="1">
      <alignment horizontal="center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417B85"/>
      <color rgb="FFDEECEF"/>
      <color rgb="FF417A84"/>
      <color rgb="FF1A3292"/>
      <color rgb="FF548DD4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externalLink" Target="externalLinks/externalLink13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externalLink" Target="externalLinks/externalLink1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betty\Downloads\CalSAWS%20QA%20Proposal%20Evaluation\Vol%202%20Attachment%205%20Price%20Proposal%20Schedule%2005112026%20BAFO%20-%20NTT%20DATA.xlsx" TargetMode="External"/><Relationship Id="rId1" Type="http://schemas.openxmlformats.org/officeDocument/2006/relationships/externalLinkPath" Target="file:///C:\Users\DrohanS\AppData\Local\Microsoft\Windows\INetCache\Content.Outlook\40KE3P30\Vol%202%20Attachment%205%20Price%20Proposal%20Schedule%2005112026%20BAFO%20-%20NTT%20DATA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betty\Downloads\03-QA%20Business%20Proposal%20Scoring%20Workbook%20-%20IBM.xlsx" TargetMode="External"/><Relationship Id="rId1" Type="http://schemas.openxmlformats.org/officeDocument/2006/relationships/externalLinkPath" Target="file:///C:\Users\betty\Downloads\03-QA%20Business%20Proposal%20Scoring%20Workbook%20-%20IBM.xlsx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sode\Downloads\03-QA%20Business%20Proposal%20Scoring%20Workbook%20-%20Quadrant.xlsx" TargetMode="External"/><Relationship Id="rId1" Type="http://schemas.openxmlformats.org/officeDocument/2006/relationships/externalLinkPath" Target="file:///C:\Users\DrohanS\AppData\Local\Microsoft\Windows\INetCache\Content.Outlook\40KE3P30\03-QA%20Business%20Proposal%20Scoring%20Workbook%20-%20Quadrant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sode\Downloads\03-QA%20Business%20Proposal%20Scoring%20Workbook%20-%20Infosys.xlsx" TargetMode="External"/><Relationship Id="rId1" Type="http://schemas.openxmlformats.org/officeDocument/2006/relationships/externalLinkPath" Target="file:///C:\Users\DrohanS\AppData\Local\Microsoft\Windows\INetCache\Content.Outlook\40KE3P30\03-QA%20Business%20Proposal%20Scoring%20Workbook%20-%20Infosys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sode\Downloads\03-QA%20Business%20Proposal%20Scoring%20Workbook%20-%20IBM.xlsx" TargetMode="External"/><Relationship Id="rId1" Type="http://schemas.openxmlformats.org/officeDocument/2006/relationships/externalLinkPath" Target="file:///C:\Users\DrohanS\AppData\Local\Microsoft\Windows\INetCache\Content.Outlook\40KE3P30\03-QA%20Business%20Proposal%20Scoring%20Workbook%20-%20IBM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betty\Downloads\02_Vol%202%20Att%205%20Price%20Proposal%20Schedules%20&#8211;%20ClearBest%20-%20BAFO.xlsx" TargetMode="External"/><Relationship Id="rId1" Type="http://schemas.openxmlformats.org/officeDocument/2006/relationships/externalLinkPath" Target="file:///C:\Users\betty\Downloads\02_Vol%202%20Att%205%20Price%20Proposal%20Schedules%20&#8211;%20ClearBest%20-%20BAFO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betty\Downloads\RFP%20Attachment%205%20-%20Price%20Proposal%20Schedules%2005112026%20BAFO%20-%20Tetrus.xlsx" TargetMode="External"/><Relationship Id="rId1" Type="http://schemas.openxmlformats.org/officeDocument/2006/relationships/externalLinkPath" Target="file:///C:\Users\betty\Downloads\RFP%20Attachment%205%20-%20Price%20Proposal%20Schedules%2005112026%20BAFO%20-%20Tetrus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betty\Downloads\CalSAWS%20QA%20Proposal%20Evaluation\2.%20IBM_Attachment%205%20-%20Price%20Proposal%20Schedules_BAFO%20Response%20_06012026.xlsx" TargetMode="External"/><Relationship Id="rId1" Type="http://schemas.openxmlformats.org/officeDocument/2006/relationships/externalLinkPath" Target="file:///C:\Users\DrohanS\AppData\Local\Microsoft\Windows\INetCache\Content.Outlook\40KE3P30\2.%20IBM_Attachment%205%20-%20Price%20Proposal%20Schedules_BAFO%20Response%20_06012026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betty\Downloads\CalSAWS%20QA%20Proposal%20Evaluation\RFP%20Attachment%205%20-%20Price%20Proposal%20Schedules%2005112026%20BAFO%20-%20Quadrant.xlsx" TargetMode="External"/><Relationship Id="rId1" Type="http://schemas.openxmlformats.org/officeDocument/2006/relationships/externalLinkPath" Target="file:///C:\Users\DrohanS\AppData\Local\Microsoft\Windows\INetCache\Content.Outlook\40KE3P30\RFP%20Attachment%205%20-%20Price%20Proposal%20Schedules%2005112026%20BAFO%20-%20Quadrant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betty\Downloads\CalSAWS%20QA%20Proposal%20Evaluation\Vol%202%20Att%205%20Price%20Proposal%20Schedules%20&#8211;%20IPS%20BAFO.xlsx" TargetMode="External"/><Relationship Id="rId1" Type="http://schemas.openxmlformats.org/officeDocument/2006/relationships/externalLinkPath" Target="file:///C:\Users\DrohanS\AppData\Local\Microsoft\Windows\INetCache\Content.Outlook\40KE3P30\Vol%202%20Att%205%20Price%20Proposal%20Schedules%20&#8211;%20IPS%20BAFO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sode\Downloads\03-QA%20Business%20Proposal%20Scoring%20Workbook%20-%20NTT%20DATA.xlsx" TargetMode="External"/><Relationship Id="rId1" Type="http://schemas.openxmlformats.org/officeDocument/2006/relationships/externalLinkPath" Target="file:///C:\Users\DrohanS\AppData\Local\Microsoft\Windows\INetCache\Content.Outlook\40KE3P30\03-QA%20Business%20Proposal%20Scoring%20Workbook%20-%20NTT%20DATA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sode\Downloads\03-QA%20Business%20Proposal%20Scoring%20Workbook%20-%20ClearBest.xlsx" TargetMode="External"/><Relationship Id="rId1" Type="http://schemas.openxmlformats.org/officeDocument/2006/relationships/externalLinkPath" Target="file:///C:\Users\DrohanS\AppData\Local\Microsoft\Windows\INetCache\Content.Outlook\40KE3P30\03-QA%20Business%20Proposal%20Scoring%20Workbook%20-%20ClearBest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sode\Downloads\03-QA%20Business%20Proposal%20Scoring%20Workbook%20-%20Tetrus.xlsx" TargetMode="External"/><Relationship Id="rId1" Type="http://schemas.openxmlformats.org/officeDocument/2006/relationships/externalLinkPath" Target="file:///C:\Users\DrohanS\AppData\Local\Microsoft\Windows\INetCache\Content.Outlook\40KE3P30\03-QA%20Business%20Proposal%20Scoring%20Workbook%20-%20Tetru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. SFY Summary"/>
      <sheetName val="2. Deliverables"/>
      <sheetName val="3. Transition-In Staff Loading"/>
      <sheetName val="4. Services"/>
      <sheetName val="5. Staff Loading"/>
      <sheetName val="6.1 Optional Extension Year 1"/>
      <sheetName val="6.2 Optional Extension Year 2"/>
      <sheetName val="6.3 Optional Extension Year 3"/>
      <sheetName val="6.4 Optional Extension Year 4"/>
      <sheetName val="7. Hourly Rate Card"/>
      <sheetName val="8. CO Hourly Rate Card"/>
      <sheetName val="9. Other"/>
    </sheetNames>
    <sheetDataSet>
      <sheetData sheetId="0">
        <row r="6">
          <cell r="N6">
            <v>374769.22000000003</v>
          </cell>
        </row>
        <row r="7">
          <cell r="N7">
            <v>22002601.199999996</v>
          </cell>
        </row>
        <row r="8">
          <cell r="N8">
            <v>93510</v>
          </cell>
        </row>
        <row r="11">
          <cell r="N11">
            <v>22096111.199999996</v>
          </cell>
        </row>
        <row r="17">
          <cell r="N17">
            <v>15557878.132931953</v>
          </cell>
        </row>
        <row r="19">
          <cell r="N19">
            <v>38028758.552931949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idder-Key Staff"/>
      <sheetName val="U&amp;A Summary"/>
      <sheetName val="U&amp;A-1 "/>
      <sheetName val="U&amp;A-2"/>
      <sheetName val="U&amp;A-3"/>
      <sheetName val="U&amp;A-4"/>
      <sheetName val="Firm References"/>
      <sheetName val="Staff Qualifications Summary"/>
      <sheetName val="Staff Minimum Qualifications"/>
      <sheetName val="Staff References"/>
      <sheetName val="Key Staff Interviews"/>
      <sheetName val="Oral Presentations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F3">
            <v>9.5</v>
          </cell>
        </row>
        <row r="4">
          <cell r="F4">
            <v>9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idder-Key Staff"/>
      <sheetName val="U&amp;A Summary"/>
      <sheetName val="U&amp;A-1 "/>
      <sheetName val="U&amp;A-2"/>
      <sheetName val="U&amp;A-3"/>
      <sheetName val="U&amp;A-4"/>
      <sheetName val="Firm References"/>
      <sheetName val="Staff Qualifications Summary"/>
      <sheetName val="Staff Minimum Qualifications"/>
      <sheetName val="Staff References"/>
      <sheetName val="Key Staff Interviews"/>
      <sheetName val="Oral Presentations"/>
    </sheetNames>
    <sheetDataSet>
      <sheetData sheetId="0"/>
      <sheetData sheetId="1"/>
      <sheetData sheetId="2">
        <row r="4">
          <cell r="AF4">
            <v>2.2000000000000002</v>
          </cell>
        </row>
        <row r="5">
          <cell r="AF5">
            <v>1.8</v>
          </cell>
        </row>
      </sheetData>
      <sheetData sheetId="3">
        <row r="4">
          <cell r="AF4">
            <v>1.9</v>
          </cell>
        </row>
        <row r="5">
          <cell r="AF5">
            <v>1.2</v>
          </cell>
        </row>
        <row r="6">
          <cell r="AF6">
            <v>0.3</v>
          </cell>
        </row>
      </sheetData>
      <sheetData sheetId="4">
        <row r="4">
          <cell r="AF4">
            <v>1.2</v>
          </cell>
        </row>
        <row r="5">
          <cell r="AF5">
            <v>1.2</v>
          </cell>
        </row>
        <row r="6">
          <cell r="AF6">
            <v>1.8</v>
          </cell>
        </row>
        <row r="7">
          <cell r="AF7">
            <v>1.8</v>
          </cell>
        </row>
      </sheetData>
      <sheetData sheetId="5">
        <row r="4">
          <cell r="AF4">
            <v>2.4</v>
          </cell>
        </row>
        <row r="5">
          <cell r="AF5">
            <v>2.4</v>
          </cell>
        </row>
      </sheetData>
      <sheetData sheetId="6">
        <row r="3">
          <cell r="F3">
            <v>10</v>
          </cell>
        </row>
        <row r="4">
          <cell r="F4">
            <v>10</v>
          </cell>
        </row>
      </sheetData>
      <sheetData sheetId="7">
        <row r="9">
          <cell r="J9">
            <v>2.5</v>
          </cell>
        </row>
        <row r="15">
          <cell r="J15">
            <v>2.6666666666666665</v>
          </cell>
        </row>
        <row r="21">
          <cell r="J21">
            <v>3</v>
          </cell>
        </row>
        <row r="28">
          <cell r="J28">
            <v>2.5</v>
          </cell>
        </row>
      </sheetData>
      <sheetData sheetId="8"/>
      <sheetData sheetId="9">
        <row r="7">
          <cell r="J7">
            <v>8.75</v>
          </cell>
        </row>
      </sheetData>
      <sheetData sheetId="10">
        <row r="3">
          <cell r="D3">
            <v>3.2</v>
          </cell>
        </row>
        <row r="4">
          <cell r="D4">
            <v>5.9</v>
          </cell>
        </row>
        <row r="5">
          <cell r="D5">
            <v>0</v>
          </cell>
        </row>
        <row r="6">
          <cell r="D6">
            <v>3.1</v>
          </cell>
        </row>
      </sheetData>
      <sheetData sheetId="1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idder-Key Staff"/>
      <sheetName val="U&amp;A Summary"/>
      <sheetName val="U&amp;A-1 "/>
      <sheetName val="U&amp;A-2"/>
      <sheetName val="U&amp;A-3"/>
      <sheetName val="U&amp;A-4"/>
      <sheetName val="Firm References"/>
      <sheetName val="Staff Qualifications Summary"/>
      <sheetName val="Staff Minimum Qualifications"/>
      <sheetName val="Staff References"/>
      <sheetName val="Key Staff Interviews"/>
      <sheetName val="Oral Presentations"/>
    </sheetNames>
    <sheetDataSet>
      <sheetData sheetId="0"/>
      <sheetData sheetId="1"/>
      <sheetData sheetId="2">
        <row r="4">
          <cell r="AF4">
            <v>3.4</v>
          </cell>
        </row>
        <row r="5">
          <cell r="AF5">
            <v>3.1</v>
          </cell>
        </row>
      </sheetData>
      <sheetData sheetId="3">
        <row r="4">
          <cell r="AF4">
            <v>3.1</v>
          </cell>
        </row>
        <row r="5">
          <cell r="AF5">
            <v>3.7</v>
          </cell>
        </row>
        <row r="6">
          <cell r="AF6">
            <v>3.1</v>
          </cell>
        </row>
      </sheetData>
      <sheetData sheetId="4">
        <row r="4">
          <cell r="AF4">
            <v>3.3</v>
          </cell>
        </row>
        <row r="5">
          <cell r="AF5">
            <v>2.2000000000000002</v>
          </cell>
        </row>
        <row r="6">
          <cell r="AF6">
            <v>3.2</v>
          </cell>
        </row>
        <row r="7">
          <cell r="AF7">
            <v>2.2000000000000002</v>
          </cell>
        </row>
      </sheetData>
      <sheetData sheetId="5">
        <row r="4">
          <cell r="AF4">
            <v>2.6</v>
          </cell>
        </row>
        <row r="5">
          <cell r="AF5">
            <v>3.4</v>
          </cell>
        </row>
      </sheetData>
      <sheetData sheetId="6">
        <row r="3">
          <cell r="F3">
            <v>9</v>
          </cell>
        </row>
        <row r="4">
          <cell r="F4">
            <v>9</v>
          </cell>
        </row>
      </sheetData>
      <sheetData sheetId="7">
        <row r="9">
          <cell r="J9">
            <v>2.5</v>
          </cell>
        </row>
        <row r="15">
          <cell r="J15">
            <v>2.6666666666666665</v>
          </cell>
        </row>
        <row r="21">
          <cell r="J21">
            <v>3</v>
          </cell>
        </row>
        <row r="28">
          <cell r="J28">
            <v>2.25</v>
          </cell>
        </row>
      </sheetData>
      <sheetData sheetId="8"/>
      <sheetData sheetId="9">
        <row r="7">
          <cell r="J7">
            <v>9.75</v>
          </cell>
        </row>
      </sheetData>
      <sheetData sheetId="10">
        <row r="3">
          <cell r="D3">
            <v>4.5999999999999996</v>
          </cell>
        </row>
        <row r="4">
          <cell r="D4">
            <v>6.9</v>
          </cell>
        </row>
        <row r="5">
          <cell r="D5">
            <v>5.9</v>
          </cell>
        </row>
        <row r="6">
          <cell r="D6">
            <v>6.1</v>
          </cell>
        </row>
      </sheetData>
      <sheetData sheetId="1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idder-Key Staff"/>
      <sheetName val="U&amp;A Summary"/>
      <sheetName val="U&amp;A-1 "/>
      <sheetName val="U&amp;A-2"/>
      <sheetName val="U&amp;A-3"/>
      <sheetName val="U&amp;A-4"/>
      <sheetName val="Firm References"/>
      <sheetName val="Staff Qualifications Summary"/>
      <sheetName val="Staff Minimum Qualifications"/>
      <sheetName val="Staff References"/>
      <sheetName val="Key Staff Interviews"/>
      <sheetName val="Oral Presentations"/>
    </sheetNames>
    <sheetDataSet>
      <sheetData sheetId="0"/>
      <sheetData sheetId="1"/>
      <sheetData sheetId="2">
        <row r="4">
          <cell r="AF4">
            <v>2.9</v>
          </cell>
        </row>
        <row r="5">
          <cell r="AF5">
            <v>2.6</v>
          </cell>
        </row>
      </sheetData>
      <sheetData sheetId="3">
        <row r="4">
          <cell r="AF4">
            <v>3.4</v>
          </cell>
        </row>
        <row r="5">
          <cell r="AF5">
            <v>3.2</v>
          </cell>
        </row>
        <row r="6">
          <cell r="AF6">
            <v>3</v>
          </cell>
        </row>
      </sheetData>
      <sheetData sheetId="4">
        <row r="4">
          <cell r="AF4">
            <v>3.4</v>
          </cell>
        </row>
        <row r="5">
          <cell r="AF5">
            <v>2.9</v>
          </cell>
        </row>
        <row r="6">
          <cell r="AF6">
            <v>3.3</v>
          </cell>
        </row>
        <row r="7">
          <cell r="AF7">
            <v>3.2</v>
          </cell>
        </row>
      </sheetData>
      <sheetData sheetId="5">
        <row r="4">
          <cell r="AF4">
            <v>3.6</v>
          </cell>
        </row>
        <row r="5">
          <cell r="AF5">
            <v>3.4</v>
          </cell>
        </row>
      </sheetData>
      <sheetData sheetId="6"/>
      <sheetData sheetId="7">
        <row r="9">
          <cell r="J9">
            <v>2.25</v>
          </cell>
        </row>
        <row r="15">
          <cell r="J15">
            <v>3</v>
          </cell>
        </row>
        <row r="21">
          <cell r="J21">
            <v>3</v>
          </cell>
        </row>
        <row r="28">
          <cell r="J28">
            <v>2.5</v>
          </cell>
        </row>
      </sheetData>
      <sheetData sheetId="8"/>
      <sheetData sheetId="9">
        <row r="7">
          <cell r="J7">
            <v>9.875</v>
          </cell>
        </row>
      </sheetData>
      <sheetData sheetId="10">
        <row r="3">
          <cell r="D3">
            <v>8</v>
          </cell>
        </row>
        <row r="4">
          <cell r="D4">
            <v>7.4</v>
          </cell>
        </row>
        <row r="5">
          <cell r="D5">
            <v>9.9</v>
          </cell>
        </row>
        <row r="6">
          <cell r="D6">
            <v>5.4</v>
          </cell>
        </row>
      </sheetData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. SFY Summary"/>
      <sheetName val="2. Deliverables"/>
      <sheetName val="3. Transition-In Staff Loading"/>
      <sheetName val="4. Services"/>
      <sheetName val="5. Staff Loading"/>
      <sheetName val="6.1 Optional Extension Year 1"/>
      <sheetName val="6.2 Optional Extension Year 2"/>
      <sheetName val="6.3 Optional Extension Year 3"/>
      <sheetName val="6.4 Optional Extension Year 4"/>
      <sheetName val="7. Hourly Rate Card"/>
      <sheetName val="8. CO Hourly Rate Card"/>
      <sheetName val="9. Other"/>
    </sheetNames>
    <sheetDataSet>
      <sheetData sheetId="0">
        <row r="6">
          <cell r="N6">
            <v>277056</v>
          </cell>
        </row>
        <row r="7">
          <cell r="N7">
            <v>21918450</v>
          </cell>
        </row>
        <row r="8">
          <cell r="N8">
            <v>0</v>
          </cell>
        </row>
        <row r="11">
          <cell r="N11">
            <v>21918450</v>
          </cell>
        </row>
        <row r="17">
          <cell r="N17">
            <v>16073529.999999998</v>
          </cell>
        </row>
        <row r="19">
          <cell r="N19">
            <v>38269036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. SFY Summary"/>
      <sheetName val="2. Deliverables"/>
      <sheetName val="3. Transition-In Staff Loading"/>
      <sheetName val="4. Services"/>
      <sheetName val="5. Staff Loading"/>
      <sheetName val="6.1 Optional Extension Year 1"/>
      <sheetName val="6.2 Optional Extension Year 2"/>
      <sheetName val="6.3 Optional Extension Year 3"/>
      <sheetName val="6.4 Optional Extension Year 4"/>
      <sheetName val="7. Hourly Rate Card"/>
      <sheetName val="8. CO Hourly Rate Card"/>
      <sheetName val="9. Other"/>
    </sheetNames>
    <sheetDataSet>
      <sheetData sheetId="0">
        <row r="6">
          <cell r="N6">
            <v>573840</v>
          </cell>
        </row>
        <row r="7">
          <cell r="N7">
            <v>19447982.400000002</v>
          </cell>
        </row>
        <row r="8">
          <cell r="N8">
            <v>1699554.1530240001</v>
          </cell>
        </row>
        <row r="11">
          <cell r="N11">
            <v>21147536.553024001</v>
          </cell>
        </row>
        <row r="17">
          <cell r="N17">
            <v>16073757.903385596</v>
          </cell>
        </row>
        <row r="19">
          <cell r="N19">
            <v>37795134.456409603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. SFY Summary"/>
      <sheetName val="2. Deliverables"/>
      <sheetName val="3. Transition-In Staff Loading"/>
      <sheetName val="4. Services"/>
      <sheetName val="5. Staff Loading"/>
      <sheetName val="6.1 Optional Extension Year 1"/>
      <sheetName val="6.2 Optional Extension Year 2"/>
      <sheetName val="6.3 Optional Extension Year 3"/>
      <sheetName val="6.4 Optional Extension Year 4"/>
      <sheetName val="7. Hourly Rate Card"/>
      <sheetName val="8. CO Hourly Rate Card"/>
      <sheetName val="9. Other"/>
    </sheetNames>
    <sheetDataSet>
      <sheetData sheetId="0">
        <row r="6">
          <cell r="N6">
            <v>861085</v>
          </cell>
        </row>
        <row r="7">
          <cell r="N7">
            <v>20966315.799999997</v>
          </cell>
        </row>
        <row r="8">
          <cell r="N8">
            <v>25000</v>
          </cell>
        </row>
        <row r="11">
          <cell r="N11">
            <v>20991315.799999997</v>
          </cell>
        </row>
        <row r="17">
          <cell r="N17">
            <v>15375298.253333334</v>
          </cell>
        </row>
        <row r="19">
          <cell r="N19">
            <v>37227699.053333327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. SFY Summary"/>
      <sheetName val="2. Deliverables"/>
      <sheetName val="3. Transition-In Staff Loading"/>
      <sheetName val="4. Services"/>
      <sheetName val="5. Staff Loading"/>
      <sheetName val="6.1 Optional Extension Year 1"/>
      <sheetName val="6.2 Optional Extension Year 2"/>
      <sheetName val="6.3 Optional Extension Year 3"/>
      <sheetName val="6.4 Optional Extension Year 4"/>
      <sheetName val="7. Hourly Rate Card"/>
      <sheetName val="8. CO Hourly Rate Card"/>
      <sheetName val="9. Other"/>
    </sheetNames>
    <sheetDataSet>
      <sheetData sheetId="0">
        <row r="6">
          <cell r="N6">
            <v>377320</v>
          </cell>
        </row>
        <row r="7">
          <cell r="N7">
            <v>15014820</v>
          </cell>
        </row>
        <row r="8">
          <cell r="N8">
            <v>0</v>
          </cell>
        </row>
        <row r="11">
          <cell r="N11">
            <v>15014820</v>
          </cell>
        </row>
        <row r="17">
          <cell r="N17">
            <v>10410275.199999999</v>
          </cell>
        </row>
        <row r="19">
          <cell r="N19">
            <v>25802415.200000003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. SFY Summary"/>
      <sheetName val="2. Deliverables"/>
      <sheetName val="3. Transition-In Staff Loading"/>
      <sheetName val="4. Services"/>
      <sheetName val="5. Staff Loading"/>
      <sheetName val="6.1 Optional Extension Year 1"/>
      <sheetName val="6.2 Optional Extension Year 2"/>
      <sheetName val="6.3 Optional Extension Year 3"/>
      <sheetName val="6.4 Optional Extension Year 4"/>
      <sheetName val="7. Hourly Rate Card"/>
      <sheetName val="8. CO Hourly Rate Card"/>
      <sheetName val="9. Other"/>
    </sheetNames>
    <sheetDataSet>
      <sheetData sheetId="0">
        <row r="6">
          <cell r="N6">
            <v>330960</v>
          </cell>
        </row>
        <row r="7">
          <cell r="N7">
            <v>17395620</v>
          </cell>
        </row>
        <row r="8">
          <cell r="N8">
            <v>0</v>
          </cell>
        </row>
        <row r="11">
          <cell r="N11">
            <v>17395620</v>
          </cell>
        </row>
        <row r="17">
          <cell r="N17">
            <v>12188647.5146832</v>
          </cell>
        </row>
        <row r="19">
          <cell r="N19">
            <v>29915227.514683198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idder-Key Staff"/>
      <sheetName val="U&amp;A Summary"/>
      <sheetName val="U&amp;A-1 "/>
      <sheetName val="U&amp;A-2"/>
      <sheetName val="U&amp;A-3"/>
      <sheetName val="U&amp;A-4"/>
      <sheetName val="Firm References"/>
      <sheetName val="Staff Qualifications Summary"/>
      <sheetName val="Staff Minimum Qualifications"/>
      <sheetName val="Staff References"/>
      <sheetName val="Key Staff Interviews"/>
      <sheetName val="Oral Presentations"/>
    </sheetNames>
    <sheetDataSet>
      <sheetData sheetId="0"/>
      <sheetData sheetId="1"/>
      <sheetData sheetId="2">
        <row r="4">
          <cell r="AF4">
            <v>2.1</v>
          </cell>
        </row>
        <row r="5">
          <cell r="AF5">
            <v>2.8</v>
          </cell>
        </row>
      </sheetData>
      <sheetData sheetId="3">
        <row r="4">
          <cell r="AF4">
            <v>2.2999999999999998</v>
          </cell>
        </row>
        <row r="5">
          <cell r="AF5">
            <v>2.9</v>
          </cell>
        </row>
        <row r="6">
          <cell r="AF6">
            <v>2.9</v>
          </cell>
        </row>
      </sheetData>
      <sheetData sheetId="4">
        <row r="4">
          <cell r="AF4">
            <v>2.9</v>
          </cell>
        </row>
        <row r="5">
          <cell r="AF5">
            <v>2.7</v>
          </cell>
        </row>
        <row r="6">
          <cell r="AF6">
            <v>2.9</v>
          </cell>
        </row>
        <row r="7">
          <cell r="AF7">
            <v>2.7</v>
          </cell>
        </row>
      </sheetData>
      <sheetData sheetId="5">
        <row r="4">
          <cell r="AF4">
            <v>3</v>
          </cell>
        </row>
        <row r="5">
          <cell r="AF5">
            <v>3.1</v>
          </cell>
        </row>
      </sheetData>
      <sheetData sheetId="6">
        <row r="3">
          <cell r="F3">
            <v>9</v>
          </cell>
        </row>
        <row r="4">
          <cell r="F4">
            <v>9</v>
          </cell>
        </row>
      </sheetData>
      <sheetData sheetId="7">
        <row r="9">
          <cell r="J9">
            <v>2.25</v>
          </cell>
        </row>
        <row r="15">
          <cell r="J15">
            <v>3</v>
          </cell>
        </row>
        <row r="21">
          <cell r="J21">
            <v>2.3333333333333335</v>
          </cell>
        </row>
        <row r="28">
          <cell r="J28">
            <v>2</v>
          </cell>
        </row>
      </sheetData>
      <sheetData sheetId="8"/>
      <sheetData sheetId="9">
        <row r="7">
          <cell r="J7">
            <v>10</v>
          </cell>
        </row>
      </sheetData>
      <sheetData sheetId="10">
        <row r="3">
          <cell r="D3">
            <v>9.6999999999999993</v>
          </cell>
        </row>
        <row r="4">
          <cell r="D4">
            <v>9.1</v>
          </cell>
        </row>
        <row r="5">
          <cell r="D5">
            <v>6.4</v>
          </cell>
        </row>
        <row r="6">
          <cell r="D6">
            <v>3.8</v>
          </cell>
        </row>
      </sheetData>
      <sheetData sheetId="1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idder-Key Staff"/>
      <sheetName val="U&amp;A Summary"/>
      <sheetName val="U&amp;A-1 "/>
      <sheetName val="U&amp;A-2"/>
      <sheetName val="U&amp;A-3"/>
      <sheetName val="U&amp;A-4"/>
      <sheetName val="Firm References"/>
      <sheetName val="Staff Qualifications Summary"/>
      <sheetName val="Staff Minimum Qualifications"/>
      <sheetName val="Staff References"/>
      <sheetName val="Key Staff Interviews"/>
      <sheetName val="Oral Presentations"/>
    </sheetNames>
    <sheetDataSet>
      <sheetData sheetId="0"/>
      <sheetData sheetId="1"/>
      <sheetData sheetId="2">
        <row r="4">
          <cell r="AF4">
            <v>3.1</v>
          </cell>
        </row>
        <row r="5">
          <cell r="AF5">
            <v>3.4</v>
          </cell>
        </row>
      </sheetData>
      <sheetData sheetId="3">
        <row r="4">
          <cell r="AF4">
            <v>3.2</v>
          </cell>
        </row>
        <row r="5">
          <cell r="AF5">
            <v>3.1</v>
          </cell>
        </row>
        <row r="6">
          <cell r="AF6">
            <v>2.8</v>
          </cell>
        </row>
      </sheetData>
      <sheetData sheetId="4">
        <row r="4">
          <cell r="AF4">
            <v>3.8</v>
          </cell>
        </row>
        <row r="5">
          <cell r="AF5">
            <v>3.7</v>
          </cell>
        </row>
        <row r="6">
          <cell r="AF6">
            <v>3.3</v>
          </cell>
        </row>
        <row r="7">
          <cell r="AF7">
            <v>3.2</v>
          </cell>
        </row>
      </sheetData>
      <sheetData sheetId="5">
        <row r="4">
          <cell r="AF4">
            <v>3.6</v>
          </cell>
        </row>
        <row r="5">
          <cell r="AF5">
            <v>3.8</v>
          </cell>
        </row>
      </sheetData>
      <sheetData sheetId="6">
        <row r="3">
          <cell r="F3">
            <v>10</v>
          </cell>
        </row>
        <row r="4">
          <cell r="F4">
            <v>10</v>
          </cell>
        </row>
      </sheetData>
      <sheetData sheetId="7">
        <row r="9">
          <cell r="J9">
            <v>2.5</v>
          </cell>
        </row>
        <row r="15">
          <cell r="J15">
            <v>3</v>
          </cell>
        </row>
        <row r="21">
          <cell r="J21">
            <v>3</v>
          </cell>
        </row>
        <row r="28">
          <cell r="J28">
            <v>3</v>
          </cell>
        </row>
      </sheetData>
      <sheetData sheetId="8"/>
      <sheetData sheetId="9">
        <row r="7">
          <cell r="J7">
            <v>10</v>
          </cell>
        </row>
      </sheetData>
      <sheetData sheetId="10">
        <row r="3">
          <cell r="D3">
            <v>9.8000000000000007</v>
          </cell>
        </row>
        <row r="4">
          <cell r="D4">
            <v>9.9</v>
          </cell>
        </row>
        <row r="5">
          <cell r="D5">
            <v>8.5</v>
          </cell>
        </row>
        <row r="6">
          <cell r="D6">
            <v>9.8000000000000007</v>
          </cell>
        </row>
      </sheetData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idder-Key Staff"/>
      <sheetName val="U&amp;A Summary"/>
      <sheetName val="U&amp;A-1 "/>
      <sheetName val="U&amp;A-2"/>
      <sheetName val="U&amp;A-3"/>
      <sheetName val="U&amp;A-4"/>
      <sheetName val="Firm References"/>
      <sheetName val="Staff Qualifications Summary"/>
      <sheetName val="Staff Minimum Qualifications"/>
      <sheetName val="Staff References"/>
      <sheetName val="Key Staff Interviews"/>
      <sheetName val="Oral Presentations"/>
    </sheetNames>
    <sheetDataSet>
      <sheetData sheetId="0"/>
      <sheetData sheetId="1"/>
      <sheetData sheetId="2">
        <row r="4">
          <cell r="AF4">
            <v>2.9</v>
          </cell>
        </row>
        <row r="5">
          <cell r="AF5">
            <v>2.7</v>
          </cell>
        </row>
      </sheetData>
      <sheetData sheetId="3">
        <row r="4">
          <cell r="AF4">
            <v>3.2</v>
          </cell>
        </row>
        <row r="5">
          <cell r="AF5">
            <v>3.6</v>
          </cell>
        </row>
        <row r="6">
          <cell r="AF6">
            <v>2.9</v>
          </cell>
        </row>
      </sheetData>
      <sheetData sheetId="4">
        <row r="4">
          <cell r="AF4">
            <v>2.9</v>
          </cell>
        </row>
        <row r="5">
          <cell r="AF5">
            <v>2.4</v>
          </cell>
        </row>
        <row r="6">
          <cell r="AF6">
            <v>3.1</v>
          </cell>
        </row>
        <row r="7">
          <cell r="AF7">
            <v>2.9</v>
          </cell>
        </row>
      </sheetData>
      <sheetData sheetId="5">
        <row r="4">
          <cell r="AF4">
            <v>3.6</v>
          </cell>
        </row>
        <row r="5">
          <cell r="AF5">
            <v>3.3</v>
          </cell>
        </row>
      </sheetData>
      <sheetData sheetId="6">
        <row r="3">
          <cell r="F3">
            <v>10</v>
          </cell>
        </row>
        <row r="4">
          <cell r="F4">
            <v>10</v>
          </cell>
        </row>
      </sheetData>
      <sheetData sheetId="7">
        <row r="9">
          <cell r="J9">
            <v>2.5</v>
          </cell>
        </row>
        <row r="15">
          <cell r="J15">
            <v>3</v>
          </cell>
        </row>
        <row r="21">
          <cell r="J21">
            <v>2.6666666666666665</v>
          </cell>
        </row>
        <row r="28">
          <cell r="J28">
            <v>3</v>
          </cell>
        </row>
      </sheetData>
      <sheetData sheetId="8"/>
      <sheetData sheetId="9">
        <row r="7">
          <cell r="J7">
            <v>10</v>
          </cell>
        </row>
      </sheetData>
      <sheetData sheetId="10">
        <row r="3">
          <cell r="D3">
            <v>9.1999999999999993</v>
          </cell>
        </row>
        <row r="4">
          <cell r="D4">
            <v>5.0999999999999996</v>
          </cell>
        </row>
        <row r="5">
          <cell r="D5">
            <v>3.1</v>
          </cell>
        </row>
        <row r="6">
          <cell r="D6">
            <v>3.6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workbookViewId="0">
      <pane xSplit="2" ySplit="1" topLeftCell="C2" activePane="bottomRight" state="frozen"/>
      <selection activeCell="H24" sqref="H24"/>
      <selection pane="topRight" activeCell="H24" sqref="H24"/>
      <selection pane="bottomLeft" activeCell="H24" sqref="H24"/>
      <selection pane="bottomRight" activeCell="C2" sqref="C2"/>
    </sheetView>
  </sheetViews>
  <sheetFormatPr defaultColWidth="9.140625" defaultRowHeight="16.5" x14ac:dyDescent="0.3"/>
  <cols>
    <col min="1" max="1" width="16.5703125" style="1" customWidth="1"/>
    <col min="2" max="2" width="2.5703125" style="1" customWidth="1"/>
    <col min="3" max="3" width="40.5703125" style="1" customWidth="1"/>
    <col min="4" max="4" width="10.5703125" style="1" customWidth="1"/>
    <col min="5" max="16384" width="9.140625" style="1"/>
  </cols>
  <sheetData>
    <row r="1" spans="1:5" ht="20.25" customHeight="1" x14ac:dyDescent="0.3">
      <c r="A1" s="61" t="s">
        <v>0</v>
      </c>
      <c r="B1" s="60"/>
      <c r="C1" s="143" t="s">
        <v>1</v>
      </c>
      <c r="D1" s="144"/>
      <c r="E1" s="30"/>
    </row>
    <row r="2" spans="1:5" x14ac:dyDescent="0.3">
      <c r="A2" s="2" t="s">
        <v>116</v>
      </c>
      <c r="B2" s="26"/>
      <c r="C2" s="2" t="s">
        <v>2</v>
      </c>
      <c r="D2" s="63">
        <v>0.05</v>
      </c>
    </row>
    <row r="3" spans="1:5" x14ac:dyDescent="0.3">
      <c r="A3" s="2" t="s">
        <v>92</v>
      </c>
      <c r="B3" s="27"/>
      <c r="C3" s="2" t="s">
        <v>3</v>
      </c>
      <c r="D3" s="63">
        <v>0.1</v>
      </c>
    </row>
    <row r="4" spans="1:5" x14ac:dyDescent="0.3">
      <c r="A4" s="2" t="s">
        <v>93</v>
      </c>
      <c r="B4" s="27"/>
      <c r="C4" s="2" t="s">
        <v>4</v>
      </c>
      <c r="D4" s="63">
        <v>0.05</v>
      </c>
    </row>
    <row r="5" spans="1:5" x14ac:dyDescent="0.3">
      <c r="A5" s="2" t="s">
        <v>94</v>
      </c>
      <c r="B5" s="28"/>
      <c r="C5" s="2" t="s">
        <v>5</v>
      </c>
      <c r="D5" s="63">
        <v>0.1</v>
      </c>
    </row>
    <row r="6" spans="1:5" x14ac:dyDescent="0.3">
      <c r="A6" s="2" t="s">
        <v>95</v>
      </c>
      <c r="B6" s="19"/>
      <c r="C6" s="35" t="s">
        <v>6</v>
      </c>
      <c r="D6" s="63">
        <v>0.4</v>
      </c>
    </row>
    <row r="7" spans="1:5" x14ac:dyDescent="0.3">
      <c r="A7" s="2" t="s">
        <v>96</v>
      </c>
      <c r="B7" s="19"/>
      <c r="C7" s="103"/>
      <c r="D7" s="104"/>
    </row>
    <row r="8" spans="1:5" ht="8.25" customHeight="1" x14ac:dyDescent="0.3">
      <c r="A8" s="2"/>
      <c r="B8" s="19"/>
      <c r="C8" s="19"/>
      <c r="D8" s="64"/>
    </row>
    <row r="9" spans="1:5" x14ac:dyDescent="0.3">
      <c r="A9" s="43"/>
      <c r="B9" s="2"/>
      <c r="C9" s="3" t="s">
        <v>7</v>
      </c>
      <c r="D9" s="63">
        <f>SUM(D2:D8)</f>
        <v>0.70000000000000007</v>
      </c>
    </row>
    <row r="10" spans="1:5" ht="8.25" customHeight="1" x14ac:dyDescent="0.3">
      <c r="A10" s="2"/>
      <c r="B10" s="19"/>
      <c r="C10" s="19"/>
      <c r="D10" s="64"/>
    </row>
    <row r="11" spans="1:5" x14ac:dyDescent="0.3">
      <c r="A11" s="18"/>
      <c r="B11" s="2"/>
      <c r="C11" s="3" t="s">
        <v>8</v>
      </c>
      <c r="D11" s="63">
        <v>0.3</v>
      </c>
    </row>
    <row r="12" spans="1:5" ht="8.25" customHeight="1" x14ac:dyDescent="0.3">
      <c r="A12" s="2"/>
      <c r="B12" s="57"/>
      <c r="C12" s="57"/>
      <c r="D12" s="65"/>
    </row>
    <row r="13" spans="1:5" x14ac:dyDescent="0.3">
      <c r="A13" s="56"/>
      <c r="B13" s="4"/>
      <c r="C13" s="5" t="s">
        <v>9</v>
      </c>
      <c r="D13" s="66">
        <f>SUM(D9:D12)</f>
        <v>1</v>
      </c>
    </row>
  </sheetData>
  <mergeCells count="1">
    <mergeCell ref="C1:D1"/>
  </mergeCells>
  <phoneticPr fontId="8" type="noConversion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F9CC3-8CF9-48AE-86FF-2F73D3BCADA3}">
  <dimension ref="A1:L15"/>
  <sheetViews>
    <sheetView zoomScaleNormal="100" workbookViewId="0"/>
  </sheetViews>
  <sheetFormatPr defaultColWidth="9.140625" defaultRowHeight="16.5" x14ac:dyDescent="0.3"/>
  <cols>
    <col min="1" max="1" width="34.85546875" style="1" customWidth="1"/>
    <col min="2" max="2" width="11.28515625" style="8" customWidth="1"/>
    <col min="3" max="7" width="11.28515625" style="1" customWidth="1"/>
    <col min="8" max="8" width="14.140625" style="48" bestFit="1" customWidth="1"/>
    <col min="9" max="16384" width="9.140625" style="1"/>
  </cols>
  <sheetData>
    <row r="1" spans="1:12" s="10" customFormat="1" ht="21.95" customHeight="1" x14ac:dyDescent="0.2">
      <c r="A1" s="98" t="s">
        <v>5</v>
      </c>
      <c r="B1" s="98"/>
      <c r="C1" s="98" t="s">
        <v>35</v>
      </c>
      <c r="D1" s="73">
        <f>' Master'!D5</f>
        <v>0.1</v>
      </c>
      <c r="E1" s="73"/>
      <c r="F1" s="73"/>
      <c r="G1" s="73"/>
      <c r="H1" s="50"/>
    </row>
    <row r="2" spans="1:12" ht="20.100000000000001" customHeight="1" x14ac:dyDescent="0.3">
      <c r="A2" s="108" t="s">
        <v>52</v>
      </c>
      <c r="B2" s="108" t="str">
        <f>' Master'!A2</f>
        <v>NTT DATA</v>
      </c>
      <c r="C2" s="108" t="str">
        <f>' Master'!A3</f>
        <v>ClearBest</v>
      </c>
      <c r="D2" s="108" t="str">
        <f>' Master'!A4</f>
        <v>Tetrus</v>
      </c>
      <c r="E2" s="108" t="str">
        <f>' Master'!A5</f>
        <v>IBM</v>
      </c>
      <c r="F2" s="108" t="str">
        <f>' Master'!A6</f>
        <v>Quadrant</v>
      </c>
      <c r="G2" s="108" t="str">
        <f>' Master'!A7</f>
        <v>Infosys</v>
      </c>
    </row>
    <row r="3" spans="1:12" s="11" customFormat="1" ht="18" customHeight="1" x14ac:dyDescent="0.3">
      <c r="A3" s="87" t="s">
        <v>53</v>
      </c>
      <c r="B3" s="68">
        <f>'[7]Key Staff Interviews'!$D$3</f>
        <v>9.6999999999999993</v>
      </c>
      <c r="C3" s="68">
        <f>'[8]Key Staff Interviews'!$D$3</f>
        <v>9.8000000000000007</v>
      </c>
      <c r="D3" s="68">
        <f>'[9]Key Staff Interviews'!$D$3</f>
        <v>9.1999999999999993</v>
      </c>
      <c r="E3" s="109">
        <f>'[13]Key Staff Interviews'!$D$3</f>
        <v>8</v>
      </c>
      <c r="F3" s="68">
        <f>'[11]Key Staff Interviews'!$D$3</f>
        <v>3.2</v>
      </c>
      <c r="G3" s="68">
        <f>'[12]Key Staff Interviews'!$D$3</f>
        <v>4.5999999999999996</v>
      </c>
      <c r="H3" s="51"/>
    </row>
    <row r="4" spans="1:12" ht="18" customHeight="1" x14ac:dyDescent="0.3">
      <c r="A4" s="87" t="s">
        <v>54</v>
      </c>
      <c r="B4" s="68">
        <f>'[7]Key Staff Interviews'!$D$4</f>
        <v>9.1</v>
      </c>
      <c r="C4" s="68">
        <f>'[8]Key Staff Interviews'!$D$4</f>
        <v>9.9</v>
      </c>
      <c r="D4" s="68">
        <f>'[9]Key Staff Interviews'!$D$4</f>
        <v>5.0999999999999996</v>
      </c>
      <c r="E4" s="68">
        <f>'[13]Key Staff Interviews'!$D$4</f>
        <v>7.4</v>
      </c>
      <c r="F4" s="68">
        <f>'[11]Key Staff Interviews'!$D$4</f>
        <v>5.9</v>
      </c>
      <c r="G4" s="68">
        <f>'[12]Key Staff Interviews'!$D$4</f>
        <v>6.9</v>
      </c>
      <c r="H4" s="52"/>
      <c r="K4" s="11"/>
      <c r="L4" s="11"/>
    </row>
    <row r="5" spans="1:12" ht="18" customHeight="1" x14ac:dyDescent="0.3">
      <c r="A5" s="87" t="s">
        <v>55</v>
      </c>
      <c r="B5" s="68">
        <f>'[7]Key Staff Interviews'!$D$5</f>
        <v>6.4</v>
      </c>
      <c r="C5" s="68">
        <f>'[8]Key Staff Interviews'!$D$5</f>
        <v>8.5</v>
      </c>
      <c r="D5" s="68">
        <f>'[9]Key Staff Interviews'!$D$5</f>
        <v>3.1</v>
      </c>
      <c r="E5" s="68">
        <f>'[13]Key Staff Interviews'!$D$5</f>
        <v>9.9</v>
      </c>
      <c r="F5" s="109">
        <f>'[11]Key Staff Interviews'!$D$5</f>
        <v>0</v>
      </c>
      <c r="G5" s="68">
        <f>'[12]Key Staff Interviews'!$D$5</f>
        <v>5.9</v>
      </c>
      <c r="H5" s="54"/>
      <c r="K5" s="11"/>
      <c r="L5" s="11"/>
    </row>
    <row r="6" spans="1:12" ht="18" customHeight="1" x14ac:dyDescent="0.3">
      <c r="A6" s="87" t="s">
        <v>56</v>
      </c>
      <c r="B6" s="68">
        <f>'[7]Key Staff Interviews'!$D$6</f>
        <v>3.8</v>
      </c>
      <c r="C6" s="68">
        <f>'[8]Key Staff Interviews'!$D$6</f>
        <v>9.8000000000000007</v>
      </c>
      <c r="D6" s="68">
        <f>'[9]Key Staff Interviews'!$D$6</f>
        <v>3.6</v>
      </c>
      <c r="E6" s="68">
        <f>'[13]Key Staff Interviews'!$D$6</f>
        <v>5.4</v>
      </c>
      <c r="F6" s="68">
        <f>'[11]Key Staff Interviews'!$D$6</f>
        <v>3.1</v>
      </c>
      <c r="G6" s="68">
        <f>'[12]Key Staff Interviews'!$D$6</f>
        <v>6.1</v>
      </c>
      <c r="H6" s="54"/>
      <c r="K6" s="11"/>
      <c r="L6" s="11"/>
    </row>
    <row r="7" spans="1:12" ht="8.1" customHeight="1" x14ac:dyDescent="0.3">
      <c r="A7" s="91"/>
      <c r="B7" s="92"/>
      <c r="C7" s="92"/>
      <c r="D7" s="93"/>
      <c r="E7" s="93"/>
      <c r="F7" s="93"/>
      <c r="G7" s="93"/>
    </row>
    <row r="8" spans="1:12" ht="18" customHeight="1" x14ac:dyDescent="0.3">
      <c r="A8" s="110" t="s">
        <v>61</v>
      </c>
      <c r="B8" s="111">
        <f t="shared" ref="B8:G8" si="0">ROUND(AVERAGE(B3:B6),2)</f>
        <v>7.25</v>
      </c>
      <c r="C8" s="111">
        <f t="shared" si="0"/>
        <v>9.5</v>
      </c>
      <c r="D8" s="111">
        <f t="shared" si="0"/>
        <v>5.25</v>
      </c>
      <c r="E8" s="111">
        <f t="shared" si="0"/>
        <v>7.68</v>
      </c>
      <c r="F8" s="111">
        <f t="shared" si="0"/>
        <v>3.05</v>
      </c>
      <c r="G8" s="111">
        <f t="shared" si="0"/>
        <v>5.88</v>
      </c>
    </row>
    <row r="9" spans="1:12" ht="8.1" customHeight="1" x14ac:dyDescent="0.3">
      <c r="A9" s="112"/>
      <c r="B9" s="113"/>
      <c r="C9" s="113"/>
      <c r="D9" s="114"/>
      <c r="E9" s="114"/>
      <c r="F9" s="114"/>
      <c r="G9" s="114"/>
    </row>
    <row r="10" spans="1:12" ht="18" customHeight="1" x14ac:dyDescent="0.3">
      <c r="A10" s="110" t="s">
        <v>62</v>
      </c>
      <c r="B10" s="111">
        <f>B8*$D$1*10</f>
        <v>7.2500000000000009</v>
      </c>
      <c r="C10" s="111">
        <f>C8*$D$1*10</f>
        <v>9.5</v>
      </c>
      <c r="D10" s="111">
        <f>D8*$D$1*10</f>
        <v>5.25</v>
      </c>
      <c r="E10" s="111">
        <f t="shared" ref="E10:G10" si="1">E8*$D$1*10</f>
        <v>7.68</v>
      </c>
      <c r="F10" s="111">
        <f t="shared" ref="F10" si="2">F8*$D$1*10</f>
        <v>3.05</v>
      </c>
      <c r="G10" s="111">
        <f t="shared" si="1"/>
        <v>5.88</v>
      </c>
    </row>
    <row r="11" spans="1:12" ht="8.1" customHeight="1" x14ac:dyDescent="0.3">
      <c r="A11" s="91"/>
      <c r="B11" s="92"/>
      <c r="C11" s="92"/>
      <c r="D11" s="93"/>
      <c r="E11" s="93"/>
      <c r="F11" s="93"/>
      <c r="G11" s="93"/>
    </row>
    <row r="12" spans="1:12" ht="18" customHeight="1" x14ac:dyDescent="0.3">
      <c r="A12" s="98" t="s">
        <v>63</v>
      </c>
      <c r="B12" s="98"/>
      <c r="C12" s="98" t="s">
        <v>35</v>
      </c>
      <c r="D12" s="73">
        <f>' Master'!D4</f>
        <v>0.05</v>
      </c>
      <c r="E12" s="73"/>
      <c r="F12" s="73"/>
      <c r="G12" s="73"/>
    </row>
    <row r="13" spans="1:12" ht="18" customHeight="1" x14ac:dyDescent="0.3">
      <c r="A13" s="115"/>
      <c r="B13" s="108" t="str">
        <f>B2</f>
        <v>NTT DATA</v>
      </c>
      <c r="C13" s="108" t="str">
        <f>C2</f>
        <v>ClearBest</v>
      </c>
      <c r="D13" s="116" t="str">
        <f>D2</f>
        <v>Tetrus</v>
      </c>
      <c r="E13" s="116" t="str">
        <f t="shared" ref="E13:G13" si="3">E2</f>
        <v>IBM</v>
      </c>
      <c r="F13" s="116" t="str">
        <f t="shared" si="3"/>
        <v>Quadrant</v>
      </c>
      <c r="G13" s="116" t="str">
        <f t="shared" si="3"/>
        <v>Infosys</v>
      </c>
    </row>
    <row r="14" spans="1:12" ht="18" customHeight="1" x14ac:dyDescent="0.3">
      <c r="A14" s="110" t="s">
        <v>64</v>
      </c>
      <c r="B14" s="117">
        <v>9.3000000000000007</v>
      </c>
      <c r="C14" s="117">
        <v>9.5</v>
      </c>
      <c r="D14" s="117">
        <v>7.4</v>
      </c>
      <c r="E14" s="117">
        <v>9.1999999999999993</v>
      </c>
      <c r="F14" s="117">
        <v>1.9</v>
      </c>
      <c r="G14" s="117">
        <v>7</v>
      </c>
    </row>
    <row r="15" spans="1:12" ht="18" customHeight="1" x14ac:dyDescent="0.3">
      <c r="A15" s="110" t="s">
        <v>65</v>
      </c>
      <c r="B15" s="111">
        <f>B14/2</f>
        <v>4.6500000000000004</v>
      </c>
      <c r="C15" s="111">
        <f>C14/2</f>
        <v>4.75</v>
      </c>
      <c r="D15" s="111">
        <f>D14/2</f>
        <v>3.7</v>
      </c>
      <c r="E15" s="111">
        <f t="shared" ref="E15:G15" si="4">E14/2</f>
        <v>4.5999999999999996</v>
      </c>
      <c r="F15" s="111">
        <f t="shared" si="4"/>
        <v>0.95</v>
      </c>
      <c r="G15" s="111">
        <f t="shared" si="4"/>
        <v>3.5</v>
      </c>
    </row>
  </sheetData>
  <pageMargins left="0.7" right="0.7" top="0.75" bottom="0.75" header="0.3" footer="0.3"/>
  <pageSetup orientation="portrait" r:id="rId1"/>
  <ignoredErrors>
    <ignoredError sqref="B10:E10 G10 F9:F10" evalError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DFAFF-16DC-4861-BF6B-0248ED5F86E4}">
  <dimension ref="A1:M15"/>
  <sheetViews>
    <sheetView zoomScaleNormal="100" workbookViewId="0">
      <pane xSplit="1" ySplit="3" topLeftCell="B4" activePane="bottomRight" state="frozen"/>
      <selection activeCell="H24" sqref="H24"/>
      <selection pane="topRight" activeCell="H24" sqref="H24"/>
      <selection pane="bottomLeft" activeCell="H24" sqref="H24"/>
      <selection pane="bottomRight" activeCell="B4" sqref="B4"/>
    </sheetView>
  </sheetViews>
  <sheetFormatPr defaultColWidth="9.140625" defaultRowHeight="16.5" x14ac:dyDescent="0.3"/>
  <cols>
    <col min="1" max="1" width="14.5703125" style="1" customWidth="1"/>
    <col min="2" max="2" width="10.5703125" style="8" customWidth="1"/>
    <col min="3" max="11" width="10.5703125" style="1" customWidth="1"/>
    <col min="12" max="12" width="15.5703125" style="1" customWidth="1"/>
    <col min="13" max="13" width="14" style="1" customWidth="1"/>
    <col min="14" max="14" width="6" style="1" customWidth="1"/>
    <col min="15" max="15" width="14.140625" style="1" bestFit="1" customWidth="1"/>
    <col min="16" max="16384" width="9.140625" style="1"/>
  </cols>
  <sheetData>
    <row r="1" spans="1:13" ht="18" customHeight="1" x14ac:dyDescent="0.3">
      <c r="A1" s="98" t="s">
        <v>35</v>
      </c>
      <c r="B1" s="73">
        <f>' Master'!D6</f>
        <v>0.4</v>
      </c>
      <c r="C1" s="162" t="s">
        <v>105</v>
      </c>
      <c r="D1" s="162"/>
      <c r="E1" s="162"/>
      <c r="F1" s="162"/>
      <c r="G1" s="162"/>
      <c r="H1" s="162"/>
      <c r="I1" s="162"/>
      <c r="J1" s="162"/>
      <c r="K1" s="162"/>
      <c r="L1" s="49"/>
      <c r="M1" s="10"/>
    </row>
    <row r="2" spans="1:13" ht="15.95" customHeight="1" x14ac:dyDescent="0.3">
      <c r="A2" s="169" t="s">
        <v>26</v>
      </c>
      <c r="B2" s="169" t="s">
        <v>66</v>
      </c>
      <c r="C2" s="162" t="s">
        <v>67</v>
      </c>
      <c r="D2" s="73">
        <v>0.1</v>
      </c>
      <c r="E2" s="162" t="s">
        <v>68</v>
      </c>
      <c r="F2" s="73">
        <v>0.1</v>
      </c>
      <c r="G2" s="162" t="s">
        <v>69</v>
      </c>
      <c r="H2" s="73">
        <v>0.1</v>
      </c>
      <c r="I2" s="162" t="s">
        <v>70</v>
      </c>
      <c r="J2" s="73">
        <v>0.1</v>
      </c>
      <c r="K2" s="162" t="s">
        <v>71</v>
      </c>
    </row>
    <row r="3" spans="1:13" s="11" customFormat="1" ht="45" customHeight="1" x14ac:dyDescent="0.2">
      <c r="A3" s="170"/>
      <c r="B3" s="170"/>
      <c r="C3" s="162"/>
      <c r="D3" s="98" t="s">
        <v>72</v>
      </c>
      <c r="E3" s="162"/>
      <c r="F3" s="98" t="s">
        <v>73</v>
      </c>
      <c r="G3" s="162"/>
      <c r="H3" s="98" t="s">
        <v>74</v>
      </c>
      <c r="I3" s="162"/>
      <c r="J3" s="98" t="s">
        <v>75</v>
      </c>
      <c r="K3" s="162"/>
      <c r="M3" s="13"/>
    </row>
    <row r="4" spans="1:13" ht="18" customHeight="1" x14ac:dyDescent="0.3">
      <c r="A4" s="69" t="str">
        <f>'Summary Total'!A2</f>
        <v>NTT DATA</v>
      </c>
      <c r="B4" s="68">
        <f>_xlfn.RANK.AVG(K4,$K$4:$K$9)</f>
        <v>5</v>
      </c>
      <c r="C4" s="75">
        <f>'U&amp;A Requirement Detail'!D3</f>
        <v>2.4500000000000002</v>
      </c>
      <c r="D4" s="75">
        <f>ROUND((C4/4*D$2*100),2)</f>
        <v>6.13</v>
      </c>
      <c r="E4" s="75">
        <f>'U&amp;A Requirement Detail'!H3</f>
        <v>2.7</v>
      </c>
      <c r="F4" s="75">
        <f>ROUND((E4/4*F$2*100),2)</f>
        <v>6.75</v>
      </c>
      <c r="G4" s="75">
        <f>'U&amp;A Requirement Detail'!M3</f>
        <v>2.8</v>
      </c>
      <c r="H4" s="75">
        <f>ROUND((G4/4*H$2*100),2)</f>
        <v>7</v>
      </c>
      <c r="I4" s="75">
        <f>'U&amp;A Requirement Detail'!P3</f>
        <v>3.05</v>
      </c>
      <c r="J4" s="75">
        <f>ROUND((I4/4*J$2*100),2)</f>
        <v>7.63</v>
      </c>
      <c r="K4" s="75">
        <f>SUM(D4,F4,H4,J4)</f>
        <v>27.509999999999998</v>
      </c>
      <c r="L4" s="14"/>
      <c r="M4" s="15"/>
    </row>
    <row r="5" spans="1:13" ht="18" customHeight="1" x14ac:dyDescent="0.3">
      <c r="A5" s="69" t="str">
        <f>'Summary Total'!A3</f>
        <v>ClearBest</v>
      </c>
      <c r="B5" s="68">
        <f t="shared" ref="B5:B9" si="0">_xlfn.RANK.AVG(K5,$K$4:$K$9)</f>
        <v>1</v>
      </c>
      <c r="C5" s="75">
        <f>'U&amp;A Requirement Detail'!D4</f>
        <v>3.25</v>
      </c>
      <c r="D5" s="75">
        <f t="shared" ref="D5:F6" si="1">ROUND((C5/4*D$2*100),2)</f>
        <v>8.1300000000000008</v>
      </c>
      <c r="E5" s="75">
        <f>'U&amp;A Requirement Detail'!H4</f>
        <v>3.03</v>
      </c>
      <c r="F5" s="75">
        <f t="shared" si="1"/>
        <v>7.58</v>
      </c>
      <c r="G5" s="75">
        <f>'U&amp;A Requirement Detail'!M4</f>
        <v>3.5</v>
      </c>
      <c r="H5" s="75">
        <f t="shared" ref="H5" si="2">ROUND((G5/4*H$2*100),2)</f>
        <v>8.75</v>
      </c>
      <c r="I5" s="75">
        <f>'U&amp;A Requirement Detail'!P4</f>
        <v>3.7</v>
      </c>
      <c r="J5" s="75">
        <f t="shared" ref="J5" si="3">ROUND((I5/4*J$2*100),2)</f>
        <v>9.25</v>
      </c>
      <c r="K5" s="75">
        <f>SUM(D5,F5,H5,J5)</f>
        <v>33.71</v>
      </c>
      <c r="L5" s="14"/>
      <c r="M5" s="15"/>
    </row>
    <row r="6" spans="1:13" ht="18" customHeight="1" x14ac:dyDescent="0.3">
      <c r="A6" s="69" t="str">
        <f>'Summary Total'!A4</f>
        <v>Tetrus</v>
      </c>
      <c r="B6" s="68">
        <f t="shared" si="0"/>
        <v>3</v>
      </c>
      <c r="C6" s="75">
        <f>'U&amp;A Requirement Detail'!D5</f>
        <v>2.8</v>
      </c>
      <c r="D6" s="75">
        <f t="shared" si="1"/>
        <v>7</v>
      </c>
      <c r="E6" s="75">
        <f>'U&amp;A Requirement Detail'!H5</f>
        <v>3.23</v>
      </c>
      <c r="F6" s="75">
        <f t="shared" si="1"/>
        <v>8.08</v>
      </c>
      <c r="G6" s="75">
        <f>'U&amp;A Requirement Detail'!M5</f>
        <v>2.83</v>
      </c>
      <c r="H6" s="75">
        <f t="shared" ref="H6" si="4">ROUND((G6/4*H$2*100),2)</f>
        <v>7.08</v>
      </c>
      <c r="I6" s="75">
        <f>'U&amp;A Requirement Detail'!P5</f>
        <v>3.45</v>
      </c>
      <c r="J6" s="75">
        <f t="shared" ref="J6" si="5">ROUND((I6/4*J$2*100),2)</f>
        <v>8.6300000000000008</v>
      </c>
      <c r="K6" s="75">
        <f>SUM(D6,F6,H6,J6)</f>
        <v>30.79</v>
      </c>
      <c r="L6" s="14"/>
      <c r="M6" s="15"/>
    </row>
    <row r="7" spans="1:13" ht="18" customHeight="1" x14ac:dyDescent="0.3">
      <c r="A7" s="69" t="str">
        <f>'Summary Total'!A5</f>
        <v>IBM</v>
      </c>
      <c r="B7" s="68">
        <f t="shared" si="0"/>
        <v>2</v>
      </c>
      <c r="C7" s="75">
        <f>'U&amp;A Requirement Detail'!D6</f>
        <v>2.75</v>
      </c>
      <c r="D7" s="75">
        <f t="shared" ref="D7:D9" si="6">ROUND((C7/4*D$2*100),2)</f>
        <v>6.88</v>
      </c>
      <c r="E7" s="75">
        <f>'U&amp;A Requirement Detail'!H6</f>
        <v>3.2</v>
      </c>
      <c r="F7" s="75">
        <f t="shared" ref="F7:F9" si="7">ROUND((E7/4*F$2*100),2)</f>
        <v>8</v>
      </c>
      <c r="G7" s="75">
        <f>'U&amp;A Requirement Detail'!M6</f>
        <v>3.2</v>
      </c>
      <c r="H7" s="75">
        <f t="shared" ref="H7:H9" si="8">ROUND((G7/4*H$2*100),2)</f>
        <v>8</v>
      </c>
      <c r="I7" s="75">
        <f>'U&amp;A Requirement Detail'!P6</f>
        <v>3.5</v>
      </c>
      <c r="J7" s="75">
        <f t="shared" ref="J7:J9" si="9">ROUND((I7/4*J$2*100),2)</f>
        <v>8.75</v>
      </c>
      <c r="K7" s="75">
        <f t="shared" ref="K7:K9" si="10">SUM(D7,F7,H7,J7)</f>
        <v>31.63</v>
      </c>
      <c r="M7" s="14"/>
    </row>
    <row r="8" spans="1:13" ht="18" customHeight="1" x14ac:dyDescent="0.3">
      <c r="A8" s="69" t="str">
        <f>'Summary Total'!A6</f>
        <v>Quadrant</v>
      </c>
      <c r="B8" s="68">
        <f t="shared" si="0"/>
        <v>6</v>
      </c>
      <c r="C8" s="75">
        <f>'U&amp;A Requirement Detail'!D7</f>
        <v>2</v>
      </c>
      <c r="D8" s="75">
        <f t="shared" si="6"/>
        <v>5</v>
      </c>
      <c r="E8" s="75">
        <f>'U&amp;A Requirement Detail'!H7</f>
        <v>1.1299999999999999</v>
      </c>
      <c r="F8" s="75">
        <f t="shared" si="7"/>
        <v>2.83</v>
      </c>
      <c r="G8" s="75">
        <f>'U&amp;A Requirement Detail'!M7</f>
        <v>1.5</v>
      </c>
      <c r="H8" s="75">
        <f t="shared" si="8"/>
        <v>3.75</v>
      </c>
      <c r="I8" s="75">
        <f>'U&amp;A Requirement Detail'!P7</f>
        <v>2.4</v>
      </c>
      <c r="J8" s="75">
        <f t="shared" si="9"/>
        <v>6</v>
      </c>
      <c r="K8" s="75">
        <f t="shared" si="10"/>
        <v>17.579999999999998</v>
      </c>
      <c r="M8" s="14"/>
    </row>
    <row r="9" spans="1:13" ht="18" customHeight="1" x14ac:dyDescent="0.3">
      <c r="A9" s="69" t="str">
        <f>'Summary Total'!A7</f>
        <v>Infosys</v>
      </c>
      <c r="B9" s="68">
        <f t="shared" si="0"/>
        <v>4</v>
      </c>
      <c r="C9" s="75">
        <f>'U&amp;A Requirement Detail'!D8</f>
        <v>3.25</v>
      </c>
      <c r="D9" s="75">
        <f t="shared" si="6"/>
        <v>8.1300000000000008</v>
      </c>
      <c r="E9" s="75">
        <f>'U&amp;A Requirement Detail'!H8</f>
        <v>3.3</v>
      </c>
      <c r="F9" s="75">
        <f t="shared" si="7"/>
        <v>8.25</v>
      </c>
      <c r="G9" s="75">
        <f>'U&amp;A Requirement Detail'!M8</f>
        <v>2.73</v>
      </c>
      <c r="H9" s="75">
        <f t="shared" si="8"/>
        <v>6.83</v>
      </c>
      <c r="I9" s="75">
        <f>'U&amp;A Requirement Detail'!P8</f>
        <v>3</v>
      </c>
      <c r="J9" s="75">
        <f t="shared" si="9"/>
        <v>7.5</v>
      </c>
      <c r="K9" s="75">
        <f t="shared" si="10"/>
        <v>30.71</v>
      </c>
      <c r="M9" s="14"/>
    </row>
    <row r="10" spans="1:13" x14ac:dyDescent="0.3">
      <c r="B10" s="53"/>
    </row>
    <row r="11" spans="1:13" x14ac:dyDescent="0.3">
      <c r="B11" s="48"/>
    </row>
    <row r="12" spans="1:13" x14ac:dyDescent="0.3">
      <c r="B12" s="48"/>
    </row>
    <row r="13" spans="1:13" x14ac:dyDescent="0.3">
      <c r="B13" s="48"/>
    </row>
    <row r="14" spans="1:13" x14ac:dyDescent="0.3">
      <c r="B14" s="48"/>
    </row>
    <row r="15" spans="1:13" x14ac:dyDescent="0.3">
      <c r="B15" s="48"/>
    </row>
  </sheetData>
  <mergeCells count="8">
    <mergeCell ref="A2:A3"/>
    <mergeCell ref="B2:B3"/>
    <mergeCell ref="C1:K1"/>
    <mergeCell ref="C2:C3"/>
    <mergeCell ref="E2:E3"/>
    <mergeCell ref="G2:G3"/>
    <mergeCell ref="I2:I3"/>
    <mergeCell ref="K2:K3"/>
  </mergeCells>
  <pageMargins left="0.7" right="0.7" top="0.75" bottom="0.75" header="0.3" footer="0.3"/>
  <pageSetup orientation="portrait" r:id="rId1"/>
  <ignoredErrors>
    <ignoredError sqref="E4:E6 G4:G6 I4:I6 E8 G8 I8" formula="1"/>
    <ignoredError sqref="B7 C7:D7 B9:D9 F7 F9 H7 H9 J7:K7 J9:K9" evalError="1"/>
    <ignoredError sqref="E7 E9 G7 G9 I7 I9" evalError="1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A2FC4-4EB0-4DB8-9E18-016574E60D16}">
  <dimension ref="A1:Q11"/>
  <sheetViews>
    <sheetView zoomScale="95" zoomScaleNormal="95" workbookViewId="0">
      <selection sqref="A1:A2"/>
    </sheetView>
  </sheetViews>
  <sheetFormatPr defaultColWidth="9.140625" defaultRowHeight="16.5" x14ac:dyDescent="0.3"/>
  <cols>
    <col min="1" max="1" width="15.7109375" style="1" customWidth="1"/>
    <col min="2" max="3" width="9.5703125" style="1" customWidth="1"/>
    <col min="4" max="4" width="10.140625" style="1" bestFit="1" customWidth="1"/>
    <col min="5" max="7" width="9.5703125" style="1" customWidth="1"/>
    <col min="8" max="8" width="10.140625" style="1" bestFit="1" customWidth="1"/>
    <col min="9" max="12" width="9.5703125" style="1" customWidth="1"/>
    <col min="13" max="13" width="10.140625" style="1" bestFit="1" customWidth="1"/>
    <col min="14" max="15" width="9.5703125" style="1" customWidth="1"/>
    <col min="16" max="16" width="10.140625" style="1" bestFit="1" customWidth="1"/>
    <col min="17" max="34" width="10.5703125" style="1" customWidth="1"/>
    <col min="35" max="16384" width="9.140625" style="1"/>
  </cols>
  <sheetData>
    <row r="1" spans="1:17" ht="48.75" customHeight="1" x14ac:dyDescent="0.3">
      <c r="A1" s="162" t="s">
        <v>76</v>
      </c>
      <c r="B1" s="162" t="s">
        <v>103</v>
      </c>
      <c r="C1" s="162"/>
      <c r="D1" s="162"/>
      <c r="E1" s="162" t="s">
        <v>107</v>
      </c>
      <c r="F1" s="162"/>
      <c r="G1" s="162"/>
      <c r="H1" s="162"/>
      <c r="I1" s="162" t="s">
        <v>112</v>
      </c>
      <c r="J1" s="162"/>
      <c r="K1" s="162"/>
      <c r="L1" s="162"/>
      <c r="M1" s="162"/>
      <c r="N1" s="162" t="s">
        <v>108</v>
      </c>
      <c r="O1" s="162"/>
      <c r="P1" s="162"/>
      <c r="Q1" s="162" t="s">
        <v>77</v>
      </c>
    </row>
    <row r="2" spans="1:17" ht="32.25" customHeight="1" x14ac:dyDescent="0.3">
      <c r="A2" s="162"/>
      <c r="B2" s="98" t="s">
        <v>78</v>
      </c>
      <c r="C2" s="98" t="s">
        <v>79</v>
      </c>
      <c r="D2" s="98" t="s">
        <v>80</v>
      </c>
      <c r="E2" s="98" t="s">
        <v>81</v>
      </c>
      <c r="F2" s="98" t="s">
        <v>82</v>
      </c>
      <c r="G2" s="98" t="s">
        <v>84</v>
      </c>
      <c r="H2" s="98" t="s">
        <v>83</v>
      </c>
      <c r="I2" s="98" t="s">
        <v>85</v>
      </c>
      <c r="J2" s="98" t="s">
        <v>86</v>
      </c>
      <c r="K2" s="98" t="s">
        <v>88</v>
      </c>
      <c r="L2" s="98" t="s">
        <v>89</v>
      </c>
      <c r="M2" s="98" t="s">
        <v>87</v>
      </c>
      <c r="N2" s="98" t="s">
        <v>90</v>
      </c>
      <c r="O2" s="98" t="s">
        <v>106</v>
      </c>
      <c r="P2" s="98" t="s">
        <v>91</v>
      </c>
      <c r="Q2" s="162"/>
    </row>
    <row r="3" spans="1:17" ht="18" customHeight="1" x14ac:dyDescent="0.3">
      <c r="A3" s="69" t="str">
        <f>' Master'!A2</f>
        <v>NTT DATA</v>
      </c>
      <c r="B3" s="106">
        <f>'[7]U&amp;A-1 '!$AF$4</f>
        <v>2.1</v>
      </c>
      <c r="C3" s="106">
        <f>'[7]U&amp;A-1 '!$AF$5</f>
        <v>2.8</v>
      </c>
      <c r="D3" s="107">
        <f>ROUND(AVERAGE(B3:C3),2)</f>
        <v>2.4500000000000002</v>
      </c>
      <c r="E3" s="106">
        <f>'[7]U&amp;A-2'!$AF$4</f>
        <v>2.2999999999999998</v>
      </c>
      <c r="F3" s="106">
        <f>'[7]U&amp;A-2'!$AF$5</f>
        <v>2.9</v>
      </c>
      <c r="G3" s="106">
        <f>'[7]U&amp;A-2'!$AF$6</f>
        <v>2.9</v>
      </c>
      <c r="H3" s="107">
        <f>ROUND(AVERAGE(E3:G3),2)</f>
        <v>2.7</v>
      </c>
      <c r="I3" s="106">
        <f>'[7]U&amp;A-3'!$AF$4</f>
        <v>2.9</v>
      </c>
      <c r="J3" s="106">
        <f>'[7]U&amp;A-3'!$AF$5</f>
        <v>2.7</v>
      </c>
      <c r="K3" s="106">
        <f>'[7]U&amp;A-3'!$AF$6</f>
        <v>2.9</v>
      </c>
      <c r="L3" s="106">
        <f>'[7]U&amp;A-3'!$AF$7</f>
        <v>2.7</v>
      </c>
      <c r="M3" s="107">
        <f>ROUND(AVERAGE(I3:L3),2)</f>
        <v>2.8</v>
      </c>
      <c r="N3" s="106">
        <f>'[7]U&amp;A-4'!$AF$4</f>
        <v>3</v>
      </c>
      <c r="O3" s="106">
        <f>'[7]U&amp;A-4'!$AF$5</f>
        <v>3.1</v>
      </c>
      <c r="P3" s="107">
        <f t="shared" ref="P3:P8" si="0">ROUND(AVERAGE(N3:O3),2)</f>
        <v>3.05</v>
      </c>
      <c r="Q3" s="107">
        <f t="shared" ref="Q3:Q8" si="1">ROUND(SUM(D3,H3,M3,P3),2)</f>
        <v>11</v>
      </c>
    </row>
    <row r="4" spans="1:17" ht="18" customHeight="1" x14ac:dyDescent="0.3">
      <c r="A4" s="69" t="str">
        <f>' Master'!A3</f>
        <v>ClearBest</v>
      </c>
      <c r="B4" s="106">
        <f>'[8]U&amp;A-1 '!$AF$4</f>
        <v>3.1</v>
      </c>
      <c r="C4" s="106">
        <f>'[8]U&amp;A-1 '!$AF$5</f>
        <v>3.4</v>
      </c>
      <c r="D4" s="107">
        <f t="shared" ref="D4:D5" si="2">ROUND(AVERAGE(B4:C4),2)</f>
        <v>3.25</v>
      </c>
      <c r="E4" s="106">
        <f>'[8]U&amp;A-2'!$AF$4</f>
        <v>3.2</v>
      </c>
      <c r="F4" s="106">
        <f>'[8]U&amp;A-2'!$AF$5</f>
        <v>3.1</v>
      </c>
      <c r="G4" s="106">
        <f>'[8]U&amp;A-2'!$AF$6</f>
        <v>2.8</v>
      </c>
      <c r="H4" s="107">
        <f t="shared" ref="H4:H8" si="3">ROUND(AVERAGE(E4:G4),2)</f>
        <v>3.03</v>
      </c>
      <c r="I4" s="106">
        <f>'[8]U&amp;A-3'!$AF$4</f>
        <v>3.8</v>
      </c>
      <c r="J4" s="106">
        <f>'[8]U&amp;A-3'!$AF$5</f>
        <v>3.7</v>
      </c>
      <c r="K4" s="106">
        <f>'[8]U&amp;A-3'!$AF$6</f>
        <v>3.3</v>
      </c>
      <c r="L4" s="106">
        <f>'[8]U&amp;A-3'!$AF$7</f>
        <v>3.2</v>
      </c>
      <c r="M4" s="107">
        <f t="shared" ref="M4:M8" si="4">ROUND(AVERAGE(I4:L4),2)</f>
        <v>3.5</v>
      </c>
      <c r="N4" s="106">
        <f>'[8]U&amp;A-4'!$AF$4</f>
        <v>3.6</v>
      </c>
      <c r="O4" s="106">
        <f>'[8]U&amp;A-4'!$AF$5</f>
        <v>3.8</v>
      </c>
      <c r="P4" s="107">
        <f t="shared" si="0"/>
        <v>3.7</v>
      </c>
      <c r="Q4" s="107">
        <f t="shared" si="1"/>
        <v>13.48</v>
      </c>
    </row>
    <row r="5" spans="1:17" ht="18" customHeight="1" x14ac:dyDescent="0.3">
      <c r="A5" s="69" t="str">
        <f>' Master'!A4</f>
        <v>Tetrus</v>
      </c>
      <c r="B5" s="106">
        <f>'[9]U&amp;A-1 '!$AF$4</f>
        <v>2.9</v>
      </c>
      <c r="C5" s="106">
        <f>'[9]U&amp;A-1 '!$AF$5</f>
        <v>2.7</v>
      </c>
      <c r="D5" s="107">
        <f t="shared" si="2"/>
        <v>2.8</v>
      </c>
      <c r="E5" s="106">
        <f>'[9]U&amp;A-2'!$AF$4</f>
        <v>3.2</v>
      </c>
      <c r="F5" s="106">
        <f>'[9]U&amp;A-2'!$AF$5</f>
        <v>3.6</v>
      </c>
      <c r="G5" s="106">
        <f>'[9]U&amp;A-2'!$AF$6</f>
        <v>2.9</v>
      </c>
      <c r="H5" s="107">
        <f t="shared" si="3"/>
        <v>3.23</v>
      </c>
      <c r="I5" s="106">
        <f>'[9]U&amp;A-3'!$AF$4</f>
        <v>2.9</v>
      </c>
      <c r="J5" s="106">
        <f>'[9]U&amp;A-3'!$AF$5</f>
        <v>2.4</v>
      </c>
      <c r="K5" s="106">
        <f>'[9]U&amp;A-3'!$AF$6</f>
        <v>3.1</v>
      </c>
      <c r="L5" s="106">
        <f>'[9]U&amp;A-3'!$AF$7</f>
        <v>2.9</v>
      </c>
      <c r="M5" s="107">
        <f t="shared" si="4"/>
        <v>2.83</v>
      </c>
      <c r="N5" s="106">
        <f>'[9]U&amp;A-4'!$AF$4</f>
        <v>3.6</v>
      </c>
      <c r="O5" s="106">
        <f>'[9]U&amp;A-4'!$AF$5</f>
        <v>3.3</v>
      </c>
      <c r="P5" s="107">
        <f t="shared" si="0"/>
        <v>3.45</v>
      </c>
      <c r="Q5" s="107">
        <f t="shared" si="1"/>
        <v>12.31</v>
      </c>
    </row>
    <row r="6" spans="1:17" ht="18" customHeight="1" x14ac:dyDescent="0.3">
      <c r="A6" s="69" t="str">
        <f>' Master'!A5</f>
        <v>IBM</v>
      </c>
      <c r="B6" s="106">
        <f>'[13]U&amp;A-1 '!$AF$4</f>
        <v>2.9</v>
      </c>
      <c r="C6" s="106">
        <f>'[13]U&amp;A-1 '!$AF$5</f>
        <v>2.6</v>
      </c>
      <c r="D6" s="107">
        <f t="shared" ref="D6:D8" si="5">ROUND(AVERAGE(B6:C6),2)</f>
        <v>2.75</v>
      </c>
      <c r="E6" s="106">
        <f>'[13]U&amp;A-2'!$AF$4</f>
        <v>3.4</v>
      </c>
      <c r="F6" s="106">
        <f>'[13]U&amp;A-2'!$AF$5</f>
        <v>3.2</v>
      </c>
      <c r="G6" s="106">
        <f>'[13]U&amp;A-2'!$AF$6</f>
        <v>3</v>
      </c>
      <c r="H6" s="107">
        <f t="shared" si="3"/>
        <v>3.2</v>
      </c>
      <c r="I6" s="106">
        <f>'[13]U&amp;A-3'!$AF$4</f>
        <v>3.4</v>
      </c>
      <c r="J6" s="106">
        <f>'[13]U&amp;A-3'!$AF$5</f>
        <v>2.9</v>
      </c>
      <c r="K6" s="106">
        <f>'[13]U&amp;A-3'!$AF$6</f>
        <v>3.3</v>
      </c>
      <c r="L6" s="106">
        <f>'[13]U&amp;A-3'!$AF$7</f>
        <v>3.2</v>
      </c>
      <c r="M6" s="107">
        <f t="shared" si="4"/>
        <v>3.2</v>
      </c>
      <c r="N6" s="106">
        <f>'[13]U&amp;A-4'!$AF$4</f>
        <v>3.6</v>
      </c>
      <c r="O6" s="106">
        <f>'[13]U&amp;A-4'!$AF$5</f>
        <v>3.4</v>
      </c>
      <c r="P6" s="107">
        <f t="shared" si="0"/>
        <v>3.5</v>
      </c>
      <c r="Q6" s="107">
        <f t="shared" si="1"/>
        <v>12.65</v>
      </c>
    </row>
    <row r="7" spans="1:17" ht="18" customHeight="1" x14ac:dyDescent="0.3">
      <c r="A7" s="69" t="str">
        <f>' Master'!A6</f>
        <v>Quadrant</v>
      </c>
      <c r="B7" s="106">
        <f>'[11]U&amp;A-1 '!$AF$4</f>
        <v>2.2000000000000002</v>
      </c>
      <c r="C7" s="106">
        <f>'[11]U&amp;A-1 '!$AF$5</f>
        <v>1.8</v>
      </c>
      <c r="D7" s="107">
        <f t="shared" si="5"/>
        <v>2</v>
      </c>
      <c r="E7" s="106">
        <f>'[11]U&amp;A-2'!$AF$4</f>
        <v>1.9</v>
      </c>
      <c r="F7" s="106">
        <f>'[11]U&amp;A-2'!$AF$5</f>
        <v>1.2</v>
      </c>
      <c r="G7" s="106">
        <f>'[11]U&amp;A-2'!$AF$6</f>
        <v>0.3</v>
      </c>
      <c r="H7" s="107">
        <f t="shared" si="3"/>
        <v>1.1299999999999999</v>
      </c>
      <c r="I7" s="106">
        <f>'[11]U&amp;A-3'!$AF$4</f>
        <v>1.2</v>
      </c>
      <c r="J7" s="106">
        <f>'[11]U&amp;A-3'!$AF$5</f>
        <v>1.2</v>
      </c>
      <c r="K7" s="106">
        <f>'[11]U&amp;A-3'!$AF$6</f>
        <v>1.8</v>
      </c>
      <c r="L7" s="106">
        <f>'[11]U&amp;A-3'!$AF$7</f>
        <v>1.8</v>
      </c>
      <c r="M7" s="107">
        <f t="shared" si="4"/>
        <v>1.5</v>
      </c>
      <c r="N7" s="106">
        <f>'[11]U&amp;A-4'!$AF$4</f>
        <v>2.4</v>
      </c>
      <c r="O7" s="106">
        <f>'[11]U&amp;A-4'!$AF$5</f>
        <v>2.4</v>
      </c>
      <c r="P7" s="107">
        <f t="shared" si="0"/>
        <v>2.4</v>
      </c>
      <c r="Q7" s="107">
        <f t="shared" si="1"/>
        <v>7.03</v>
      </c>
    </row>
    <row r="8" spans="1:17" ht="18" customHeight="1" x14ac:dyDescent="0.3">
      <c r="A8" s="69" t="str">
        <f>' Master'!A7</f>
        <v>Infosys</v>
      </c>
      <c r="B8" s="106">
        <f>'[12]U&amp;A-1 '!$AF$4</f>
        <v>3.4</v>
      </c>
      <c r="C8" s="106">
        <f>'[12]U&amp;A-1 '!$AF$5</f>
        <v>3.1</v>
      </c>
      <c r="D8" s="107">
        <f t="shared" si="5"/>
        <v>3.25</v>
      </c>
      <c r="E8" s="106">
        <f>'[12]U&amp;A-2'!$AF$4</f>
        <v>3.1</v>
      </c>
      <c r="F8" s="106">
        <f>'[12]U&amp;A-2'!$AF$5</f>
        <v>3.7</v>
      </c>
      <c r="G8" s="106">
        <f>'[12]U&amp;A-2'!$AF$6</f>
        <v>3.1</v>
      </c>
      <c r="H8" s="107">
        <f t="shared" si="3"/>
        <v>3.3</v>
      </c>
      <c r="I8" s="106">
        <f>'[12]U&amp;A-3'!$AF$4</f>
        <v>3.3</v>
      </c>
      <c r="J8" s="106">
        <f>'[12]U&amp;A-3'!$AF$5</f>
        <v>2.2000000000000002</v>
      </c>
      <c r="K8" s="106">
        <f>'[12]U&amp;A-3'!$AF$6</f>
        <v>3.2</v>
      </c>
      <c r="L8" s="106">
        <f>'[12]U&amp;A-3'!$AF$7</f>
        <v>2.2000000000000002</v>
      </c>
      <c r="M8" s="107">
        <f t="shared" si="4"/>
        <v>2.73</v>
      </c>
      <c r="N8" s="106">
        <f>'[12]U&amp;A-4'!$AF$4</f>
        <v>2.6</v>
      </c>
      <c r="O8" s="106">
        <f>'[12]U&amp;A-4'!$AF$5</f>
        <v>3.4</v>
      </c>
      <c r="P8" s="107">
        <f t="shared" si="0"/>
        <v>3</v>
      </c>
      <c r="Q8" s="107">
        <f t="shared" si="1"/>
        <v>12.28</v>
      </c>
    </row>
    <row r="9" spans="1:17" x14ac:dyDescent="0.3">
      <c r="B9" s="53"/>
    </row>
    <row r="10" spans="1:17" x14ac:dyDescent="0.3">
      <c r="B10" s="53"/>
    </row>
    <row r="11" spans="1:17" x14ac:dyDescent="0.3">
      <c r="B11" s="53"/>
    </row>
  </sheetData>
  <mergeCells count="6">
    <mergeCell ref="Q1:Q2"/>
    <mergeCell ref="A1:A2"/>
    <mergeCell ref="B1:D1"/>
    <mergeCell ref="E1:H1"/>
    <mergeCell ref="I1:M1"/>
    <mergeCell ref="N1:P1"/>
  </mergeCells>
  <phoneticPr fontId="8" type="noConversion"/>
  <pageMargins left="0.7" right="0.7" top="0.75" bottom="0.75" header="0.3" footer="0.3"/>
  <pageSetup orientation="portrait" r:id="rId1"/>
  <ignoredErrors>
    <ignoredError sqref="D6:D8 H6:H8 M6:M8 P6:Q8" evalError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7BF6C-DC89-4E4D-8C8D-C6B28BAF1D0E}">
  <sheetPr>
    <pageSetUpPr fitToPage="1"/>
  </sheetPr>
  <dimension ref="A1:G11"/>
  <sheetViews>
    <sheetView zoomScale="95" zoomScaleNormal="95" workbookViewId="0">
      <pane xSplit="1" ySplit="1" topLeftCell="B2" activePane="bottomRight" state="frozen"/>
      <selection activeCell="A4" sqref="A4"/>
      <selection pane="topRight" activeCell="A4" sqref="A4"/>
      <selection pane="bottomLeft" activeCell="A4" sqref="A4"/>
      <selection pane="bottomRight" activeCell="B2" sqref="B2"/>
    </sheetView>
  </sheetViews>
  <sheetFormatPr defaultColWidth="9.140625" defaultRowHeight="16.5" x14ac:dyDescent="0.3"/>
  <cols>
    <col min="1" max="1" width="16.5703125" style="1" customWidth="1"/>
    <col min="2" max="6" width="12.5703125" style="1" customWidth="1"/>
    <col min="7" max="23" width="10.5703125" style="1" customWidth="1"/>
    <col min="24" max="16384" width="9.140625" style="1"/>
  </cols>
  <sheetData>
    <row r="1" spans="1:7" ht="24" customHeight="1" x14ac:dyDescent="0.3">
      <c r="A1" s="171" t="s">
        <v>104</v>
      </c>
      <c r="B1" s="171"/>
      <c r="C1" s="171"/>
      <c r="D1" s="171"/>
      <c r="E1" s="171"/>
      <c r="F1" s="171"/>
    </row>
    <row r="2" spans="1:7" ht="32.1" customHeight="1" x14ac:dyDescent="0.3">
      <c r="A2" s="61"/>
      <c r="B2" s="61" t="s">
        <v>80</v>
      </c>
      <c r="C2" s="61" t="s">
        <v>83</v>
      </c>
      <c r="D2" s="61" t="s">
        <v>87</v>
      </c>
      <c r="E2" s="61" t="s">
        <v>91</v>
      </c>
      <c r="F2" s="61" t="s">
        <v>77</v>
      </c>
    </row>
    <row r="3" spans="1:7" ht="18" customHeight="1" x14ac:dyDescent="0.3">
      <c r="A3" s="4" t="str">
        <f>' Master'!A2</f>
        <v>NTT DATA</v>
      </c>
      <c r="B3" s="142">
        <f>'U&amp;A Requirement Detail'!D3</f>
        <v>2.4500000000000002</v>
      </c>
      <c r="C3" s="142">
        <f>'U&amp;A Requirement Detail'!H3</f>
        <v>2.7</v>
      </c>
      <c r="D3" s="142">
        <f>'U&amp;A Requirement Detail'!M3</f>
        <v>2.8</v>
      </c>
      <c r="E3" s="142">
        <f>'U&amp;A Requirement Detail'!P3</f>
        <v>3.05</v>
      </c>
      <c r="F3" s="142">
        <f>SUM(B3:E3)</f>
        <v>11</v>
      </c>
      <c r="G3" s="33"/>
    </row>
    <row r="4" spans="1:7" ht="18" customHeight="1" x14ac:dyDescent="0.3">
      <c r="A4" s="4" t="str">
        <f>' Master'!A3</f>
        <v>ClearBest</v>
      </c>
      <c r="B4" s="142">
        <f>'U&amp;A Requirement Detail'!D4</f>
        <v>3.25</v>
      </c>
      <c r="C4" s="142">
        <f>'U&amp;A Requirement Detail'!H4</f>
        <v>3.03</v>
      </c>
      <c r="D4" s="142">
        <f>'U&amp;A Requirement Detail'!M4</f>
        <v>3.5</v>
      </c>
      <c r="E4" s="142">
        <f>'U&amp;A Requirement Detail'!P4</f>
        <v>3.7</v>
      </c>
      <c r="F4" s="142">
        <f t="shared" ref="F4:F5" si="0">SUM(B4:E4)</f>
        <v>13.48</v>
      </c>
      <c r="G4" s="33"/>
    </row>
    <row r="5" spans="1:7" ht="18" customHeight="1" x14ac:dyDescent="0.3">
      <c r="A5" s="4" t="str">
        <f>' Master'!A4</f>
        <v>Tetrus</v>
      </c>
      <c r="B5" s="142">
        <f>'U&amp;A Requirement Detail'!D5</f>
        <v>2.8</v>
      </c>
      <c r="C5" s="142">
        <f>'U&amp;A Requirement Detail'!H5</f>
        <v>3.23</v>
      </c>
      <c r="D5" s="142">
        <f>'U&amp;A Requirement Detail'!M5</f>
        <v>2.83</v>
      </c>
      <c r="E5" s="142">
        <f>'U&amp;A Requirement Detail'!P5</f>
        <v>3.45</v>
      </c>
      <c r="F5" s="142">
        <f t="shared" si="0"/>
        <v>12.309999999999999</v>
      </c>
      <c r="G5" s="33"/>
    </row>
    <row r="6" spans="1:7" ht="18" customHeight="1" x14ac:dyDescent="0.3">
      <c r="A6" s="4" t="str">
        <f>' Master'!A5</f>
        <v>IBM</v>
      </c>
      <c r="B6" s="142">
        <f>'U&amp;A Requirement Detail'!D6</f>
        <v>2.75</v>
      </c>
      <c r="C6" s="142">
        <f>'U&amp;A Requirement Detail'!H6</f>
        <v>3.2</v>
      </c>
      <c r="D6" s="142">
        <f>'U&amp;A Requirement Detail'!M6</f>
        <v>3.2</v>
      </c>
      <c r="E6" s="142">
        <f>'U&amp;A Requirement Detail'!P6</f>
        <v>3.5</v>
      </c>
      <c r="F6" s="142">
        <f t="shared" ref="F6:F7" si="1">SUM(B6:E6)</f>
        <v>12.65</v>
      </c>
    </row>
    <row r="7" spans="1:7" ht="18" customHeight="1" x14ac:dyDescent="0.3">
      <c r="A7" s="4" t="str">
        <f>' Master'!A6</f>
        <v>Quadrant</v>
      </c>
      <c r="B7" s="142">
        <f>'U&amp;A Requirement Detail'!D7</f>
        <v>2</v>
      </c>
      <c r="C7" s="142">
        <f>'U&amp;A Requirement Detail'!H7</f>
        <v>1.1299999999999999</v>
      </c>
      <c r="D7" s="142">
        <f>'U&amp;A Requirement Detail'!M7</f>
        <v>1.5</v>
      </c>
      <c r="E7" s="142">
        <f>'U&amp;A Requirement Detail'!P7</f>
        <v>2.4</v>
      </c>
      <c r="F7" s="142">
        <f t="shared" si="1"/>
        <v>7.0299999999999994</v>
      </c>
    </row>
    <row r="8" spans="1:7" ht="18" customHeight="1" x14ac:dyDescent="0.3">
      <c r="A8" s="4" t="str">
        <f>' Master'!A7</f>
        <v>Infosys</v>
      </c>
      <c r="B8" s="142">
        <f>'U&amp;A Requirement Detail'!D8</f>
        <v>3.25</v>
      </c>
      <c r="C8" s="142">
        <f>'U&amp;A Requirement Detail'!H8</f>
        <v>3.3</v>
      </c>
      <c r="D8" s="142">
        <f>'U&amp;A Requirement Detail'!M8</f>
        <v>2.73</v>
      </c>
      <c r="E8" s="142">
        <f>'U&amp;A Requirement Detail'!P8</f>
        <v>3</v>
      </c>
      <c r="F8" s="142">
        <f t="shared" ref="F8" si="2">SUM(B8:E8)</f>
        <v>12.28</v>
      </c>
    </row>
    <row r="10" spans="1:7" x14ac:dyDescent="0.3">
      <c r="B10" s="53"/>
    </row>
    <row r="11" spans="1:7" x14ac:dyDescent="0.3">
      <c r="B11" s="53"/>
    </row>
  </sheetData>
  <mergeCells count="1">
    <mergeCell ref="A1:F1"/>
  </mergeCells>
  <phoneticPr fontId="8" type="noConversion"/>
  <pageMargins left="0.7" right="0.7" top="0.75" bottom="0.75" header="0.3" footer="0.3"/>
  <pageSetup orientation="landscape" r:id="rId1"/>
  <ignoredErrors>
    <ignoredError sqref="B6:F8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8"/>
  <sheetViews>
    <sheetView workbookViewId="0">
      <pane xSplit="1" ySplit="1" topLeftCell="B2" activePane="bottomRight" state="frozen"/>
      <selection activeCell="H24" sqref="H24"/>
      <selection pane="topRight" activeCell="H24" sqref="H24"/>
      <selection pane="bottomLeft" activeCell="H24" sqref="H24"/>
      <selection pane="bottomRight" activeCell="B2" sqref="B2"/>
    </sheetView>
  </sheetViews>
  <sheetFormatPr defaultColWidth="9.140625" defaultRowHeight="16.5" x14ac:dyDescent="0.3"/>
  <cols>
    <col min="1" max="1" width="16.5703125" style="1" customWidth="1"/>
    <col min="2" max="4" width="16.5703125" style="8" customWidth="1"/>
    <col min="5" max="5" width="10.5703125" style="8" customWidth="1"/>
    <col min="6" max="6" width="9.140625" style="1"/>
    <col min="7" max="7" width="9.140625" style="1" customWidth="1"/>
    <col min="8" max="8" width="2.5703125" style="1" customWidth="1"/>
    <col min="9" max="9" width="11.5703125" style="1" customWidth="1"/>
    <col min="10" max="10" width="3.5703125" style="1" customWidth="1"/>
    <col min="11" max="13" width="11.5703125" style="1" customWidth="1"/>
    <col min="14" max="14" width="3.5703125" style="1" customWidth="1"/>
    <col min="15" max="16" width="11.5703125" style="1" customWidth="1"/>
    <col min="17" max="17" width="9.140625" style="1" customWidth="1"/>
    <col min="18" max="16384" width="9.140625" style="1"/>
  </cols>
  <sheetData>
    <row r="1" spans="1:17" s="6" customFormat="1" ht="36" customHeight="1" x14ac:dyDescent="0.3">
      <c r="A1" s="98" t="s">
        <v>0</v>
      </c>
      <c r="B1" s="98" t="s">
        <v>10</v>
      </c>
      <c r="C1" s="98" t="s">
        <v>11</v>
      </c>
      <c r="D1" s="98" t="s">
        <v>12</v>
      </c>
      <c r="E1" s="98" t="s">
        <v>13</v>
      </c>
    </row>
    <row r="2" spans="1:17" ht="18" customHeight="1" x14ac:dyDescent="0.3">
      <c r="A2" s="69" t="str">
        <f>' Master'!A2</f>
        <v>NTT DATA</v>
      </c>
      <c r="B2" s="75">
        <f>'Business Score'!H4</f>
        <v>58.08</v>
      </c>
      <c r="C2" s="75">
        <f>'Price Score'!D4</f>
        <v>20.39</v>
      </c>
      <c r="D2" s="75">
        <f>B2+C2</f>
        <v>78.47</v>
      </c>
      <c r="E2" s="68">
        <f>_xlfn.RANK.AVG(D2,$D$2:$D$7)</f>
        <v>5</v>
      </c>
      <c r="G2" s="22"/>
      <c r="I2" s="22"/>
      <c r="K2" s="33"/>
      <c r="L2" s="8"/>
      <c r="M2" s="22"/>
      <c r="N2" s="33"/>
      <c r="O2" s="33"/>
      <c r="P2" s="22"/>
      <c r="Q2" s="33"/>
    </row>
    <row r="3" spans="1:17" ht="18" customHeight="1" x14ac:dyDescent="0.3">
      <c r="A3" s="69" t="str">
        <f>' Master'!A3</f>
        <v>ClearBest</v>
      </c>
      <c r="B3" s="75">
        <f>'Business Score'!H5</f>
        <v>70</v>
      </c>
      <c r="C3" s="75">
        <f>'Price Score'!D5</f>
        <v>20.55</v>
      </c>
      <c r="D3" s="75">
        <f>B3+C3</f>
        <v>90.55</v>
      </c>
      <c r="E3" s="68">
        <f t="shared" ref="E3:E7" si="0">_xlfn.RANK.AVG(D3,$D$2:$D$7)</f>
        <v>1</v>
      </c>
      <c r="G3" s="22"/>
      <c r="I3" s="22"/>
      <c r="K3" s="33"/>
      <c r="L3" s="8"/>
      <c r="M3" s="22"/>
      <c r="N3" s="33"/>
      <c r="O3" s="33"/>
      <c r="P3" s="22"/>
      <c r="Q3" s="33"/>
    </row>
    <row r="4" spans="1:17" ht="18" customHeight="1" x14ac:dyDescent="0.3">
      <c r="A4" s="69" t="str">
        <f>' Master'!A4</f>
        <v>Tetrus</v>
      </c>
      <c r="B4" s="75">
        <f>'Business Score'!H6</f>
        <v>60.47</v>
      </c>
      <c r="C4" s="75">
        <f>'Price Score'!D6</f>
        <v>21.3</v>
      </c>
      <c r="D4" s="75">
        <f>B4+C4</f>
        <v>81.77</v>
      </c>
      <c r="E4" s="68">
        <f t="shared" si="0"/>
        <v>4</v>
      </c>
      <c r="G4" s="22"/>
      <c r="I4" s="22"/>
      <c r="K4" s="33"/>
      <c r="L4" s="8"/>
      <c r="M4" s="22"/>
      <c r="O4" s="33"/>
      <c r="P4" s="22"/>
    </row>
    <row r="5" spans="1:17" ht="18" customHeight="1" x14ac:dyDescent="0.3">
      <c r="A5" s="69" t="str">
        <f>' Master'!A5</f>
        <v>IBM</v>
      </c>
      <c r="B5" s="75">
        <f>'Business Score'!H7</f>
        <v>64.23</v>
      </c>
      <c r="C5" s="75">
        <f>'Price Score'!D7</f>
        <v>21.46</v>
      </c>
      <c r="D5" s="75">
        <f t="shared" ref="D5:D6" si="1">B5+C5</f>
        <v>85.69</v>
      </c>
      <c r="E5" s="68">
        <f t="shared" si="0"/>
        <v>2</v>
      </c>
    </row>
    <row r="6" spans="1:17" ht="18" customHeight="1" x14ac:dyDescent="0.3">
      <c r="A6" s="69" t="str">
        <f>' Master'!A6</f>
        <v>Quadrant</v>
      </c>
      <c r="B6" s="75">
        <f>'Business Score'!H8</f>
        <v>38.46</v>
      </c>
      <c r="C6" s="75">
        <f>'Price Score'!D8</f>
        <v>30</v>
      </c>
      <c r="D6" s="75">
        <f t="shared" si="1"/>
        <v>68.460000000000008</v>
      </c>
      <c r="E6" s="68">
        <f t="shared" si="0"/>
        <v>6</v>
      </c>
    </row>
    <row r="7" spans="1:17" ht="18" customHeight="1" x14ac:dyDescent="0.3">
      <c r="A7" s="69" t="str">
        <f>' Master'!A7</f>
        <v>Infosys</v>
      </c>
      <c r="B7" s="75">
        <f>'Business Score'!H9</f>
        <v>59.35</v>
      </c>
      <c r="C7" s="75">
        <f>'Price Score'!D9</f>
        <v>25.89</v>
      </c>
      <c r="D7" s="75">
        <f t="shared" ref="D7" si="2">B7+C7</f>
        <v>85.240000000000009</v>
      </c>
      <c r="E7" s="68">
        <f t="shared" si="0"/>
        <v>3</v>
      </c>
    </row>
    <row r="8" spans="1:17" ht="18" customHeight="1" x14ac:dyDescent="0.3">
      <c r="B8" s="53"/>
    </row>
  </sheetData>
  <phoneticPr fontId="8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9"/>
  <sheetViews>
    <sheetView zoomScaleNormal="100" workbookViewId="0"/>
  </sheetViews>
  <sheetFormatPr defaultColWidth="9.140625" defaultRowHeight="16.5" x14ac:dyDescent="0.3"/>
  <cols>
    <col min="1" max="1" width="3.140625" style="9" customWidth="1"/>
    <col min="2" max="2" width="35.140625" style="1" customWidth="1"/>
    <col min="3" max="3" width="14.5703125" style="1" customWidth="1"/>
    <col min="4" max="5" width="10.5703125" style="1" customWidth="1"/>
    <col min="6" max="6" width="1.28515625" style="1" customWidth="1"/>
    <col min="7" max="7" width="10.5703125" style="1" customWidth="1"/>
    <col min="8" max="8" width="11.42578125" style="1" customWidth="1"/>
    <col min="9" max="10" width="10.5703125" style="1" customWidth="1"/>
    <col min="11" max="11" width="12.140625" style="1" customWidth="1"/>
    <col min="12" max="12" width="10.5703125" style="1" customWidth="1"/>
    <col min="13" max="16384" width="9.140625" style="1"/>
  </cols>
  <sheetData>
    <row r="1" spans="1:12" ht="47.25" customHeight="1" x14ac:dyDescent="0.3">
      <c r="A1" s="98"/>
      <c r="B1" s="98" t="s">
        <v>14</v>
      </c>
      <c r="C1" s="98" t="s">
        <v>15</v>
      </c>
      <c r="D1" s="98" t="s">
        <v>16</v>
      </c>
      <c r="E1" s="98" t="s">
        <v>17</v>
      </c>
      <c r="F1" s="67"/>
      <c r="G1" s="98" t="str">
        <f>' Master'!A2</f>
        <v>NTT DATA</v>
      </c>
      <c r="H1" s="98" t="str">
        <f>' Master'!A3</f>
        <v>ClearBest</v>
      </c>
      <c r="I1" s="98" t="str">
        <f>' Master'!A4</f>
        <v>Tetrus</v>
      </c>
      <c r="J1" s="98" t="str">
        <f>' Master'!A5</f>
        <v>IBM</v>
      </c>
      <c r="K1" s="98" t="str">
        <f>' Master'!A6</f>
        <v>Quadrant</v>
      </c>
      <c r="L1" s="98" t="str">
        <f>' Master'!A7</f>
        <v>Infosys</v>
      </c>
    </row>
    <row r="2" spans="1:12" s="16" customFormat="1" ht="18" customHeight="1" x14ac:dyDescent="0.25">
      <c r="A2" s="120"/>
      <c r="B2" s="121" t="s">
        <v>18</v>
      </c>
      <c r="C2" s="122"/>
      <c r="D2" s="123">
        <f>SUM(C3:C7)</f>
        <v>0.70000000000000007</v>
      </c>
      <c r="E2" s="124"/>
      <c r="F2" s="145"/>
      <c r="G2" s="124"/>
      <c r="H2" s="124"/>
      <c r="I2" s="124"/>
      <c r="J2" s="124"/>
      <c r="K2" s="124"/>
      <c r="L2" s="124"/>
    </row>
    <row r="3" spans="1:12" ht="18" customHeight="1" x14ac:dyDescent="0.3">
      <c r="A3" s="125">
        <v>1</v>
      </c>
      <c r="B3" s="126" t="str">
        <f>' Master'!C2</f>
        <v>Firm Qualifications</v>
      </c>
      <c r="C3" s="127">
        <f>' Master'!D2</f>
        <v>0.05</v>
      </c>
      <c r="D3" s="128"/>
      <c r="E3" s="129">
        <v>5</v>
      </c>
      <c r="F3" s="145"/>
      <c r="G3" s="130">
        <f>'Business Score'!B4</f>
        <v>4.5</v>
      </c>
      <c r="H3" s="130">
        <f>'Business Score'!B5</f>
        <v>5</v>
      </c>
      <c r="I3" s="130">
        <f>'Business Score'!B6</f>
        <v>5</v>
      </c>
      <c r="J3" s="130">
        <f>'Business Score'!B7</f>
        <v>4.63</v>
      </c>
      <c r="K3" s="130">
        <f>'Business Score'!B8</f>
        <v>5</v>
      </c>
      <c r="L3" s="130">
        <f>'Business Score'!B9</f>
        <v>4.5</v>
      </c>
    </row>
    <row r="4" spans="1:12" ht="16.5" customHeight="1" x14ac:dyDescent="0.3">
      <c r="A4" s="125">
        <v>2</v>
      </c>
      <c r="B4" s="126" t="str">
        <f>' Master'!C3</f>
        <v>Staff Qualifications and Experience</v>
      </c>
      <c r="C4" s="127">
        <f>' Master'!D3</f>
        <v>0.1</v>
      </c>
      <c r="D4" s="128"/>
      <c r="E4" s="129">
        <v>10</v>
      </c>
      <c r="F4" s="145"/>
      <c r="G4" s="130">
        <f>'Business Score'!C4</f>
        <v>8</v>
      </c>
      <c r="H4" s="130">
        <f>'Business Score'!C5</f>
        <v>9.6</v>
      </c>
      <c r="I4" s="130">
        <f>'Business Score'!C6</f>
        <v>9.3000000000000007</v>
      </c>
      <c r="J4" s="130">
        <f>'Business Score'!C7</f>
        <v>8.86</v>
      </c>
      <c r="K4" s="130">
        <f>'Business Score'!C8</f>
        <v>7.79</v>
      </c>
      <c r="L4" s="130">
        <f>'Business Score'!C9</f>
        <v>8.4499999999999993</v>
      </c>
    </row>
    <row r="5" spans="1:12" ht="16.5" customHeight="1" x14ac:dyDescent="0.3">
      <c r="A5" s="125">
        <v>3</v>
      </c>
      <c r="B5" s="126" t="str">
        <f>' Master'!C4</f>
        <v>Oral Presentations</v>
      </c>
      <c r="C5" s="127">
        <f>' Master'!D4</f>
        <v>0.05</v>
      </c>
      <c r="D5" s="128"/>
      <c r="E5" s="129">
        <v>5</v>
      </c>
      <c r="F5" s="145"/>
      <c r="G5" s="130">
        <f>'Business Score'!D4</f>
        <v>4.6500000000000004</v>
      </c>
      <c r="H5" s="130">
        <f>'Business Score'!D5</f>
        <v>4.75</v>
      </c>
      <c r="I5" s="130">
        <f>'Business Score'!D6</f>
        <v>3.7</v>
      </c>
      <c r="J5" s="130">
        <f>'Business Score'!D7</f>
        <v>4.5999999999999996</v>
      </c>
      <c r="K5" s="130">
        <f>'Business Score'!D8</f>
        <v>0.95</v>
      </c>
      <c r="L5" s="130">
        <f>'Business Score'!D9</f>
        <v>3.5</v>
      </c>
    </row>
    <row r="6" spans="1:12" ht="16.5" customHeight="1" x14ac:dyDescent="0.3">
      <c r="A6" s="125">
        <v>4</v>
      </c>
      <c r="B6" s="126" t="str">
        <f>' Master'!C5</f>
        <v>Key Staff Interviews</v>
      </c>
      <c r="C6" s="127">
        <f>' Master'!D5</f>
        <v>0.1</v>
      </c>
      <c r="D6" s="128"/>
      <c r="E6" s="129">
        <v>10</v>
      </c>
      <c r="F6" s="145"/>
      <c r="G6" s="130">
        <f>'Business Score'!E4</f>
        <v>7.2500000000000009</v>
      </c>
      <c r="H6" s="130">
        <f>'Business Score'!E5</f>
        <v>9.5</v>
      </c>
      <c r="I6" s="130">
        <f>'Business Score'!E6</f>
        <v>5.25</v>
      </c>
      <c r="J6" s="130">
        <f>'Business Score'!E7</f>
        <v>7.68</v>
      </c>
      <c r="K6" s="130">
        <f>'Business Score'!E8</f>
        <v>3.05</v>
      </c>
      <c r="L6" s="130">
        <f>'Business Score'!E9</f>
        <v>5.88</v>
      </c>
    </row>
    <row r="7" spans="1:12" ht="16.5" customHeight="1" x14ac:dyDescent="0.3">
      <c r="A7" s="125">
        <v>5</v>
      </c>
      <c r="B7" s="126" t="str">
        <f>' Master'!C6</f>
        <v>Understanding and Approach</v>
      </c>
      <c r="C7" s="127">
        <f>' Master'!D6</f>
        <v>0.4</v>
      </c>
      <c r="D7" s="128"/>
      <c r="E7" s="129">
        <v>40</v>
      </c>
      <c r="F7" s="145"/>
      <c r="G7" s="130">
        <f>'Business Score'!F4</f>
        <v>27.509999999999998</v>
      </c>
      <c r="H7" s="130">
        <f>'Business Score'!F5</f>
        <v>33.71</v>
      </c>
      <c r="I7" s="130">
        <f>'Business Score'!F6</f>
        <v>30.79</v>
      </c>
      <c r="J7" s="130">
        <f>'Business Score'!F7</f>
        <v>31.63</v>
      </c>
      <c r="K7" s="130">
        <f>'Business Score'!F8</f>
        <v>17.579999999999998</v>
      </c>
      <c r="L7" s="130">
        <f>'Business Score'!F9</f>
        <v>30.71</v>
      </c>
    </row>
    <row r="8" spans="1:12" ht="18" customHeight="1" x14ac:dyDescent="0.3">
      <c r="A8" s="125"/>
      <c r="B8" s="147" t="s">
        <v>19</v>
      </c>
      <c r="C8" s="147"/>
      <c r="D8" s="128"/>
      <c r="E8" s="131">
        <f>SUM(E3:E7)</f>
        <v>70</v>
      </c>
      <c r="F8" s="145"/>
      <c r="G8" s="132">
        <f>SUM(G3:G7)</f>
        <v>51.91</v>
      </c>
      <c r="H8" s="132">
        <f t="shared" ref="H8:I8" si="0">SUM(H3:H7)</f>
        <v>62.56</v>
      </c>
      <c r="I8" s="132">
        <f t="shared" si="0"/>
        <v>54.04</v>
      </c>
      <c r="J8" s="132">
        <f t="shared" ref="J8:L8" si="1">SUM(J3:J7)</f>
        <v>57.399999999999991</v>
      </c>
      <c r="K8" s="132">
        <f t="shared" si="1"/>
        <v>34.369999999999997</v>
      </c>
      <c r="L8" s="132">
        <f t="shared" si="1"/>
        <v>53.04</v>
      </c>
    </row>
    <row r="9" spans="1:12" ht="8.25" customHeight="1" x14ac:dyDescent="0.3">
      <c r="A9" s="148"/>
      <c r="B9" s="148"/>
      <c r="C9" s="148"/>
      <c r="D9" s="148"/>
      <c r="E9" s="148"/>
      <c r="F9" s="145"/>
      <c r="G9" s="133"/>
      <c r="H9" s="133"/>
      <c r="I9" s="133"/>
      <c r="J9" s="133"/>
      <c r="K9" s="133"/>
      <c r="L9" s="133"/>
    </row>
    <row r="10" spans="1:12" ht="18" customHeight="1" x14ac:dyDescent="0.3">
      <c r="A10" s="125"/>
      <c r="B10" s="147" t="s">
        <v>20</v>
      </c>
      <c r="C10" s="147"/>
      <c r="D10" s="128"/>
      <c r="E10" s="131">
        <f>E8</f>
        <v>70</v>
      </c>
      <c r="F10" s="145"/>
      <c r="G10" s="132">
        <f>'Business Score'!H4</f>
        <v>58.08</v>
      </c>
      <c r="H10" s="132">
        <f>'Business Score'!H5</f>
        <v>70</v>
      </c>
      <c r="I10" s="132">
        <f>'Business Score'!H6</f>
        <v>60.47</v>
      </c>
      <c r="J10" s="132">
        <f>'Business Score'!H7</f>
        <v>64.23</v>
      </c>
      <c r="K10" s="132">
        <f>'Business Score'!H8</f>
        <v>38.46</v>
      </c>
      <c r="L10" s="132">
        <f>'Business Score'!H9</f>
        <v>59.35</v>
      </c>
    </row>
    <row r="11" spans="1:12" ht="8.25" customHeight="1" x14ac:dyDescent="0.3">
      <c r="A11" s="148"/>
      <c r="B11" s="148"/>
      <c r="C11" s="148"/>
      <c r="D11" s="148"/>
      <c r="E11" s="148"/>
      <c r="F11" s="145"/>
      <c r="G11" s="134"/>
      <c r="H11" s="134"/>
      <c r="I11" s="134"/>
      <c r="J11" s="134"/>
      <c r="K11" s="134"/>
      <c r="L11" s="134"/>
    </row>
    <row r="12" spans="1:12" ht="18" customHeight="1" x14ac:dyDescent="0.3">
      <c r="A12" s="108"/>
      <c r="B12" s="135" t="s">
        <v>21</v>
      </c>
      <c r="C12" s="136"/>
      <c r="D12" s="137">
        <f>SUM(C13:C13)</f>
        <v>0.3</v>
      </c>
      <c r="E12" s="138"/>
      <c r="F12" s="145"/>
      <c r="G12" s="138"/>
      <c r="H12" s="138"/>
      <c r="I12" s="138"/>
      <c r="J12" s="138"/>
      <c r="K12" s="138"/>
      <c r="L12" s="138"/>
    </row>
    <row r="13" spans="1:12" ht="30" customHeight="1" x14ac:dyDescent="0.3">
      <c r="A13" s="125">
        <v>6</v>
      </c>
      <c r="B13" s="87" t="s">
        <v>117</v>
      </c>
      <c r="C13" s="128">
        <v>0.3</v>
      </c>
      <c r="D13" s="128"/>
      <c r="E13" s="129">
        <v>30</v>
      </c>
      <c r="F13" s="145"/>
      <c r="G13" s="139">
        <f>'Price Score'!D4</f>
        <v>20.39</v>
      </c>
      <c r="H13" s="139">
        <f>'Price Score'!D5</f>
        <v>20.55</v>
      </c>
      <c r="I13" s="139">
        <f>'Price Score'!D6</f>
        <v>21.3</v>
      </c>
      <c r="J13" s="139">
        <f>'Price Score'!D7</f>
        <v>21.46</v>
      </c>
      <c r="K13" s="139">
        <f>'Price Score'!D8</f>
        <v>30</v>
      </c>
      <c r="L13" s="139">
        <f>'Price Score'!D9</f>
        <v>25.89</v>
      </c>
    </row>
    <row r="14" spans="1:12" ht="18" customHeight="1" x14ac:dyDescent="0.3">
      <c r="A14" s="125"/>
      <c r="B14" s="147" t="s">
        <v>22</v>
      </c>
      <c r="C14" s="147"/>
      <c r="D14" s="128"/>
      <c r="E14" s="131">
        <f>SUM(E13:E13)</f>
        <v>30</v>
      </c>
      <c r="F14" s="145"/>
      <c r="G14" s="132">
        <f>SUM(G13:G13)</f>
        <v>20.39</v>
      </c>
      <c r="H14" s="132">
        <f>SUM(H13:H13)</f>
        <v>20.55</v>
      </c>
      <c r="I14" s="132">
        <f>SUM(I13:I13)</f>
        <v>21.3</v>
      </c>
      <c r="J14" s="132">
        <f t="shared" ref="J14:L14" si="2">SUM(J13:J13)</f>
        <v>21.46</v>
      </c>
      <c r="K14" s="132">
        <f t="shared" si="2"/>
        <v>30</v>
      </c>
      <c r="L14" s="132">
        <f t="shared" si="2"/>
        <v>25.89</v>
      </c>
    </row>
    <row r="15" spans="1:12" ht="19.5" customHeight="1" x14ac:dyDescent="0.3">
      <c r="A15" s="108"/>
      <c r="B15" s="146" t="s">
        <v>23</v>
      </c>
      <c r="C15" s="146"/>
      <c r="D15" s="137">
        <f>SUM(D2,D12)</f>
        <v>1</v>
      </c>
      <c r="E15" s="140">
        <f>SUM(E8,E14)</f>
        <v>100</v>
      </c>
      <c r="F15" s="145"/>
      <c r="G15" s="141">
        <f>SUM(G10,G14)</f>
        <v>78.47</v>
      </c>
      <c r="H15" s="141">
        <f>SUM(H10,H14)</f>
        <v>90.55</v>
      </c>
      <c r="I15" s="141">
        <f>SUM(I10,I14)</f>
        <v>81.77</v>
      </c>
      <c r="J15" s="141">
        <f t="shared" ref="J15:L15" si="3">SUM(J10,J14)</f>
        <v>85.69</v>
      </c>
      <c r="K15" s="141">
        <f t="shared" si="3"/>
        <v>68.460000000000008</v>
      </c>
      <c r="L15" s="141">
        <f t="shared" si="3"/>
        <v>85.240000000000009</v>
      </c>
    </row>
    <row r="17" spans="2:9" x14ac:dyDescent="0.3">
      <c r="B17" s="53"/>
      <c r="H17" s="34">
        <f>H15-J15</f>
        <v>4.8599999999999994</v>
      </c>
      <c r="I17" s="1" t="s">
        <v>24</v>
      </c>
    </row>
    <row r="18" spans="2:9" x14ac:dyDescent="0.3">
      <c r="B18" s="53"/>
    </row>
    <row r="19" spans="2:9" x14ac:dyDescent="0.3">
      <c r="B19" s="10"/>
    </row>
  </sheetData>
  <mergeCells count="7">
    <mergeCell ref="F2:F15"/>
    <mergeCell ref="B15:C15"/>
    <mergeCell ref="B8:C8"/>
    <mergeCell ref="B10:C10"/>
    <mergeCell ref="B14:C14"/>
    <mergeCell ref="A9:E9"/>
    <mergeCell ref="A11:E11"/>
  </mergeCells>
  <pageMargins left="0.5" right="0.5" top="0.75" bottom="0.75" header="0.3" footer="0.3"/>
  <pageSetup scale="8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2"/>
  <sheetViews>
    <sheetView workbookViewId="0">
      <pane xSplit="1" ySplit="3" topLeftCell="B4" activePane="bottomRight" state="frozen"/>
      <selection activeCell="H24" sqref="H24"/>
      <selection pane="topRight" activeCell="H24" sqref="H24"/>
      <selection pane="bottomLeft" activeCell="H24" sqref="H24"/>
      <selection pane="bottomRight" activeCell="B4" sqref="B4"/>
    </sheetView>
  </sheetViews>
  <sheetFormatPr defaultColWidth="9.140625" defaultRowHeight="16.5" x14ac:dyDescent="0.3"/>
  <cols>
    <col min="1" max="2" width="18.5703125" style="1" customWidth="1"/>
    <col min="3" max="3" width="2.42578125" style="1" customWidth="1"/>
    <col min="4" max="4" width="13.5703125" style="1" customWidth="1"/>
    <col min="5" max="5" width="2.42578125" style="1" customWidth="1"/>
    <col min="6" max="16384" width="9.140625" style="1"/>
  </cols>
  <sheetData>
    <row r="1" spans="1:8" ht="20.100000000000001" customHeight="1" x14ac:dyDescent="0.3">
      <c r="A1" s="143" t="s">
        <v>115</v>
      </c>
      <c r="B1" s="151"/>
      <c r="C1" s="151"/>
      <c r="D1" s="144"/>
    </row>
    <row r="2" spans="1:8" s="10" customFormat="1" ht="39" customHeight="1" x14ac:dyDescent="0.2">
      <c r="A2" s="152" t="s">
        <v>25</v>
      </c>
      <c r="B2" s="153"/>
      <c r="C2" s="154"/>
      <c r="D2" s="62">
        <v>30</v>
      </c>
    </row>
    <row r="3" spans="1:8" s="10" customFormat="1" ht="60" customHeight="1" x14ac:dyDescent="0.2">
      <c r="A3" s="61" t="s">
        <v>26</v>
      </c>
      <c r="B3" s="61" t="s">
        <v>118</v>
      </c>
      <c r="C3" s="155"/>
      <c r="D3" s="61" t="s">
        <v>97</v>
      </c>
    </row>
    <row r="4" spans="1:8" x14ac:dyDescent="0.3">
      <c r="A4" s="40" t="str">
        <f>' Master'!A2</f>
        <v>NTT DATA</v>
      </c>
      <c r="B4" s="41">
        <f>'Price Summary'!C3</f>
        <v>22096111.199999996</v>
      </c>
      <c r="C4" s="149"/>
      <c r="D4" s="7">
        <f>ROUND($B$11/B4*$D$2,2)</f>
        <v>20.39</v>
      </c>
      <c r="E4" s="17"/>
    </row>
    <row r="5" spans="1:8" x14ac:dyDescent="0.3">
      <c r="A5" s="40" t="str">
        <f>' Master'!A3</f>
        <v>ClearBest</v>
      </c>
      <c r="B5" s="41">
        <f>'Price Summary'!C4</f>
        <v>21918450</v>
      </c>
      <c r="C5" s="150"/>
      <c r="D5" s="7">
        <f>ROUND($B$11/B5*$D$2,2)</f>
        <v>20.55</v>
      </c>
      <c r="E5" s="17"/>
      <c r="H5" s="53"/>
    </row>
    <row r="6" spans="1:8" x14ac:dyDescent="0.3">
      <c r="A6" s="40" t="str">
        <f>' Master'!A4</f>
        <v>Tetrus</v>
      </c>
      <c r="B6" s="41">
        <f>'Price Summary'!C5</f>
        <v>21147536.553024001</v>
      </c>
      <c r="C6" s="150"/>
      <c r="D6" s="7">
        <f>ROUND($B$11/B6*$D$2,2)</f>
        <v>21.3</v>
      </c>
      <c r="E6" s="17"/>
      <c r="H6" s="53"/>
    </row>
    <row r="7" spans="1:8" x14ac:dyDescent="0.3">
      <c r="A7" s="40" t="str">
        <f>' Master'!A5</f>
        <v>IBM</v>
      </c>
      <c r="B7" s="41">
        <f>'Price Summary'!C6</f>
        <v>20991315.799999997</v>
      </c>
      <c r="C7" s="8"/>
      <c r="D7" s="7">
        <f t="shared" ref="D7:D9" si="0">ROUND($B$11/B7*$D$2,2)</f>
        <v>21.46</v>
      </c>
      <c r="E7" s="17"/>
      <c r="H7" s="53"/>
    </row>
    <row r="8" spans="1:8" x14ac:dyDescent="0.3">
      <c r="A8" s="40" t="str">
        <f>' Master'!A6</f>
        <v>Quadrant</v>
      </c>
      <c r="B8" s="41">
        <f>'Price Summary'!C7</f>
        <v>15014820</v>
      </c>
      <c r="C8" s="8"/>
      <c r="D8" s="7">
        <f>ROUND($B$11/B8*$D$2,2)</f>
        <v>30</v>
      </c>
      <c r="E8" s="17"/>
      <c r="H8" s="53"/>
    </row>
    <row r="9" spans="1:8" x14ac:dyDescent="0.3">
      <c r="A9" s="40" t="str">
        <f>' Master'!A7</f>
        <v>Infosys</v>
      </c>
      <c r="B9" s="41">
        <f>'Price Summary'!C8</f>
        <v>17395620</v>
      </c>
      <c r="C9" s="8"/>
      <c r="D9" s="7">
        <f t="shared" si="0"/>
        <v>25.89</v>
      </c>
      <c r="E9" s="17"/>
      <c r="H9" s="53"/>
    </row>
    <row r="10" spans="1:8" x14ac:dyDescent="0.3">
      <c r="A10" s="39"/>
      <c r="B10" s="23"/>
      <c r="C10" s="29"/>
      <c r="D10" s="29"/>
    </row>
    <row r="11" spans="1:8" x14ac:dyDescent="0.3">
      <c r="A11" s="20" t="s">
        <v>27</v>
      </c>
      <c r="B11" s="38">
        <f>MIN(B4:B9)</f>
        <v>15014820</v>
      </c>
      <c r="C11" s="42"/>
      <c r="D11" s="8"/>
    </row>
    <row r="12" spans="1:8" x14ac:dyDescent="0.3">
      <c r="A12" s="20" t="s">
        <v>28</v>
      </c>
      <c r="B12" s="38">
        <f>MAX(B4:B9)</f>
        <v>22096111.199999996</v>
      </c>
      <c r="C12" s="42"/>
    </row>
    <row r="14" spans="1:8" x14ac:dyDescent="0.3">
      <c r="A14" s="31" t="s">
        <v>29</v>
      </c>
      <c r="B14" s="25">
        <f>B12-B11</f>
        <v>7081291.1999999955</v>
      </c>
    </row>
    <row r="15" spans="1:8" x14ac:dyDescent="0.3">
      <c r="A15" s="31" t="s">
        <v>30</v>
      </c>
      <c r="B15" s="21">
        <f>B14/B11</f>
        <v>0.47162011932210945</v>
      </c>
    </row>
    <row r="16" spans="1:8" x14ac:dyDescent="0.3">
      <c r="A16" s="31"/>
      <c r="D16" s="33"/>
    </row>
    <row r="17" spans="1:4" x14ac:dyDescent="0.3">
      <c r="A17" s="32"/>
      <c r="B17" s="25"/>
    </row>
    <row r="18" spans="1:4" x14ac:dyDescent="0.3">
      <c r="A18" s="36"/>
      <c r="B18" s="37"/>
      <c r="D18" s="33"/>
    </row>
    <row r="19" spans="1:4" x14ac:dyDescent="0.3">
      <c r="A19" s="32"/>
      <c r="B19" s="37"/>
    </row>
    <row r="20" spans="1:4" x14ac:dyDescent="0.3">
      <c r="A20" s="32"/>
    </row>
    <row r="21" spans="1:4" x14ac:dyDescent="0.3">
      <c r="B21" s="12"/>
    </row>
    <row r="22" spans="1:4" x14ac:dyDescent="0.3">
      <c r="B22" s="25"/>
    </row>
  </sheetData>
  <mergeCells count="4">
    <mergeCell ref="C4:C6"/>
    <mergeCell ref="A1:D1"/>
    <mergeCell ref="A2:B2"/>
    <mergeCell ref="C2:C3"/>
  </mergeCells>
  <phoneticPr fontId="8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E38D7-957B-4F18-8BD8-C6AC864B4ACB}">
  <dimension ref="A1:F14"/>
  <sheetViews>
    <sheetView zoomScaleNormal="100" workbookViewId="0">
      <selection sqref="A1:F1"/>
    </sheetView>
  </sheetViews>
  <sheetFormatPr defaultColWidth="9.140625" defaultRowHeight="15" x14ac:dyDescent="0.25"/>
  <cols>
    <col min="1" max="1" width="3.5703125" customWidth="1"/>
    <col min="2" max="2" width="25.7109375" customWidth="1"/>
    <col min="3" max="3" width="16.5703125" style="44" customWidth="1"/>
    <col min="4" max="4" width="2.5703125" customWidth="1"/>
    <col min="5" max="6" width="14.5703125" customWidth="1"/>
  </cols>
  <sheetData>
    <row r="1" spans="1:6" ht="20.100000000000001" customHeight="1" x14ac:dyDescent="0.25">
      <c r="A1" s="143" t="s">
        <v>114</v>
      </c>
      <c r="B1" s="151"/>
      <c r="C1" s="151"/>
      <c r="D1" s="151"/>
      <c r="E1" s="151"/>
      <c r="F1" s="144"/>
    </row>
    <row r="2" spans="1:6" ht="72" customHeight="1" x14ac:dyDescent="0.25">
      <c r="A2" s="61"/>
      <c r="B2" s="61" t="s">
        <v>26</v>
      </c>
      <c r="C2" s="61" t="s">
        <v>118</v>
      </c>
      <c r="D2" s="61"/>
      <c r="E2" s="61" t="s">
        <v>31</v>
      </c>
      <c r="F2" s="61" t="s">
        <v>32</v>
      </c>
    </row>
    <row r="3" spans="1:6" s="1" customFormat="1" ht="17.25" customHeight="1" x14ac:dyDescent="0.3">
      <c r="A3" s="61"/>
      <c r="B3" s="20" t="str">
        <f>' Master'!A2</f>
        <v>NTT DATA</v>
      </c>
      <c r="C3" s="58">
        <f>'Price Details'!B9</f>
        <v>22096111.199999996</v>
      </c>
      <c r="D3" s="95"/>
      <c r="E3" s="24">
        <f>C3/$C$14</f>
        <v>3682685.1999999993</v>
      </c>
      <c r="F3" s="24">
        <f>E3/12</f>
        <v>306890.43333333329</v>
      </c>
    </row>
    <row r="4" spans="1:6" s="1" customFormat="1" ht="17.25" customHeight="1" x14ac:dyDescent="0.3">
      <c r="A4" s="61"/>
      <c r="B4" s="20" t="str">
        <f>' Master'!A3</f>
        <v>ClearBest</v>
      </c>
      <c r="C4" s="58">
        <f>'Price Details'!C9</f>
        <v>21918450</v>
      </c>
      <c r="D4" s="96"/>
      <c r="E4" s="24">
        <f>C4/$C$14</f>
        <v>3653075</v>
      </c>
      <c r="F4" s="24">
        <f t="shared" ref="F4:F5" si="0">E4/12</f>
        <v>304422.91666666669</v>
      </c>
    </row>
    <row r="5" spans="1:6" s="1" customFormat="1" ht="17.25" customHeight="1" x14ac:dyDescent="0.3">
      <c r="A5" s="61"/>
      <c r="B5" s="20" t="str">
        <f>' Master'!A4</f>
        <v>Tetrus</v>
      </c>
      <c r="C5" s="59">
        <f>'Price Details'!D9</f>
        <v>21147536.553024001</v>
      </c>
      <c r="D5" s="96"/>
      <c r="E5" s="24">
        <f>C5/$C$14</f>
        <v>3524589.4255040004</v>
      </c>
      <c r="F5" s="24">
        <f t="shared" si="0"/>
        <v>293715.78545866668</v>
      </c>
    </row>
    <row r="6" spans="1:6" s="1" customFormat="1" ht="17.25" customHeight="1" x14ac:dyDescent="0.3">
      <c r="A6" s="105"/>
      <c r="B6" s="20" t="str">
        <f>' Master'!A5</f>
        <v>IBM</v>
      </c>
      <c r="C6" s="59">
        <f>'Price Details'!E9</f>
        <v>20991315.799999997</v>
      </c>
      <c r="D6" s="96"/>
      <c r="E6" s="24">
        <f t="shared" ref="E6:E8" si="1">C6/$C$14</f>
        <v>3498552.6333333328</v>
      </c>
      <c r="F6" s="24">
        <f t="shared" ref="F6:F8" si="2">E6/12</f>
        <v>291546.05277777772</v>
      </c>
    </row>
    <row r="7" spans="1:6" s="1" customFormat="1" ht="17.25" customHeight="1" x14ac:dyDescent="0.3">
      <c r="A7" s="105"/>
      <c r="B7" s="20" t="str">
        <f>' Master'!A6</f>
        <v>Quadrant</v>
      </c>
      <c r="C7" s="59">
        <f>'Price Details'!F9</f>
        <v>15014820</v>
      </c>
      <c r="D7" s="96"/>
      <c r="E7" s="24">
        <f t="shared" si="1"/>
        <v>2502470</v>
      </c>
      <c r="F7" s="24">
        <f t="shared" si="2"/>
        <v>208539.16666666666</v>
      </c>
    </row>
    <row r="8" spans="1:6" s="1" customFormat="1" ht="17.25" customHeight="1" x14ac:dyDescent="0.3">
      <c r="A8" s="105"/>
      <c r="B8" s="20" t="str">
        <f>' Master'!A7</f>
        <v>Infosys</v>
      </c>
      <c r="C8" s="59">
        <f>'Price Details'!G9</f>
        <v>17395620</v>
      </c>
      <c r="D8" s="96"/>
      <c r="E8" s="24">
        <f t="shared" si="1"/>
        <v>2899270</v>
      </c>
      <c r="F8" s="24">
        <f t="shared" si="2"/>
        <v>241605.83333333334</v>
      </c>
    </row>
    <row r="10" spans="1:6" s="1" customFormat="1" ht="15" customHeight="1" x14ac:dyDescent="0.3">
      <c r="A10" s="156" t="s">
        <v>33</v>
      </c>
      <c r="B10" s="156"/>
      <c r="C10" s="45">
        <f>C6-C7</f>
        <v>5976495.799999997</v>
      </c>
    </row>
    <row r="11" spans="1:6" s="1" customFormat="1" ht="16.5" x14ac:dyDescent="0.3">
      <c r="A11" s="1" t="s">
        <v>34</v>
      </c>
      <c r="C11" s="46">
        <f>C10/C14</f>
        <v>996082.63333333284</v>
      </c>
    </row>
    <row r="12" spans="1:6" s="1" customFormat="1" ht="16.5" x14ac:dyDescent="0.3">
      <c r="C12" s="8"/>
    </row>
    <row r="13" spans="1:6" ht="16.5" x14ac:dyDescent="0.3">
      <c r="A13" s="1"/>
      <c r="B13" s="1"/>
      <c r="C13" s="8"/>
    </row>
    <row r="14" spans="1:6" s="1" customFormat="1" ht="16.5" x14ac:dyDescent="0.3">
      <c r="A14" s="1" t="s">
        <v>109</v>
      </c>
      <c r="C14" s="8">
        <v>6</v>
      </c>
    </row>
  </sheetData>
  <mergeCells count="2">
    <mergeCell ref="A10:B10"/>
    <mergeCell ref="A1:F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637C3-D230-4029-8033-E70154962EB2}">
  <dimension ref="A1:H16"/>
  <sheetViews>
    <sheetView zoomScale="110" zoomScaleNormal="110" workbookViewId="0"/>
  </sheetViews>
  <sheetFormatPr defaultColWidth="9.140625" defaultRowHeight="16.5" x14ac:dyDescent="0.3"/>
  <cols>
    <col min="1" max="1" width="53.140625" style="1" customWidth="1"/>
    <col min="2" max="7" width="12.5703125" style="1" customWidth="1"/>
    <col min="8" max="8" width="2.42578125" style="1" customWidth="1"/>
    <col min="9" max="9" width="18.28515625" style="1" customWidth="1"/>
    <col min="10" max="16384" width="9.140625" style="1"/>
  </cols>
  <sheetData>
    <row r="1" spans="1:8" s="10" customFormat="1" ht="24" customHeight="1" x14ac:dyDescent="0.2">
      <c r="A1" s="98" t="s">
        <v>113</v>
      </c>
      <c r="B1" s="98" t="s">
        <v>35</v>
      </c>
      <c r="C1" s="73">
        <v>0.3</v>
      </c>
      <c r="D1" s="158"/>
      <c r="E1" s="159"/>
      <c r="F1" s="159"/>
      <c r="G1" s="160"/>
    </row>
    <row r="2" spans="1:8" s="10" customFormat="1" ht="18" customHeight="1" x14ac:dyDescent="0.25">
      <c r="A2" s="70" t="s">
        <v>98</v>
      </c>
      <c r="B2" s="70" t="str">
        <f>' Master'!A2</f>
        <v>NTT DATA</v>
      </c>
      <c r="C2" s="70" t="str">
        <f>' Master'!A3</f>
        <v>ClearBest</v>
      </c>
      <c r="D2" s="70" t="str">
        <f>' Master'!A4</f>
        <v>Tetrus</v>
      </c>
      <c r="E2" s="70" t="str">
        <f>' Master'!A5</f>
        <v>IBM</v>
      </c>
      <c r="F2" s="70" t="str">
        <f>' Master'!A6</f>
        <v>Quadrant</v>
      </c>
      <c r="G2" s="70" t="str">
        <f>' Master'!A7</f>
        <v>Infosys</v>
      </c>
    </row>
    <row r="3" spans="1:8" ht="17.25" customHeight="1" x14ac:dyDescent="0.3">
      <c r="A3" s="72" t="s">
        <v>99</v>
      </c>
      <c r="B3" s="77">
        <f>'[1]1. SFY Summary'!$N$6</f>
        <v>374769.22000000003</v>
      </c>
      <c r="C3" s="77">
        <f>'[2]1. SFY Summary'!$N$6</f>
        <v>277056</v>
      </c>
      <c r="D3" s="77">
        <f>'[3]1. SFY Summary'!$N$6</f>
        <v>573840</v>
      </c>
      <c r="E3" s="77">
        <f>'[4]1. SFY Summary'!$N$6</f>
        <v>861085</v>
      </c>
      <c r="F3" s="77">
        <f>'[5]1. SFY Summary'!$N$6</f>
        <v>377320</v>
      </c>
      <c r="G3" s="77">
        <f>'[6]1. SFY Summary'!$N$6</f>
        <v>330960</v>
      </c>
      <c r="H3" s="17"/>
    </row>
    <row r="4" spans="1:8" ht="17.25" customHeight="1" x14ac:dyDescent="0.3">
      <c r="A4" s="72" t="s">
        <v>110</v>
      </c>
      <c r="B4" s="77">
        <f>'[1]1. SFY Summary'!$N$7</f>
        <v>22002601.199999996</v>
      </c>
      <c r="C4" s="77">
        <f>'[2]1. SFY Summary'!$N$7</f>
        <v>21918450</v>
      </c>
      <c r="D4" s="77">
        <f>'[3]1. SFY Summary'!$N$7</f>
        <v>19447982.400000002</v>
      </c>
      <c r="E4" s="77">
        <f>'[4]1. SFY Summary'!$N$7</f>
        <v>20966315.799999997</v>
      </c>
      <c r="F4" s="77">
        <f>'[5]1. SFY Summary'!$N$7</f>
        <v>15014820</v>
      </c>
      <c r="G4" s="77">
        <f>'[6]1. SFY Summary'!$N$7</f>
        <v>17395620</v>
      </c>
      <c r="H4" s="17"/>
    </row>
    <row r="5" spans="1:8" ht="17.25" customHeight="1" x14ac:dyDescent="0.3">
      <c r="A5" s="72" t="s">
        <v>111</v>
      </c>
      <c r="B5" s="77">
        <f>'[1]1. SFY Summary'!$N$8</f>
        <v>93510</v>
      </c>
      <c r="C5" s="77">
        <f>'[2]1. SFY Summary'!$N$8</f>
        <v>0</v>
      </c>
      <c r="D5" s="77">
        <f>'[3]1. SFY Summary'!$N$8</f>
        <v>1699554.1530240001</v>
      </c>
      <c r="E5" s="77">
        <f>'[4]1. SFY Summary'!$N$8</f>
        <v>25000</v>
      </c>
      <c r="F5" s="77">
        <f>'[5]1. SFY Summary'!$N$8</f>
        <v>0</v>
      </c>
      <c r="G5" s="77">
        <f>'[6]1. SFY Summary'!$N$8</f>
        <v>0</v>
      </c>
    </row>
    <row r="6" spans="1:8" ht="6.95" customHeight="1" x14ac:dyDescent="0.3">
      <c r="A6" s="157"/>
      <c r="B6" s="157"/>
      <c r="C6" s="157"/>
      <c r="D6" s="157"/>
      <c r="E6" s="157"/>
      <c r="F6" s="157"/>
      <c r="G6" s="157"/>
    </row>
    <row r="7" spans="1:8" ht="27.95" customHeight="1" x14ac:dyDescent="0.3">
      <c r="A7" s="94" t="s">
        <v>102</v>
      </c>
      <c r="B7" s="78">
        <f>SUM(B3:B5)</f>
        <v>22470880.419999994</v>
      </c>
      <c r="C7" s="78">
        <f>SUM(C3:C5)</f>
        <v>22195506</v>
      </c>
      <c r="D7" s="78">
        <f t="shared" ref="D7:G7" si="0">SUM(D3:D5)</f>
        <v>21721376.553024001</v>
      </c>
      <c r="E7" s="78">
        <f t="shared" si="0"/>
        <v>21852400.799999997</v>
      </c>
      <c r="F7" s="78">
        <f t="shared" si="0"/>
        <v>15392140</v>
      </c>
      <c r="G7" s="78">
        <f t="shared" si="0"/>
        <v>17726580</v>
      </c>
    </row>
    <row r="8" spans="1:8" ht="8.1" customHeight="1" x14ac:dyDescent="0.3">
      <c r="A8" s="81"/>
      <c r="B8" s="81"/>
      <c r="C8" s="81"/>
      <c r="D8" s="81"/>
      <c r="E8" s="81"/>
      <c r="F8" s="81"/>
      <c r="G8" s="81"/>
    </row>
    <row r="9" spans="1:8" ht="27.95" customHeight="1" x14ac:dyDescent="0.3">
      <c r="A9" s="94" t="s">
        <v>36</v>
      </c>
      <c r="B9" s="79">
        <f>'[1]1. SFY Summary'!$N$11</f>
        <v>22096111.199999996</v>
      </c>
      <c r="C9" s="79">
        <f>'[2]1. SFY Summary'!$N$11</f>
        <v>21918450</v>
      </c>
      <c r="D9" s="79">
        <f>'[3]1. SFY Summary'!$N$11</f>
        <v>21147536.553024001</v>
      </c>
      <c r="E9" s="79">
        <f>'[4]1. SFY Summary'!$N$11</f>
        <v>20991315.799999997</v>
      </c>
      <c r="F9" s="79">
        <f>'[5]1. SFY Summary'!$N$11</f>
        <v>15014820</v>
      </c>
      <c r="G9" s="79">
        <f>'[6]1. SFY Summary'!$N$11</f>
        <v>17395620</v>
      </c>
    </row>
    <row r="10" spans="1:8" ht="8.1" customHeight="1" x14ac:dyDescent="0.3">
      <c r="A10" s="81"/>
      <c r="B10" s="81"/>
      <c r="C10" s="81"/>
      <c r="D10" s="81"/>
      <c r="E10" s="81"/>
      <c r="F10" s="81"/>
      <c r="G10" s="81"/>
    </row>
    <row r="11" spans="1:8" ht="18" customHeight="1" x14ac:dyDescent="0.3">
      <c r="A11" s="94" t="s">
        <v>100</v>
      </c>
      <c r="B11" s="78">
        <f>'[1]1. SFY Summary'!$N$17</f>
        <v>15557878.132931953</v>
      </c>
      <c r="C11" s="78">
        <f>'[2]1. SFY Summary'!$N$17</f>
        <v>16073529.999999998</v>
      </c>
      <c r="D11" s="78">
        <f>'[3]1. SFY Summary'!$N$17</f>
        <v>16073757.903385596</v>
      </c>
      <c r="E11" s="78">
        <f>'[4]1. SFY Summary'!$N$17</f>
        <v>15375298.253333334</v>
      </c>
      <c r="F11" s="78">
        <f>'[5]1. SFY Summary'!$N$17</f>
        <v>10410275.199999999</v>
      </c>
      <c r="G11" s="78">
        <f>'[6]1. SFY Summary'!$N$17</f>
        <v>12188647.5146832</v>
      </c>
    </row>
    <row r="12" spans="1:8" ht="8.1" customHeight="1" x14ac:dyDescent="0.3">
      <c r="A12" s="82"/>
      <c r="B12" s="82"/>
      <c r="C12" s="82"/>
      <c r="D12" s="82"/>
      <c r="E12" s="82"/>
      <c r="F12" s="82"/>
      <c r="G12" s="82"/>
    </row>
    <row r="13" spans="1:8" ht="18" customHeight="1" x14ac:dyDescent="0.3">
      <c r="A13" s="94" t="s">
        <v>101</v>
      </c>
      <c r="B13" s="78">
        <f>'[1]1. SFY Summary'!$N$19</f>
        <v>38028758.552931949</v>
      </c>
      <c r="C13" s="78">
        <f>'[2]1. SFY Summary'!$N$19</f>
        <v>38269036</v>
      </c>
      <c r="D13" s="78">
        <f>'[3]1. SFY Summary'!$N$19</f>
        <v>37795134.456409603</v>
      </c>
      <c r="E13" s="78">
        <f>'[4]1. SFY Summary'!$N$19</f>
        <v>37227699.053333327</v>
      </c>
      <c r="F13" s="78">
        <f>'[5]1. SFY Summary'!$N$19</f>
        <v>25802415.200000003</v>
      </c>
      <c r="G13" s="78">
        <f>'[6]1. SFY Summary'!$N$19</f>
        <v>29915227.514683198</v>
      </c>
    </row>
    <row r="14" spans="1:8" ht="8.1" customHeight="1" x14ac:dyDescent="0.3">
      <c r="A14" s="82"/>
      <c r="B14" s="82"/>
      <c r="C14" s="82"/>
      <c r="D14" s="82"/>
      <c r="E14" s="82"/>
      <c r="F14" s="82"/>
      <c r="G14" s="82"/>
    </row>
    <row r="15" spans="1:8" ht="18" customHeight="1" x14ac:dyDescent="0.3">
      <c r="A15" s="94" t="s">
        <v>37</v>
      </c>
      <c r="B15" s="80">
        <f>'Price Score'!D4</f>
        <v>20.39</v>
      </c>
      <c r="C15" s="80">
        <f>'Price Score'!D5</f>
        <v>20.55</v>
      </c>
      <c r="D15" s="80">
        <f>'Price Score'!D6</f>
        <v>21.3</v>
      </c>
      <c r="E15" s="80">
        <f>'Price Score'!D7</f>
        <v>21.46</v>
      </c>
      <c r="F15" s="80">
        <f>'Price Score'!D8</f>
        <v>30</v>
      </c>
      <c r="G15" s="80">
        <f>'Price Score'!D9</f>
        <v>25.89</v>
      </c>
    </row>
    <row r="16" spans="1:8" ht="9.9499999999999993" customHeight="1" x14ac:dyDescent="0.3"/>
  </sheetData>
  <mergeCells count="2">
    <mergeCell ref="A6:G6"/>
    <mergeCell ref="D1:G1"/>
  </mergeCells>
  <pageMargins left="0.7" right="0.7" top="0.75" bottom="0.75" header="0.3" footer="0.3"/>
  <pageSetup scale="95" orientation="portrait" r:id="rId1"/>
  <ignoredErrors>
    <ignoredError sqref="B15:G15" evalError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6"/>
  <sheetViews>
    <sheetView workbookViewId="0">
      <selection sqref="A1:C1"/>
    </sheetView>
  </sheetViews>
  <sheetFormatPr defaultColWidth="9.140625" defaultRowHeight="16.5" x14ac:dyDescent="0.3"/>
  <cols>
    <col min="1" max="1" width="14.5703125" style="1" customWidth="1"/>
    <col min="2" max="2" width="13.5703125" style="1" customWidth="1"/>
    <col min="3" max="3" width="15.5703125" style="1" customWidth="1"/>
    <col min="4" max="5" width="13.5703125" style="1" customWidth="1"/>
    <col min="6" max="6" width="15.5703125" style="1" customWidth="1"/>
    <col min="7" max="8" width="13.5703125" style="1" customWidth="1"/>
    <col min="9" max="9" width="10.5703125" style="1" customWidth="1"/>
    <col min="10" max="16384" width="9.140625" style="1"/>
  </cols>
  <sheetData>
    <row r="1" spans="1:12" s="10" customFormat="1" ht="20.25" customHeight="1" x14ac:dyDescent="0.2">
      <c r="A1" s="165" t="s">
        <v>38</v>
      </c>
      <c r="B1" s="165"/>
      <c r="C1" s="165"/>
      <c r="D1" s="98"/>
      <c r="E1" s="165" t="s">
        <v>39</v>
      </c>
      <c r="F1" s="165"/>
      <c r="G1" s="76">
        <v>70</v>
      </c>
      <c r="H1" s="98"/>
      <c r="I1" s="98"/>
    </row>
    <row r="2" spans="1:12" s="8" customFormat="1" ht="16.5" customHeight="1" x14ac:dyDescent="0.3">
      <c r="A2" s="97"/>
      <c r="B2" s="73">
        <f>' Master'!D2</f>
        <v>0.05</v>
      </c>
      <c r="C2" s="73">
        <f>' Master'!D3</f>
        <v>0.1</v>
      </c>
      <c r="D2" s="73">
        <f>' Master'!D4</f>
        <v>0.05</v>
      </c>
      <c r="E2" s="73">
        <f>' Master'!D5</f>
        <v>0.1</v>
      </c>
      <c r="F2" s="73">
        <f>' Master'!D6</f>
        <v>0.4</v>
      </c>
      <c r="G2" s="162" t="s">
        <v>40</v>
      </c>
      <c r="H2" s="162" t="s">
        <v>41</v>
      </c>
      <c r="I2" s="162" t="s">
        <v>13</v>
      </c>
    </row>
    <row r="3" spans="1:12" s="10" customFormat="1" ht="57" x14ac:dyDescent="0.2">
      <c r="A3" s="98" t="s">
        <v>26</v>
      </c>
      <c r="B3" s="98" t="s">
        <v>42</v>
      </c>
      <c r="C3" s="98" t="str">
        <f>' Master'!C3</f>
        <v>Staff Qualifications and Experience</v>
      </c>
      <c r="D3" s="98" t="str">
        <f>' Master'!C4</f>
        <v>Oral Presentations</v>
      </c>
      <c r="E3" s="98" t="str">
        <f>' Master'!C5</f>
        <v>Key Staff Interviews</v>
      </c>
      <c r="F3" s="98" t="str">
        <f>' Master'!C6</f>
        <v>Understanding and Approach</v>
      </c>
      <c r="G3" s="162"/>
      <c r="H3" s="162"/>
      <c r="I3" s="162"/>
    </row>
    <row r="4" spans="1:12" s="31" customFormat="1" ht="18" customHeight="1" x14ac:dyDescent="0.3">
      <c r="A4" s="69" t="str">
        <f>'Summary Total'!A2</f>
        <v>NTT DATA</v>
      </c>
      <c r="B4" s="75">
        <f>'Firm References'!B7</f>
        <v>4.5</v>
      </c>
      <c r="C4" s="75">
        <f>'Staff Quals &amp; Experience'!B14</f>
        <v>8</v>
      </c>
      <c r="D4" s="75">
        <f>'KSIs and Orals'!B15</f>
        <v>4.6500000000000004</v>
      </c>
      <c r="E4" s="75">
        <f>'KSIs and Orals'!B10</f>
        <v>7.2500000000000009</v>
      </c>
      <c r="F4" s="75">
        <f>'Understanding &amp; Approach'!K4</f>
        <v>27.509999999999998</v>
      </c>
      <c r="G4" s="119">
        <f>ROUND(SUM(B4:F4),2)</f>
        <v>51.91</v>
      </c>
      <c r="H4" s="75">
        <f>ROUND(G4/$G$11*$G$1,2)</f>
        <v>58.08</v>
      </c>
      <c r="I4" s="68">
        <f>_xlfn.RANK.AVG(H4,$H$4:$H$9)</f>
        <v>5</v>
      </c>
    </row>
    <row r="5" spans="1:12" s="31" customFormat="1" ht="18" customHeight="1" x14ac:dyDescent="0.3">
      <c r="A5" s="69" t="str">
        <f>'Summary Total'!A3</f>
        <v>ClearBest</v>
      </c>
      <c r="B5" s="75">
        <f>'Firm References'!C7</f>
        <v>5</v>
      </c>
      <c r="C5" s="75">
        <f>'Staff Quals &amp; Experience'!C14</f>
        <v>9.6</v>
      </c>
      <c r="D5" s="75">
        <f>'KSIs and Orals'!C15</f>
        <v>4.75</v>
      </c>
      <c r="E5" s="75">
        <f>'KSIs and Orals'!C10</f>
        <v>9.5</v>
      </c>
      <c r="F5" s="75">
        <f>'Understanding &amp; Approach'!K5</f>
        <v>33.71</v>
      </c>
      <c r="G5" s="119">
        <f t="shared" ref="G5:G9" si="0">ROUND(SUM(B5:F5),2)</f>
        <v>62.56</v>
      </c>
      <c r="H5" s="75">
        <f>ROUND(G5/$G$11*$G$1,2)</f>
        <v>70</v>
      </c>
      <c r="I5" s="68">
        <f t="shared" ref="I5:I9" si="1">_xlfn.RANK.AVG(H5,$H$4:$H$9)</f>
        <v>1</v>
      </c>
    </row>
    <row r="6" spans="1:12" s="31" customFormat="1" ht="18" customHeight="1" x14ac:dyDescent="0.3">
      <c r="A6" s="69" t="str">
        <f>'Summary Total'!A4</f>
        <v>Tetrus</v>
      </c>
      <c r="B6" s="75">
        <f>'Firm References'!D7</f>
        <v>5</v>
      </c>
      <c r="C6" s="75">
        <f>'Staff Quals &amp; Experience'!D14</f>
        <v>9.3000000000000007</v>
      </c>
      <c r="D6" s="75">
        <f>'KSIs and Orals'!D15</f>
        <v>3.7</v>
      </c>
      <c r="E6" s="75">
        <f>'KSIs and Orals'!D10</f>
        <v>5.25</v>
      </c>
      <c r="F6" s="75">
        <f>'Understanding &amp; Approach'!K6</f>
        <v>30.79</v>
      </c>
      <c r="G6" s="119">
        <f t="shared" si="0"/>
        <v>54.04</v>
      </c>
      <c r="H6" s="75">
        <f>ROUND(G6/$G$11*$G$1,2)</f>
        <v>60.47</v>
      </c>
      <c r="I6" s="68">
        <f t="shared" si="1"/>
        <v>3</v>
      </c>
    </row>
    <row r="7" spans="1:12" s="31" customFormat="1" ht="18" customHeight="1" x14ac:dyDescent="0.3">
      <c r="A7" s="69" t="str">
        <f>'Summary Total'!A5</f>
        <v>IBM</v>
      </c>
      <c r="B7" s="75">
        <f>'Firm References'!E7</f>
        <v>4.63</v>
      </c>
      <c r="C7" s="75">
        <f>'Staff Quals &amp; Experience'!E14</f>
        <v>8.86</v>
      </c>
      <c r="D7" s="75">
        <f>'KSIs and Orals'!E15</f>
        <v>4.5999999999999996</v>
      </c>
      <c r="E7" s="75">
        <f>'KSIs and Orals'!E10</f>
        <v>7.68</v>
      </c>
      <c r="F7" s="75">
        <f>'Understanding &amp; Approach'!K7</f>
        <v>31.63</v>
      </c>
      <c r="G7" s="119">
        <f t="shared" si="0"/>
        <v>57.4</v>
      </c>
      <c r="H7" s="75">
        <f t="shared" ref="H7:H9" si="2">ROUND(G7/$G$11*$G$1,2)</f>
        <v>64.23</v>
      </c>
      <c r="I7" s="68">
        <f t="shared" si="1"/>
        <v>2</v>
      </c>
    </row>
    <row r="8" spans="1:12" s="31" customFormat="1" ht="18" customHeight="1" x14ac:dyDescent="0.3">
      <c r="A8" s="69" t="str">
        <f>'Summary Total'!A6</f>
        <v>Quadrant</v>
      </c>
      <c r="B8" s="75">
        <f>'Firm References'!F7</f>
        <v>5</v>
      </c>
      <c r="C8" s="75">
        <f>'Staff Quals &amp; Experience'!F14</f>
        <v>7.79</v>
      </c>
      <c r="D8" s="75">
        <f>'KSIs and Orals'!F15</f>
        <v>0.95</v>
      </c>
      <c r="E8" s="75">
        <f>'KSIs and Orals'!F10</f>
        <v>3.05</v>
      </c>
      <c r="F8" s="75">
        <f>'Understanding &amp; Approach'!K8</f>
        <v>17.579999999999998</v>
      </c>
      <c r="G8" s="119">
        <f t="shared" si="0"/>
        <v>34.369999999999997</v>
      </c>
      <c r="H8" s="75">
        <f t="shared" si="2"/>
        <v>38.46</v>
      </c>
      <c r="I8" s="68">
        <f t="shared" si="1"/>
        <v>6</v>
      </c>
    </row>
    <row r="9" spans="1:12" s="31" customFormat="1" ht="18" customHeight="1" x14ac:dyDescent="0.3">
      <c r="A9" s="69" t="str">
        <f>'Summary Total'!A7</f>
        <v>Infosys</v>
      </c>
      <c r="B9" s="75">
        <f>'Firm References'!G7</f>
        <v>4.5</v>
      </c>
      <c r="C9" s="75">
        <f>'Staff Quals &amp; Experience'!G14</f>
        <v>8.4499999999999993</v>
      </c>
      <c r="D9" s="75">
        <f>'KSIs and Orals'!G15</f>
        <v>3.5</v>
      </c>
      <c r="E9" s="75">
        <f>'KSIs and Orals'!G10</f>
        <v>5.88</v>
      </c>
      <c r="F9" s="75">
        <f>'Understanding &amp; Approach'!K9</f>
        <v>30.71</v>
      </c>
      <c r="G9" s="119">
        <f t="shared" si="0"/>
        <v>53.04</v>
      </c>
      <c r="H9" s="75">
        <f t="shared" si="2"/>
        <v>59.35</v>
      </c>
      <c r="I9" s="68">
        <f t="shared" si="1"/>
        <v>4</v>
      </c>
    </row>
    <row r="10" spans="1:12" s="83" customFormat="1" ht="8.25" customHeight="1" x14ac:dyDescent="0.25">
      <c r="A10" s="164"/>
      <c r="B10" s="164"/>
      <c r="C10" s="164"/>
      <c r="D10" s="164"/>
      <c r="E10" s="164"/>
      <c r="F10" s="164"/>
      <c r="G10" s="164"/>
      <c r="H10" s="164"/>
      <c r="I10" s="71"/>
    </row>
    <row r="11" spans="1:12" s="31" customFormat="1" ht="14.45" customHeight="1" x14ac:dyDescent="0.25">
      <c r="A11" s="163"/>
      <c r="B11" s="163"/>
      <c r="C11" s="163"/>
      <c r="D11" s="163"/>
      <c r="E11" s="161" t="s">
        <v>43</v>
      </c>
      <c r="F11" s="161"/>
      <c r="G11" s="84">
        <f>MAX(G4:G9)</f>
        <v>62.56</v>
      </c>
      <c r="H11" s="71"/>
      <c r="I11" s="71"/>
    </row>
    <row r="12" spans="1:12" s="31" customFormat="1" ht="14.45" customHeight="1" x14ac:dyDescent="0.25">
      <c r="A12" s="72"/>
      <c r="B12" s="72"/>
      <c r="C12" s="72"/>
      <c r="D12" s="72"/>
      <c r="E12" s="161" t="s">
        <v>44</v>
      </c>
      <c r="F12" s="161"/>
      <c r="G12" s="84">
        <f>MIN(G4:G9)</f>
        <v>34.369999999999997</v>
      </c>
      <c r="H12" s="71"/>
      <c r="I12" s="71"/>
    </row>
    <row r="13" spans="1:12" s="31" customFormat="1" ht="13.5" x14ac:dyDescent="0.25">
      <c r="F13" s="85"/>
      <c r="H13" s="85">
        <f>MAX(H4:H9)-MIN(H4:H9)</f>
        <v>31.54</v>
      </c>
      <c r="I13" s="31" t="s">
        <v>45</v>
      </c>
    </row>
    <row r="14" spans="1:12" x14ac:dyDescent="0.3">
      <c r="B14" s="53"/>
      <c r="F14" s="47"/>
      <c r="H14" s="90">
        <f>(MAX(H4:H9)-MIN(H4:H9))/MAX(H4:H9)</f>
        <v>0.45057142857142857</v>
      </c>
      <c r="I14" s="31" t="s">
        <v>46</v>
      </c>
      <c r="J14" s="31"/>
      <c r="K14" s="31"/>
      <c r="L14" s="31"/>
    </row>
    <row r="15" spans="1:12" x14ac:dyDescent="0.3">
      <c r="B15" s="53"/>
    </row>
    <row r="16" spans="1:12" x14ac:dyDescent="0.3">
      <c r="B16" s="53"/>
    </row>
  </sheetData>
  <mergeCells count="9">
    <mergeCell ref="E12:F12"/>
    <mergeCell ref="I2:I3"/>
    <mergeCell ref="A11:D11"/>
    <mergeCell ref="A10:H10"/>
    <mergeCell ref="E1:F1"/>
    <mergeCell ref="A1:C1"/>
    <mergeCell ref="G2:G3"/>
    <mergeCell ref="H2:H3"/>
    <mergeCell ref="E11:F1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F9FA9-6E8F-4981-9257-34EFC4BFF311}">
  <dimension ref="A1:H10"/>
  <sheetViews>
    <sheetView zoomScale="95" zoomScaleNormal="95" workbookViewId="0">
      <pane xSplit="1" ySplit="3" topLeftCell="B4" activePane="bottomRight" state="frozen"/>
      <selection activeCell="H24" sqref="H24"/>
      <selection pane="topRight" activeCell="H24" sqref="H24"/>
      <selection pane="bottomLeft" activeCell="H24" sqref="H24"/>
      <selection pane="bottomRight" activeCell="B4" sqref="B4"/>
    </sheetView>
  </sheetViews>
  <sheetFormatPr defaultColWidth="9.140625" defaultRowHeight="16.5" x14ac:dyDescent="0.3"/>
  <cols>
    <col min="1" max="1" width="32.5703125" style="1" customWidth="1"/>
    <col min="2" max="2" width="12.5703125" style="8" customWidth="1"/>
    <col min="3" max="4" width="12.5703125" style="1" customWidth="1"/>
    <col min="5" max="5" width="11.85546875" style="1" bestFit="1" customWidth="1"/>
    <col min="6" max="6" width="11.85546875" style="1" customWidth="1"/>
    <col min="7" max="7" width="11.85546875" style="1" bestFit="1" customWidth="1"/>
    <col min="8" max="8" width="14.140625" style="1" bestFit="1" customWidth="1"/>
    <col min="9" max="16384" width="9.140625" style="1"/>
  </cols>
  <sheetData>
    <row r="1" spans="1:8" s="10" customFormat="1" ht="20.100000000000001" customHeight="1" x14ac:dyDescent="0.2">
      <c r="A1" s="166"/>
      <c r="B1" s="166"/>
      <c r="C1" s="99" t="s">
        <v>35</v>
      </c>
      <c r="D1" s="86">
        <v>0.05</v>
      </c>
      <c r="E1" s="86"/>
      <c r="F1" s="86"/>
      <c r="G1" s="86"/>
      <c r="H1" s="55"/>
    </row>
    <row r="2" spans="1:8" ht="20.100000000000001" customHeight="1" x14ac:dyDescent="0.3">
      <c r="A2" s="99" t="s">
        <v>47</v>
      </c>
      <c r="B2" s="99" t="str">
        <f>' Master'!A2</f>
        <v>NTT DATA</v>
      </c>
      <c r="C2" s="99" t="str">
        <f>' Master'!A3</f>
        <v>ClearBest</v>
      </c>
      <c r="D2" s="99" t="str">
        <f>' Master'!A4</f>
        <v>Tetrus</v>
      </c>
      <c r="E2" s="99" t="str">
        <f>' Master'!A5</f>
        <v>IBM</v>
      </c>
      <c r="F2" s="99" t="str">
        <f>' Master'!A6</f>
        <v>Quadrant</v>
      </c>
      <c r="G2" s="99" t="str">
        <f>' Master'!A7</f>
        <v>Infosys</v>
      </c>
    </row>
    <row r="3" spans="1:8" s="11" customFormat="1" ht="18" customHeight="1" x14ac:dyDescent="0.3">
      <c r="A3" s="87" t="s">
        <v>48</v>
      </c>
      <c r="B3" s="68">
        <f>'[7]Firm References'!$F$3</f>
        <v>9</v>
      </c>
      <c r="C3" s="68">
        <f>'[8]Firm References'!$F$3</f>
        <v>10</v>
      </c>
      <c r="D3" s="68">
        <f>'[9]Firm References'!$F$3</f>
        <v>10</v>
      </c>
      <c r="E3" s="68">
        <f>'[10]Firm References'!$F$3</f>
        <v>9.5</v>
      </c>
      <c r="F3" s="68">
        <f>'[11]Firm References'!$F$3</f>
        <v>10</v>
      </c>
      <c r="G3" s="68">
        <f>'[12]Firm References'!$F$3</f>
        <v>9</v>
      </c>
      <c r="H3" s="13"/>
    </row>
    <row r="4" spans="1:8" s="11" customFormat="1" ht="18" customHeight="1" x14ac:dyDescent="0.3">
      <c r="A4" s="87" t="s">
        <v>49</v>
      </c>
      <c r="B4" s="68">
        <f>'[7]Firm References'!$F$4</f>
        <v>9</v>
      </c>
      <c r="C4" s="68">
        <f>'[8]Firm References'!$F$4</f>
        <v>10</v>
      </c>
      <c r="D4" s="68">
        <f>'[9]Firm References'!$F$4</f>
        <v>10</v>
      </c>
      <c r="E4" s="68">
        <f>'[10]Firm References'!$F$4</f>
        <v>9</v>
      </c>
      <c r="F4" s="68">
        <f>'[11]Firm References'!$F$4</f>
        <v>10</v>
      </c>
      <c r="G4" s="68">
        <f>'[12]Firm References'!$F$4</f>
        <v>9</v>
      </c>
      <c r="H4" s="13"/>
    </row>
    <row r="5" spans="1:8" ht="16.5" customHeight="1" x14ac:dyDescent="0.3">
      <c r="A5" s="88" t="s">
        <v>50</v>
      </c>
      <c r="B5" s="89">
        <f>AVERAGE(B3:B4)</f>
        <v>9</v>
      </c>
      <c r="C5" s="89">
        <f>AVERAGE(C3:C4)</f>
        <v>10</v>
      </c>
      <c r="D5" s="89">
        <f t="shared" ref="D5:G5" si="0">AVERAGE(D3:D4)</f>
        <v>10</v>
      </c>
      <c r="E5" s="89">
        <f t="shared" si="0"/>
        <v>9.25</v>
      </c>
      <c r="F5" s="89">
        <f t="shared" si="0"/>
        <v>10</v>
      </c>
      <c r="G5" s="89">
        <f t="shared" si="0"/>
        <v>9</v>
      </c>
    </row>
    <row r="6" spans="1:8" ht="8.1" customHeight="1" x14ac:dyDescent="0.3">
      <c r="A6" s="100"/>
      <c r="B6" s="100"/>
      <c r="C6" s="100"/>
      <c r="D6" s="100"/>
      <c r="E6" s="100"/>
      <c r="F6" s="100"/>
      <c r="G6" s="100"/>
    </row>
    <row r="7" spans="1:8" ht="16.5" customHeight="1" x14ac:dyDescent="0.3">
      <c r="A7" s="88" t="s">
        <v>51</v>
      </c>
      <c r="B7" s="89">
        <f t="shared" ref="B7:G7" si="1">ROUND(B5/2,2)</f>
        <v>4.5</v>
      </c>
      <c r="C7" s="89">
        <f t="shared" si="1"/>
        <v>5</v>
      </c>
      <c r="D7" s="89">
        <f t="shared" si="1"/>
        <v>5</v>
      </c>
      <c r="E7" s="89">
        <f t="shared" si="1"/>
        <v>4.63</v>
      </c>
      <c r="F7" s="89">
        <f t="shared" si="1"/>
        <v>5</v>
      </c>
      <c r="G7" s="89">
        <f t="shared" si="1"/>
        <v>4.5</v>
      </c>
    </row>
    <row r="9" spans="1:8" x14ac:dyDescent="0.3">
      <c r="A9" s="53"/>
    </row>
    <row r="10" spans="1:8" x14ac:dyDescent="0.3">
      <c r="A10" s="53"/>
    </row>
  </sheetData>
  <mergeCells count="1">
    <mergeCell ref="A1:B1"/>
  </mergeCells>
  <phoneticPr fontId="8" type="noConversion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5050E-730D-4102-9636-293811538FD4}">
  <dimension ref="A1:AA14"/>
  <sheetViews>
    <sheetView zoomScaleNormal="100" workbookViewId="0"/>
  </sheetViews>
  <sheetFormatPr defaultColWidth="9.140625" defaultRowHeight="16.5" x14ac:dyDescent="0.3"/>
  <cols>
    <col min="1" max="1" width="44" style="1" customWidth="1"/>
    <col min="2" max="2" width="11.140625" style="8" customWidth="1"/>
    <col min="3" max="4" width="11.140625" style="1" customWidth="1"/>
    <col min="5" max="5" width="11.85546875" style="1" bestFit="1" customWidth="1"/>
    <col min="6" max="6" width="11.85546875" style="1" customWidth="1"/>
    <col min="7" max="7" width="11.140625" style="1" customWidth="1"/>
    <col min="8" max="8" width="14.140625" style="48" bestFit="1" customWidth="1"/>
    <col min="9" max="16384" width="9.140625" style="1"/>
  </cols>
  <sheetData>
    <row r="1" spans="1:27" s="10" customFormat="1" ht="20.100000000000001" customHeight="1" x14ac:dyDescent="0.2">
      <c r="A1" s="98" t="s">
        <v>3</v>
      </c>
      <c r="B1" s="98"/>
      <c r="C1" s="98" t="s">
        <v>35</v>
      </c>
      <c r="D1" s="73">
        <f>' Master'!D3</f>
        <v>0.1</v>
      </c>
      <c r="E1" s="73"/>
      <c r="F1" s="73"/>
      <c r="G1" s="73"/>
      <c r="H1" s="50"/>
    </row>
    <row r="2" spans="1:27" s="11" customFormat="1" ht="20.100000000000001" customHeight="1" x14ac:dyDescent="0.3">
      <c r="A2" s="108" t="s">
        <v>52</v>
      </c>
      <c r="B2" s="108" t="str">
        <f>' Master'!A2</f>
        <v>NTT DATA</v>
      </c>
      <c r="C2" s="108" t="str">
        <f>' Master'!A3</f>
        <v>ClearBest</v>
      </c>
      <c r="D2" s="108" t="str">
        <f>' Master'!A4</f>
        <v>Tetrus</v>
      </c>
      <c r="E2" s="108" t="str">
        <f>' Master'!A5</f>
        <v>IBM</v>
      </c>
      <c r="F2" s="108" t="str">
        <f>' Master'!A6</f>
        <v>Quadrant</v>
      </c>
      <c r="G2" s="108" t="str">
        <f>' Master'!A7</f>
        <v>Infosys</v>
      </c>
      <c r="H2" s="51"/>
    </row>
    <row r="3" spans="1:27" ht="18" customHeight="1" x14ac:dyDescent="0.3">
      <c r="A3" s="87" t="s">
        <v>53</v>
      </c>
      <c r="B3" s="118">
        <f>'[7]Staff Qualifications Summary'!$J$9</f>
        <v>2.25</v>
      </c>
      <c r="C3" s="118">
        <f>'[8]Staff Qualifications Summary'!$J$9</f>
        <v>2.5</v>
      </c>
      <c r="D3" s="118">
        <f>'[9]Staff Qualifications Summary'!$J$9</f>
        <v>2.5</v>
      </c>
      <c r="E3" s="118">
        <f>'[13]Staff Qualifications Summary'!$J$9</f>
        <v>2.25</v>
      </c>
      <c r="F3" s="118">
        <f>'[11]Staff Qualifications Summary'!$J$9</f>
        <v>2.5</v>
      </c>
      <c r="G3" s="118">
        <f>'[12]Staff Qualifications Summary'!$J$9</f>
        <v>2.5</v>
      </c>
      <c r="H3" s="52"/>
    </row>
    <row r="4" spans="1:27" ht="18" customHeight="1" x14ac:dyDescent="0.3">
      <c r="A4" s="87" t="s">
        <v>54</v>
      </c>
      <c r="B4" s="118">
        <f>'[7]Staff Qualifications Summary'!$J$15</f>
        <v>3</v>
      </c>
      <c r="C4" s="118">
        <f>'[8]Staff Qualifications Summary'!$J$15</f>
        <v>3</v>
      </c>
      <c r="D4" s="118">
        <f>'[9]Staff Qualifications Summary'!$J$15</f>
        <v>3</v>
      </c>
      <c r="E4" s="118">
        <f>'[13]Staff Qualifications Summary'!$J$15</f>
        <v>3</v>
      </c>
      <c r="F4" s="118">
        <f>'[11]Staff Qualifications Summary'!$J$15</f>
        <v>2.6666666666666665</v>
      </c>
      <c r="G4" s="118">
        <f>'[12]Staff Qualifications Summary'!$J$15</f>
        <v>2.6666666666666665</v>
      </c>
      <c r="H4" s="54"/>
    </row>
    <row r="5" spans="1:27" ht="18" customHeight="1" x14ac:dyDescent="0.3">
      <c r="A5" s="87" t="s">
        <v>55</v>
      </c>
      <c r="B5" s="118">
        <f>'[7]Staff Qualifications Summary'!$J$21</f>
        <v>2.3333333333333335</v>
      </c>
      <c r="C5" s="118">
        <f>'[8]Staff Qualifications Summary'!$J$21</f>
        <v>3</v>
      </c>
      <c r="D5" s="118">
        <f>'[9]Staff Qualifications Summary'!$J$21</f>
        <v>2.6666666666666665</v>
      </c>
      <c r="E5" s="118">
        <f>'[13]Staff Qualifications Summary'!$J$21</f>
        <v>3</v>
      </c>
      <c r="F5" s="118">
        <f>'[11]Staff Qualifications Summary'!$J$21</f>
        <v>3</v>
      </c>
      <c r="G5" s="118">
        <f>'[12]Staff Qualifications Summary'!$J$21</f>
        <v>3</v>
      </c>
      <c r="H5" s="54"/>
    </row>
    <row r="6" spans="1:27" ht="18" customHeight="1" x14ac:dyDescent="0.3">
      <c r="A6" s="87" t="s">
        <v>56</v>
      </c>
      <c r="B6" s="118">
        <f>'[7]Staff Qualifications Summary'!$J$28</f>
        <v>2</v>
      </c>
      <c r="C6" s="118">
        <f>'[8]Staff Qualifications Summary'!$J$28</f>
        <v>3</v>
      </c>
      <c r="D6" s="118">
        <f>'[9]Staff Qualifications Summary'!$J$28</f>
        <v>3</v>
      </c>
      <c r="E6" s="118">
        <f>'[13]Staff Qualifications Summary'!$J$28</f>
        <v>2.5</v>
      </c>
      <c r="F6" s="118">
        <f>'[11]Staff Qualifications Summary'!$J$28</f>
        <v>2.5</v>
      </c>
      <c r="G6" s="118">
        <f>'[12]Staff Qualifications Summary'!$J$28</f>
        <v>2.25</v>
      </c>
      <c r="H6" s="52"/>
    </row>
    <row r="7" spans="1:27" s="74" customFormat="1" ht="6.95" customHeight="1" x14ac:dyDescent="0.3">
      <c r="A7" s="167"/>
      <c r="B7" s="167"/>
      <c r="C7" s="167"/>
      <c r="D7" s="167"/>
      <c r="E7" s="167"/>
      <c r="F7" s="167"/>
      <c r="G7" s="167"/>
      <c r="H7" s="101"/>
      <c r="I7" s="102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7.95" customHeight="1" x14ac:dyDescent="0.3">
      <c r="A8" s="110" t="s">
        <v>57</v>
      </c>
      <c r="B8" s="111">
        <f t="shared" ref="B8:G8" si="0">ROUND(AVERAGE(B3:B6),2)</f>
        <v>2.4</v>
      </c>
      <c r="C8" s="111">
        <f t="shared" si="0"/>
        <v>2.88</v>
      </c>
      <c r="D8" s="111">
        <f t="shared" si="0"/>
        <v>2.79</v>
      </c>
      <c r="E8" s="111">
        <f t="shared" si="0"/>
        <v>2.69</v>
      </c>
      <c r="F8" s="111">
        <f t="shared" si="0"/>
        <v>2.67</v>
      </c>
      <c r="G8" s="111">
        <f t="shared" si="0"/>
        <v>2.6</v>
      </c>
    </row>
    <row r="9" spans="1:27" s="74" customFormat="1" ht="6.95" customHeight="1" x14ac:dyDescent="0.3">
      <c r="A9" s="168"/>
      <c r="B9" s="168"/>
      <c r="C9" s="168"/>
      <c r="D9" s="168"/>
      <c r="E9" s="168"/>
      <c r="F9" s="168"/>
      <c r="G9" s="168"/>
      <c r="H9" s="48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8" customHeight="1" x14ac:dyDescent="0.3">
      <c r="A10" s="110" t="s">
        <v>58</v>
      </c>
      <c r="B10" s="111">
        <f>ROUND('[7]Staff References'!$J$7,2)</f>
        <v>10</v>
      </c>
      <c r="C10" s="111">
        <f>ROUND('[8]Staff References'!$J$7,2)</f>
        <v>10</v>
      </c>
      <c r="D10" s="111">
        <f>ROUND('[9]Staff References'!$J$7,2)</f>
        <v>10</v>
      </c>
      <c r="E10" s="111">
        <f>ROUND('[13]Staff References'!$J$7,2)</f>
        <v>9.8800000000000008</v>
      </c>
      <c r="F10" s="111">
        <f>ROUND('[11]Staff References'!$J$7,2)</f>
        <v>8.75</v>
      </c>
      <c r="G10" s="111">
        <f>ROUND('[12]Staff References'!$J$7,2)</f>
        <v>9.75</v>
      </c>
    </row>
    <row r="11" spans="1:27" s="74" customFormat="1" ht="5.45" customHeight="1" x14ac:dyDescent="0.3">
      <c r="A11" s="168"/>
      <c r="B11" s="168"/>
      <c r="C11" s="168"/>
      <c r="D11" s="168"/>
      <c r="E11" s="168"/>
      <c r="F11" s="168"/>
      <c r="G11" s="168"/>
      <c r="H11" s="48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27.6" customHeight="1" x14ac:dyDescent="0.3">
      <c r="A12" s="110" t="s">
        <v>59</v>
      </c>
      <c r="B12" s="111">
        <f>ROUND(B8*B10,2)</f>
        <v>24</v>
      </c>
      <c r="C12" s="111">
        <f t="shared" ref="C12:D12" si="1">ROUND(C8*C10,2)</f>
        <v>28.8</v>
      </c>
      <c r="D12" s="111">
        <f t="shared" si="1"/>
        <v>27.9</v>
      </c>
      <c r="E12" s="111">
        <f t="shared" ref="E12:G12" si="2">ROUND(E8*E10,2)</f>
        <v>26.58</v>
      </c>
      <c r="F12" s="111">
        <f t="shared" si="2"/>
        <v>23.36</v>
      </c>
      <c r="G12" s="111">
        <f t="shared" si="2"/>
        <v>25.35</v>
      </c>
    </row>
    <row r="13" spans="1:27" s="74" customFormat="1" ht="5.0999999999999996" customHeight="1" x14ac:dyDescent="0.3">
      <c r="A13" s="168"/>
      <c r="B13" s="168"/>
      <c r="C13" s="168"/>
      <c r="D13" s="168"/>
      <c r="E13" s="168"/>
      <c r="F13" s="168"/>
      <c r="G13" s="168"/>
      <c r="H13" s="48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8" customHeight="1" x14ac:dyDescent="0.3">
      <c r="A14" s="110" t="s">
        <v>60</v>
      </c>
      <c r="B14" s="111">
        <f>ROUND(B12/30*$D$1*100,2)</f>
        <v>8</v>
      </c>
      <c r="C14" s="111">
        <f t="shared" ref="C14:D14" si="3">ROUND(C12/30*$D$1*100,2)</f>
        <v>9.6</v>
      </c>
      <c r="D14" s="111">
        <f t="shared" si="3"/>
        <v>9.3000000000000007</v>
      </c>
      <c r="E14" s="111">
        <f t="shared" ref="E14:G14" si="4">ROUND(E12/30*$D$1*100,2)</f>
        <v>8.86</v>
      </c>
      <c r="F14" s="111">
        <f t="shared" si="4"/>
        <v>7.79</v>
      </c>
      <c r="G14" s="111">
        <f t="shared" si="4"/>
        <v>8.4499999999999993</v>
      </c>
    </row>
  </sheetData>
  <mergeCells count="4">
    <mergeCell ref="A7:G7"/>
    <mergeCell ref="A9:G9"/>
    <mergeCell ref="A11:G11"/>
    <mergeCell ref="A13:G13"/>
  </mergeCells>
  <pageMargins left="0.7" right="0.7" top="0.75" bottom="0.75" header="0.3" footer="0.3"/>
  <pageSetup orientation="portrait" r:id="rId1"/>
  <ignoredErrors>
    <ignoredError sqref="G8 E12 E8:F8 E14 F12:G12 F14:G14" evalError="1"/>
  </ignoredErrors>
</worksheet>
</file>

<file path=docMetadata/LabelInfo.xml><?xml version="1.0" encoding="utf-8"?>
<clbl:labelList xmlns:clbl="http://schemas.microsoft.com/office/2020/mipLabelMetadata">
  <clbl:label id="{18ccb024-1285-4f62-85fe-84f37911c5d6}" enabled="0" method="" siteId="{18ccb024-1285-4f62-85fe-84f37911c5d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 Master</vt:lpstr>
      <vt:lpstr>Summary Total</vt:lpstr>
      <vt:lpstr>Overall Proposal Scores</vt:lpstr>
      <vt:lpstr>Price Score</vt:lpstr>
      <vt:lpstr>Price Summary</vt:lpstr>
      <vt:lpstr>Price Details</vt:lpstr>
      <vt:lpstr>Business Score</vt:lpstr>
      <vt:lpstr>Firm References</vt:lpstr>
      <vt:lpstr>Staff Quals &amp; Experience</vt:lpstr>
      <vt:lpstr>KSIs and Orals</vt:lpstr>
      <vt:lpstr>Understanding &amp; Approach</vt:lpstr>
      <vt:lpstr>U&amp;A Requirement Detail</vt:lpstr>
      <vt:lpstr>Requirements 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2026-07-22T05:43:34Z</dcterms:created>
  <dcterms:modified xsi:type="dcterms:W3CDTF">2026-07-24T15:37:52Z</dcterms:modified>
  <cp:category/>
  <cp:contentStatus/>
</cp:coreProperties>
</file>